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ORM TOKO\"/>
    </mc:Choice>
  </mc:AlternateContent>
  <bookViews>
    <workbookView xWindow="0" yWindow="0" windowWidth="20490" windowHeight="7755"/>
  </bookViews>
  <sheets>
    <sheet name="DBASE" sheetId="1" r:id="rId1"/>
    <sheet name="STOCK" sheetId="2" r:id="rId2"/>
    <sheet name="REKAP TERIMA BARANG" sheetId="3" r:id="rId3"/>
    <sheet name="REKAP PENJUALAN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DBASE!$D$6:$M$66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72" i="5" l="1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F72" i="5" s="1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E72" i="5" s="1"/>
  <c r="O72" i="5"/>
  <c r="N72" i="5"/>
  <c r="M72" i="5"/>
  <c r="L72" i="5"/>
  <c r="H72" i="5" s="1"/>
  <c r="K72" i="5"/>
  <c r="J72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H71" i="5" s="1"/>
  <c r="K71" i="5"/>
  <c r="J71" i="5"/>
  <c r="F71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F70" i="5" s="1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E70" i="5" s="1"/>
  <c r="O70" i="5"/>
  <c r="N70" i="5"/>
  <c r="M70" i="5"/>
  <c r="L70" i="5"/>
  <c r="H70" i="5" s="1"/>
  <c r="K70" i="5"/>
  <c r="J70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H69" i="5" s="1"/>
  <c r="K69" i="5"/>
  <c r="J69" i="5"/>
  <c r="F69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F68" i="5" s="1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E68" i="5" s="1"/>
  <c r="O68" i="5"/>
  <c r="N68" i="5"/>
  <c r="M68" i="5"/>
  <c r="L68" i="5"/>
  <c r="H68" i="5" s="1"/>
  <c r="K68" i="5"/>
  <c r="J68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H67" i="5" s="1"/>
  <c r="K67" i="5"/>
  <c r="J67" i="5"/>
  <c r="E67" i="5" s="1"/>
  <c r="F67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F66" i="5" s="1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H66" i="5" s="1"/>
  <c r="K66" i="5"/>
  <c r="J66" i="5"/>
  <c r="E66" i="5" s="1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F65" i="5" s="1"/>
  <c r="S65" i="5"/>
  <c r="R65" i="5"/>
  <c r="Q65" i="5"/>
  <c r="P65" i="5"/>
  <c r="O65" i="5"/>
  <c r="N65" i="5"/>
  <c r="M65" i="5"/>
  <c r="L65" i="5"/>
  <c r="H65" i="5" s="1"/>
  <c r="K65" i="5"/>
  <c r="J65" i="5"/>
  <c r="E65" i="5" s="1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H64" i="5" s="1"/>
  <c r="K64" i="5"/>
  <c r="J64" i="5"/>
  <c r="E64" i="5" s="1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H63" i="5" s="1"/>
  <c r="K63" i="5"/>
  <c r="J63" i="5"/>
  <c r="E63" i="5" s="1"/>
  <c r="F63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F62" i="5" s="1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H62" i="5" s="1"/>
  <c r="K62" i="5"/>
  <c r="J62" i="5"/>
  <c r="E62" i="5" s="1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E61" i="5" s="1"/>
  <c r="F61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F60" i="5" s="1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H60" i="5" s="1"/>
  <c r="K60" i="5"/>
  <c r="J60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F59" i="5" s="1"/>
  <c r="S59" i="5"/>
  <c r="R59" i="5"/>
  <c r="Q59" i="5"/>
  <c r="P59" i="5"/>
  <c r="O59" i="5"/>
  <c r="N59" i="5"/>
  <c r="M59" i="5"/>
  <c r="L59" i="5"/>
  <c r="H59" i="5" s="1"/>
  <c r="K59" i="5"/>
  <c r="J59" i="5"/>
  <c r="E59" i="5" s="1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H58" i="5" s="1"/>
  <c r="K58" i="5"/>
  <c r="J58" i="5"/>
  <c r="E58" i="5" s="1"/>
  <c r="F58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F57" i="5" s="1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H57" i="5" s="1"/>
  <c r="K57" i="5"/>
  <c r="J57" i="5"/>
  <c r="E57" i="5" s="1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H56" i="5" s="1"/>
  <c r="K56" i="5"/>
  <c r="J56" i="5"/>
  <c r="E56" i="5" s="1"/>
  <c r="F56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F55" i="5" s="1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H55" i="5" s="1"/>
  <c r="K55" i="5"/>
  <c r="J55" i="5"/>
  <c r="E55" i="5" s="1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H54" i="5" s="1"/>
  <c r="K54" i="5"/>
  <c r="J54" i="5"/>
  <c r="E54" i="5" s="1"/>
  <c r="F54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F53" i="5" s="1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H53" i="5" s="1"/>
  <c r="K53" i="5"/>
  <c r="J53" i="5"/>
  <c r="E53" i="5" s="1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F52" i="5" s="1"/>
  <c r="S52" i="5"/>
  <c r="R52" i="5"/>
  <c r="Q52" i="5"/>
  <c r="P52" i="5"/>
  <c r="O52" i="5"/>
  <c r="N52" i="5"/>
  <c r="M52" i="5"/>
  <c r="L52" i="5"/>
  <c r="H52" i="5" s="1"/>
  <c r="K52" i="5"/>
  <c r="J52" i="5"/>
  <c r="E52" i="5" s="1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F51" i="5" s="1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H51" i="5" s="1"/>
  <c r="K51" i="5"/>
  <c r="J51" i="5"/>
  <c r="E51" i="5" s="1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F50" i="5" s="1"/>
  <c r="S50" i="5"/>
  <c r="R50" i="5"/>
  <c r="Q50" i="5"/>
  <c r="P50" i="5"/>
  <c r="O50" i="5"/>
  <c r="N50" i="5"/>
  <c r="M50" i="5"/>
  <c r="L50" i="5"/>
  <c r="H50" i="5" s="1"/>
  <c r="K50" i="5"/>
  <c r="J50" i="5"/>
  <c r="E50" i="5" s="1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F49" i="5" s="1"/>
  <c r="S49" i="5"/>
  <c r="R49" i="5"/>
  <c r="Q49" i="5"/>
  <c r="P49" i="5"/>
  <c r="O49" i="5"/>
  <c r="N49" i="5"/>
  <c r="M49" i="5"/>
  <c r="L49" i="5"/>
  <c r="H49" i="5" s="1"/>
  <c r="K49" i="5"/>
  <c r="J49" i="5"/>
  <c r="E49" i="5" s="1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H48" i="5" s="1"/>
  <c r="K48" i="5"/>
  <c r="J48" i="5"/>
  <c r="F48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F47" i="5" s="1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H47" i="5" s="1"/>
  <c r="K47" i="5"/>
  <c r="J47" i="5"/>
  <c r="E47" i="5" s="1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F46" i="5" s="1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H46" i="5" s="1"/>
  <c r="K46" i="5"/>
  <c r="J46" i="5"/>
  <c r="E46" i="5" s="1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H45" i="5" s="1"/>
  <c r="K45" i="5"/>
  <c r="J45" i="5"/>
  <c r="E45" i="5" s="1"/>
  <c r="F45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F44" i="5" s="1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H44" i="5" s="1"/>
  <c r="K44" i="5"/>
  <c r="J44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H43" i="5" s="1"/>
  <c r="K43" i="5"/>
  <c r="J43" i="5"/>
  <c r="E43" i="5" s="1"/>
  <c r="F43" i="5"/>
  <c r="D43" i="5"/>
  <c r="F64" i="5" l="1"/>
  <c r="E69" i="5"/>
  <c r="E71" i="5"/>
  <c r="E44" i="5"/>
  <c r="E48" i="5"/>
  <c r="E60" i="5"/>
  <c r="H61" i="5"/>
  <c r="CQ68" i="3"/>
  <c r="CR68" i="3" s="1"/>
  <c r="CP68" i="3"/>
  <c r="CN68" i="3"/>
  <c r="CM68" i="3"/>
  <c r="CK68" i="3"/>
  <c r="CL68" i="3" s="1"/>
  <c r="CJ68" i="3"/>
  <c r="CH68" i="3"/>
  <c r="CG68" i="3"/>
  <c r="CE68" i="3"/>
  <c r="CF68" i="3" s="1"/>
  <c r="CD68" i="3"/>
  <c r="CB68" i="3"/>
  <c r="CA68" i="3"/>
  <c r="BY68" i="3"/>
  <c r="BZ68" i="3" s="1"/>
  <c r="BX68" i="3"/>
  <c r="BV68" i="3"/>
  <c r="BU68" i="3"/>
  <c r="BS68" i="3"/>
  <c r="BT68" i="3" s="1"/>
  <c r="BR68" i="3"/>
  <c r="BP68" i="3"/>
  <c r="BO68" i="3"/>
  <c r="BM68" i="3"/>
  <c r="BN68" i="3" s="1"/>
  <c r="BL68" i="3"/>
  <c r="BJ68" i="3"/>
  <c r="BI68" i="3"/>
  <c r="BG68" i="3"/>
  <c r="BH68" i="3" s="1"/>
  <c r="BF68" i="3"/>
  <c r="BD68" i="3"/>
  <c r="BC68" i="3"/>
  <c r="BA68" i="3"/>
  <c r="BB68" i="3" s="1"/>
  <c r="AZ68" i="3"/>
  <c r="AX68" i="3"/>
  <c r="AW68" i="3"/>
  <c r="AU68" i="3"/>
  <c r="AT68" i="3"/>
  <c r="AR68" i="3"/>
  <c r="AQ68" i="3"/>
  <c r="AO68" i="3"/>
  <c r="AP68" i="3" s="1"/>
  <c r="AN68" i="3"/>
  <c r="AL68" i="3"/>
  <c r="AK68" i="3"/>
  <c r="AM68" i="3" s="1"/>
  <c r="AI68" i="3"/>
  <c r="AJ68" i="3" s="1"/>
  <c r="AH68" i="3"/>
  <c r="AF68" i="3"/>
  <c r="AE68" i="3"/>
  <c r="AC68" i="3"/>
  <c r="AD68" i="3" s="1"/>
  <c r="AB68" i="3"/>
  <c r="Z68" i="3"/>
  <c r="Y68" i="3"/>
  <c r="W68" i="3"/>
  <c r="V68" i="3"/>
  <c r="T68" i="3"/>
  <c r="S68" i="3"/>
  <c r="Q68" i="3"/>
  <c r="R68" i="3" s="1"/>
  <c r="P68" i="3"/>
  <c r="N68" i="3"/>
  <c r="M68" i="3"/>
  <c r="K68" i="3"/>
  <c r="L68" i="3" s="1"/>
  <c r="J68" i="3"/>
  <c r="H68" i="3"/>
  <c r="G68" i="3"/>
  <c r="E68" i="3"/>
  <c r="D68" i="3"/>
  <c r="C68" i="3"/>
  <c r="CQ67" i="3"/>
  <c r="CP67" i="3"/>
  <c r="CN67" i="3"/>
  <c r="CM67" i="3"/>
  <c r="CK67" i="3"/>
  <c r="CJ67" i="3"/>
  <c r="CH67" i="3"/>
  <c r="CG67" i="3"/>
  <c r="CE67" i="3"/>
  <c r="CD67" i="3"/>
  <c r="CB67" i="3"/>
  <c r="CC67" i="3" s="1"/>
  <c r="CA67" i="3"/>
  <c r="BY67" i="3"/>
  <c r="BX67" i="3"/>
  <c r="BV67" i="3"/>
  <c r="BU67" i="3"/>
  <c r="BS67" i="3"/>
  <c r="BR67" i="3"/>
  <c r="BP67" i="3"/>
  <c r="BO67" i="3"/>
  <c r="BM67" i="3"/>
  <c r="BL67" i="3"/>
  <c r="BJ67" i="3"/>
  <c r="BI67" i="3"/>
  <c r="BG67" i="3"/>
  <c r="BF67" i="3"/>
  <c r="BD67" i="3"/>
  <c r="BC67" i="3"/>
  <c r="BA67" i="3"/>
  <c r="AZ67" i="3"/>
  <c r="AX67" i="3"/>
  <c r="AW67" i="3"/>
  <c r="AU67" i="3"/>
  <c r="AT67" i="3"/>
  <c r="AR67" i="3"/>
  <c r="AQ67" i="3"/>
  <c r="AO67" i="3"/>
  <c r="AN67" i="3"/>
  <c r="AL67" i="3"/>
  <c r="AK67" i="3"/>
  <c r="AI67" i="3"/>
  <c r="AH67" i="3"/>
  <c r="AF67" i="3"/>
  <c r="AG67" i="3" s="1"/>
  <c r="AE67" i="3"/>
  <c r="AC67" i="3"/>
  <c r="AB67" i="3"/>
  <c r="Z67" i="3"/>
  <c r="Y67" i="3"/>
  <c r="W67" i="3"/>
  <c r="V67" i="3"/>
  <c r="T67" i="3"/>
  <c r="S67" i="3"/>
  <c r="Q67" i="3"/>
  <c r="P67" i="3"/>
  <c r="N67" i="3"/>
  <c r="M67" i="3"/>
  <c r="K67" i="3"/>
  <c r="J67" i="3"/>
  <c r="H67" i="3"/>
  <c r="I67" i="3" s="1"/>
  <c r="G67" i="3"/>
  <c r="E67" i="3"/>
  <c r="D67" i="3"/>
  <c r="C67" i="3"/>
  <c r="CQ66" i="3"/>
  <c r="CP66" i="3"/>
  <c r="CN66" i="3"/>
  <c r="CM66" i="3"/>
  <c r="CK66" i="3"/>
  <c r="CJ66" i="3"/>
  <c r="CH66" i="3"/>
  <c r="CG66" i="3"/>
  <c r="CE66" i="3"/>
  <c r="CD66" i="3"/>
  <c r="CB66" i="3"/>
  <c r="CA66" i="3"/>
  <c r="BY66" i="3"/>
  <c r="BX66" i="3"/>
  <c r="BV66" i="3"/>
  <c r="BU66" i="3"/>
  <c r="BS66" i="3"/>
  <c r="BR66" i="3"/>
  <c r="BP66" i="3"/>
  <c r="BO66" i="3"/>
  <c r="BM66" i="3"/>
  <c r="BL66" i="3"/>
  <c r="BJ66" i="3"/>
  <c r="BI66" i="3"/>
  <c r="BG66" i="3"/>
  <c r="BF66" i="3"/>
  <c r="BD66" i="3"/>
  <c r="BC66" i="3"/>
  <c r="BA66" i="3"/>
  <c r="AZ66" i="3"/>
  <c r="BB66" i="3" s="1"/>
  <c r="AX66" i="3"/>
  <c r="AW66" i="3"/>
  <c r="AU66" i="3"/>
  <c r="AT66" i="3"/>
  <c r="AR66" i="3"/>
  <c r="AQ66" i="3"/>
  <c r="AO66" i="3"/>
  <c r="AN66" i="3"/>
  <c r="AL66" i="3"/>
  <c r="AM66" i="3" s="1"/>
  <c r="AK66" i="3"/>
  <c r="AI66" i="3"/>
  <c r="AH66" i="3"/>
  <c r="AF66" i="3"/>
  <c r="AE66" i="3"/>
  <c r="AC66" i="3"/>
  <c r="AB66" i="3"/>
  <c r="Z66" i="3"/>
  <c r="AA66" i="3" s="1"/>
  <c r="Y66" i="3"/>
  <c r="W66" i="3"/>
  <c r="V66" i="3"/>
  <c r="T66" i="3"/>
  <c r="S66" i="3"/>
  <c r="Q66" i="3"/>
  <c r="P66" i="3"/>
  <c r="N66" i="3"/>
  <c r="O66" i="3" s="1"/>
  <c r="M66" i="3"/>
  <c r="K66" i="3"/>
  <c r="J66" i="3"/>
  <c r="H66" i="3"/>
  <c r="G66" i="3"/>
  <c r="E66" i="3"/>
  <c r="D66" i="3"/>
  <c r="F66" i="3" s="1"/>
  <c r="C66" i="3"/>
  <c r="CQ65" i="3"/>
  <c r="CR65" i="3" s="1"/>
  <c r="CP65" i="3"/>
  <c r="CN65" i="3"/>
  <c r="CM65" i="3"/>
  <c r="CK65" i="3"/>
  <c r="CL65" i="3" s="1"/>
  <c r="CJ65" i="3"/>
  <c r="CH65" i="3"/>
  <c r="CG65" i="3"/>
  <c r="CE65" i="3"/>
  <c r="CD65" i="3"/>
  <c r="CB65" i="3"/>
  <c r="CA65" i="3"/>
  <c r="BY65" i="3"/>
  <c r="BX65" i="3"/>
  <c r="BV65" i="3"/>
  <c r="BU65" i="3"/>
  <c r="BW65" i="3" s="1"/>
  <c r="BS65" i="3"/>
  <c r="BR65" i="3"/>
  <c r="BP65" i="3"/>
  <c r="BO65" i="3"/>
  <c r="BM65" i="3"/>
  <c r="BL65" i="3"/>
  <c r="BJ65" i="3"/>
  <c r="BI65" i="3"/>
  <c r="BG65" i="3"/>
  <c r="BF65" i="3"/>
  <c r="BD65" i="3"/>
  <c r="BC65" i="3"/>
  <c r="BA65" i="3"/>
  <c r="AZ65" i="3"/>
  <c r="AX65" i="3"/>
  <c r="AW65" i="3"/>
  <c r="AU65" i="3"/>
  <c r="AT65" i="3"/>
  <c r="AR65" i="3"/>
  <c r="AQ65" i="3"/>
  <c r="AO65" i="3"/>
  <c r="AN65" i="3"/>
  <c r="AL65" i="3"/>
  <c r="AK65" i="3"/>
  <c r="AM65" i="3" s="1"/>
  <c r="AI65" i="3"/>
  <c r="AJ65" i="3" s="1"/>
  <c r="AH65" i="3"/>
  <c r="AF65" i="3"/>
  <c r="AE65" i="3"/>
  <c r="AC65" i="3"/>
  <c r="AB65" i="3"/>
  <c r="Z65" i="3"/>
  <c r="Y65" i="3"/>
  <c r="W65" i="3"/>
  <c r="V65" i="3"/>
  <c r="T65" i="3"/>
  <c r="S65" i="3"/>
  <c r="Q65" i="3"/>
  <c r="P65" i="3"/>
  <c r="N65" i="3"/>
  <c r="M65" i="3"/>
  <c r="K65" i="3"/>
  <c r="L65" i="3" s="1"/>
  <c r="J65" i="3"/>
  <c r="H65" i="3"/>
  <c r="G65" i="3"/>
  <c r="E65" i="3"/>
  <c r="D65" i="3"/>
  <c r="C65" i="3"/>
  <c r="D72" i="5"/>
  <c r="D71" i="5"/>
  <c r="D70" i="5"/>
  <c r="D69" i="5"/>
  <c r="D68" i="2"/>
  <c r="D67" i="2"/>
  <c r="D66" i="2"/>
  <c r="H65" i="2"/>
  <c r="G65" i="2"/>
  <c r="D65" i="2"/>
  <c r="AD65" i="3" l="1"/>
  <c r="AJ67" i="3"/>
  <c r="BH67" i="3"/>
  <c r="CF67" i="3"/>
  <c r="BH66" i="3"/>
  <c r="BN66" i="3"/>
  <c r="BZ66" i="3"/>
  <c r="CL66" i="3"/>
  <c r="AM67" i="3"/>
  <c r="AS67" i="3"/>
  <c r="BK67" i="3"/>
  <c r="BQ67" i="3"/>
  <c r="CO67" i="3"/>
  <c r="CO66" i="3"/>
  <c r="U65" i="3"/>
  <c r="BK66" i="3"/>
  <c r="BW66" i="3"/>
  <c r="CI66" i="3"/>
  <c r="BE67" i="3"/>
  <c r="O68" i="3"/>
  <c r="U68" i="3"/>
  <c r="AA68" i="3"/>
  <c r="BT65" i="3"/>
  <c r="CF65" i="3"/>
  <c r="L66" i="3"/>
  <c r="R66" i="3"/>
  <c r="AD66" i="3"/>
  <c r="AJ66" i="3"/>
  <c r="AP66" i="3"/>
  <c r="F67" i="3"/>
  <c r="L67" i="3"/>
  <c r="H68" i="2"/>
  <c r="H66" i="2"/>
  <c r="AS66" i="3"/>
  <c r="O67" i="3"/>
  <c r="U67" i="3"/>
  <c r="AA65" i="3"/>
  <c r="AP65" i="3"/>
  <c r="AV65" i="3"/>
  <c r="BH65" i="3"/>
  <c r="BZ65" i="3"/>
  <c r="CX66" i="3"/>
  <c r="CU66" i="3" s="1"/>
  <c r="F68" i="1" s="1"/>
  <c r="CR66" i="3"/>
  <c r="R67" i="3"/>
  <c r="X67" i="3"/>
  <c r="AY67" i="3"/>
  <c r="BN67" i="3"/>
  <c r="BT67" i="3"/>
  <c r="CT68" i="3"/>
  <c r="AS68" i="3"/>
  <c r="AY68" i="3"/>
  <c r="BE68" i="3"/>
  <c r="BK68" i="3"/>
  <c r="BW68" i="3"/>
  <c r="CC68" i="3"/>
  <c r="CI68" i="3"/>
  <c r="CO68" i="3"/>
  <c r="CX68" i="3"/>
  <c r="CU68" i="3" s="1"/>
  <c r="F70" i="1" s="1"/>
  <c r="CT65" i="3"/>
  <c r="X65" i="3"/>
  <c r="BE65" i="3"/>
  <c r="BQ65" i="3"/>
  <c r="CI65" i="3"/>
  <c r="AV66" i="3"/>
  <c r="AP67" i="3"/>
  <c r="AV67" i="3"/>
  <c r="CL67" i="3"/>
  <c r="CR67" i="3"/>
  <c r="I68" i="3"/>
  <c r="AG66" i="3"/>
  <c r="CC66" i="3"/>
  <c r="X68" i="3"/>
  <c r="AG68" i="3"/>
  <c r="AV68" i="3"/>
  <c r="BQ68" i="3"/>
  <c r="F65" i="3"/>
  <c r="AG65" i="3"/>
  <c r="BB65" i="3"/>
  <c r="CC65" i="3"/>
  <c r="R65" i="3"/>
  <c r="AS65" i="3"/>
  <c r="AY65" i="3"/>
  <c r="BN65" i="3"/>
  <c r="CO65" i="3"/>
  <c r="I66" i="3"/>
  <c r="X66" i="3"/>
  <c r="AY66" i="3"/>
  <c r="BE66" i="3"/>
  <c r="BT66" i="3"/>
  <c r="CT67" i="3"/>
  <c r="G67" i="2" s="1"/>
  <c r="AD67" i="3"/>
  <c r="BB67" i="3"/>
  <c r="BZ67" i="3"/>
  <c r="CI67" i="3"/>
  <c r="F68" i="3"/>
  <c r="CX65" i="3"/>
  <c r="CU65" i="3" s="1"/>
  <c r="CV65" i="3" s="1"/>
  <c r="O65" i="3"/>
  <c r="BK65" i="3"/>
  <c r="CT66" i="3"/>
  <c r="U66" i="3"/>
  <c r="BQ66" i="3"/>
  <c r="CF66" i="3"/>
  <c r="AA67" i="3"/>
  <c r="BW67" i="3"/>
  <c r="G68" i="2"/>
  <c r="G66" i="2"/>
  <c r="I65" i="3"/>
  <c r="CX67" i="3"/>
  <c r="CU67" i="3" s="1"/>
  <c r="F69" i="1" s="1"/>
  <c r="H67" i="2"/>
  <c r="E65" i="2"/>
  <c r="E68" i="2" l="1"/>
  <c r="CV66" i="3"/>
  <c r="E66" i="2"/>
  <c r="CV68" i="3"/>
  <c r="E67" i="2"/>
  <c r="CV67" i="3"/>
  <c r="G31" i="1" l="1"/>
  <c r="G30" i="1"/>
  <c r="D68" i="5" l="1"/>
  <c r="D67" i="5"/>
  <c r="D66" i="5"/>
  <c r="CQ64" i="3"/>
  <c r="CP64" i="3"/>
  <c r="CN64" i="3"/>
  <c r="CM64" i="3"/>
  <c r="CK64" i="3"/>
  <c r="CJ64" i="3"/>
  <c r="CH64" i="3"/>
  <c r="CG64" i="3"/>
  <c r="CE64" i="3"/>
  <c r="CD64" i="3"/>
  <c r="CB64" i="3"/>
  <c r="CA64" i="3"/>
  <c r="BY64" i="3"/>
  <c r="BZ64" i="3" s="1"/>
  <c r="BX64" i="3"/>
  <c r="BV64" i="3"/>
  <c r="BU64" i="3"/>
  <c r="BS64" i="3"/>
  <c r="BR64" i="3"/>
  <c r="BP64" i="3"/>
  <c r="BO64" i="3"/>
  <c r="BM64" i="3"/>
  <c r="BL64" i="3"/>
  <c r="BJ64" i="3"/>
  <c r="BI64" i="3"/>
  <c r="BG64" i="3"/>
  <c r="BF64" i="3"/>
  <c r="BD64" i="3"/>
  <c r="BC64" i="3"/>
  <c r="BA64" i="3"/>
  <c r="AZ64" i="3"/>
  <c r="AX64" i="3"/>
  <c r="AW64" i="3"/>
  <c r="AU64" i="3"/>
  <c r="AT64" i="3"/>
  <c r="AR64" i="3"/>
  <c r="AQ64" i="3"/>
  <c r="AO64" i="3"/>
  <c r="AN64" i="3"/>
  <c r="AL64" i="3"/>
  <c r="AK64" i="3"/>
  <c r="AI64" i="3"/>
  <c r="AH64" i="3"/>
  <c r="AF64" i="3"/>
  <c r="AE64" i="3"/>
  <c r="AC64" i="3"/>
  <c r="AB64" i="3"/>
  <c r="Z64" i="3"/>
  <c r="Y64" i="3"/>
  <c r="W64" i="3"/>
  <c r="V64" i="3"/>
  <c r="T64" i="3"/>
  <c r="S64" i="3"/>
  <c r="Q64" i="3"/>
  <c r="P64" i="3"/>
  <c r="N64" i="3"/>
  <c r="M64" i="3"/>
  <c r="K64" i="3"/>
  <c r="J64" i="3"/>
  <c r="H64" i="3"/>
  <c r="G64" i="3"/>
  <c r="E64" i="3"/>
  <c r="D64" i="3"/>
  <c r="C64" i="3"/>
  <c r="CQ63" i="3"/>
  <c r="CP63" i="3"/>
  <c r="CN63" i="3"/>
  <c r="CM63" i="3"/>
  <c r="CK63" i="3"/>
  <c r="CJ63" i="3"/>
  <c r="CH63" i="3"/>
  <c r="CG63" i="3"/>
  <c r="CE63" i="3"/>
  <c r="CD63" i="3"/>
  <c r="CB63" i="3"/>
  <c r="CA63" i="3"/>
  <c r="BY63" i="3"/>
  <c r="BX63" i="3"/>
  <c r="BV63" i="3"/>
  <c r="BU63" i="3"/>
  <c r="BS63" i="3"/>
  <c r="BR63" i="3"/>
  <c r="BP63" i="3"/>
  <c r="BO63" i="3"/>
  <c r="BM63" i="3"/>
  <c r="BL63" i="3"/>
  <c r="BJ63" i="3"/>
  <c r="BI63" i="3"/>
  <c r="BG63" i="3"/>
  <c r="BF63" i="3"/>
  <c r="BD63" i="3"/>
  <c r="BC63" i="3"/>
  <c r="BA63" i="3"/>
  <c r="AZ63" i="3"/>
  <c r="AX63" i="3"/>
  <c r="AW63" i="3"/>
  <c r="AU63" i="3"/>
  <c r="AT63" i="3"/>
  <c r="AR63" i="3"/>
  <c r="AQ63" i="3"/>
  <c r="AO63" i="3"/>
  <c r="AN63" i="3"/>
  <c r="AL63" i="3"/>
  <c r="AK63" i="3"/>
  <c r="AI63" i="3"/>
  <c r="AH63" i="3"/>
  <c r="AF63" i="3"/>
  <c r="AE63" i="3"/>
  <c r="AC63" i="3"/>
  <c r="AB63" i="3"/>
  <c r="Z63" i="3"/>
  <c r="Y63" i="3"/>
  <c r="V63" i="3"/>
  <c r="T63" i="3"/>
  <c r="S63" i="3"/>
  <c r="Q63" i="3"/>
  <c r="P63" i="3"/>
  <c r="N63" i="3"/>
  <c r="M63" i="3"/>
  <c r="K63" i="3"/>
  <c r="J63" i="3"/>
  <c r="H63" i="3"/>
  <c r="G63" i="3"/>
  <c r="E63" i="3"/>
  <c r="D63" i="3"/>
  <c r="C63" i="3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H42" i="2"/>
  <c r="G42" i="2"/>
  <c r="D42" i="2"/>
  <c r="D41" i="2"/>
  <c r="D40" i="2"/>
  <c r="H39" i="2"/>
  <c r="D39" i="2"/>
  <c r="D38" i="2"/>
  <c r="D37" i="2"/>
  <c r="D36" i="2"/>
  <c r="D35" i="2"/>
  <c r="D34" i="2"/>
  <c r="D33" i="2"/>
  <c r="D32" i="2"/>
  <c r="D31" i="2"/>
  <c r="H30" i="2"/>
  <c r="G30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CR64" i="3" l="1"/>
  <c r="R64" i="3"/>
  <c r="AJ64" i="3"/>
  <c r="AV64" i="3"/>
  <c r="BB64" i="3"/>
  <c r="BT64" i="3"/>
  <c r="O64" i="3"/>
  <c r="U64" i="3"/>
  <c r="BQ64" i="3"/>
  <c r="AM64" i="3"/>
  <c r="AS64" i="3"/>
  <c r="F63" i="3"/>
  <c r="R63" i="3"/>
  <c r="AG64" i="3"/>
  <c r="AD63" i="3"/>
  <c r="AJ63" i="3"/>
  <c r="BB63" i="3"/>
  <c r="BH63" i="3"/>
  <c r="BZ63" i="3"/>
  <c r="CF63" i="3"/>
  <c r="CO64" i="3"/>
  <c r="AM63" i="3"/>
  <c r="BK63" i="3"/>
  <c r="CI63" i="3"/>
  <c r="L64" i="3"/>
  <c r="O63" i="3"/>
  <c r="BE64" i="3"/>
  <c r="BW64" i="3"/>
  <c r="CC64" i="3"/>
  <c r="L63" i="3"/>
  <c r="AA63" i="3"/>
  <c r="AS63" i="3"/>
  <c r="AY63" i="3"/>
  <c r="BQ63" i="3"/>
  <c r="BW63" i="3"/>
  <c r="CO63" i="3"/>
  <c r="I64" i="3"/>
  <c r="U63" i="3"/>
  <c r="AG63" i="3"/>
  <c r="AP63" i="3"/>
  <c r="AV63" i="3"/>
  <c r="CC63" i="3"/>
  <c r="CL63" i="3"/>
  <c r="CR63" i="3"/>
  <c r="AA64" i="3"/>
  <c r="AP64" i="3"/>
  <c r="BK64" i="3"/>
  <c r="CF64" i="3"/>
  <c r="CL64" i="3"/>
  <c r="I63" i="3"/>
  <c r="BE63" i="3"/>
  <c r="BN63" i="3"/>
  <c r="BT63" i="3"/>
  <c r="CT64" i="3"/>
  <c r="G64" i="2" s="1"/>
  <c r="X64" i="3"/>
  <c r="AD64" i="3"/>
  <c r="AY64" i="3"/>
  <c r="BH64" i="3"/>
  <c r="BN64" i="3"/>
  <c r="CI64" i="3"/>
  <c r="H64" i="2"/>
  <c r="H62" i="2"/>
  <c r="H63" i="2"/>
  <c r="CT63" i="3"/>
  <c r="G63" i="2" s="1"/>
  <c r="CX64" i="3"/>
  <c r="CU64" i="3" s="1"/>
  <c r="E42" i="2"/>
  <c r="E30" i="2"/>
  <c r="F64" i="3"/>
  <c r="CV64" i="3" l="1"/>
  <c r="E64" i="2"/>
  <c r="E63" i="2"/>
  <c r="W63" i="3" l="1"/>
  <c r="X63" i="3" l="1"/>
  <c r="CX63" i="3"/>
  <c r="CU63" i="3" s="1"/>
  <c r="CV63" i="3" s="1"/>
  <c r="Q66" i="1" l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M28" i="1" l="1"/>
  <c r="L28" i="1"/>
  <c r="M25" i="1"/>
  <c r="L25" i="1"/>
  <c r="CQ62" i="3" l="1"/>
  <c r="CP62" i="3"/>
  <c r="CN62" i="3"/>
  <c r="CM62" i="3"/>
  <c r="CK62" i="3"/>
  <c r="CJ62" i="3"/>
  <c r="CH62" i="3"/>
  <c r="CG62" i="3"/>
  <c r="CE62" i="3"/>
  <c r="CD62" i="3"/>
  <c r="CB62" i="3"/>
  <c r="CA62" i="3"/>
  <c r="BY62" i="3"/>
  <c r="BX62" i="3"/>
  <c r="BV62" i="3"/>
  <c r="BU62" i="3"/>
  <c r="BS62" i="3"/>
  <c r="BR62" i="3"/>
  <c r="BP62" i="3"/>
  <c r="BO62" i="3"/>
  <c r="BM62" i="3"/>
  <c r="BL62" i="3"/>
  <c r="BJ62" i="3"/>
  <c r="BI62" i="3"/>
  <c r="BG62" i="3"/>
  <c r="BF62" i="3"/>
  <c r="BD62" i="3"/>
  <c r="BC62" i="3"/>
  <c r="BA62" i="3"/>
  <c r="AZ62" i="3"/>
  <c r="AX62" i="3"/>
  <c r="AW62" i="3"/>
  <c r="AU62" i="3"/>
  <c r="AT62" i="3"/>
  <c r="AR62" i="3"/>
  <c r="AQ62" i="3"/>
  <c r="AO62" i="3"/>
  <c r="AN62" i="3"/>
  <c r="AL62" i="3"/>
  <c r="AK62" i="3"/>
  <c r="AI62" i="3"/>
  <c r="AH62" i="3"/>
  <c r="AF62" i="3"/>
  <c r="AE62" i="3"/>
  <c r="AC62" i="3"/>
  <c r="AB62" i="3"/>
  <c r="Z62" i="3"/>
  <c r="Y62" i="3"/>
  <c r="W62" i="3"/>
  <c r="V62" i="3"/>
  <c r="T62" i="3"/>
  <c r="S62" i="3"/>
  <c r="Q62" i="3"/>
  <c r="P62" i="3"/>
  <c r="N62" i="3"/>
  <c r="M62" i="3"/>
  <c r="K62" i="3"/>
  <c r="J62" i="3"/>
  <c r="H62" i="3"/>
  <c r="G62" i="3"/>
  <c r="E62" i="3"/>
  <c r="D62" i="3"/>
  <c r="CQ61" i="3"/>
  <c r="CP61" i="3"/>
  <c r="CN61" i="3"/>
  <c r="CM61" i="3"/>
  <c r="CK61" i="3"/>
  <c r="CJ61" i="3"/>
  <c r="CH61" i="3"/>
  <c r="CG61" i="3"/>
  <c r="CE61" i="3"/>
  <c r="CD61" i="3"/>
  <c r="CB61" i="3"/>
  <c r="CA61" i="3"/>
  <c r="BY61" i="3"/>
  <c r="BX61" i="3"/>
  <c r="BV61" i="3"/>
  <c r="BU61" i="3"/>
  <c r="BS61" i="3"/>
  <c r="BR61" i="3"/>
  <c r="BP61" i="3"/>
  <c r="BO61" i="3"/>
  <c r="BM61" i="3"/>
  <c r="BL61" i="3"/>
  <c r="BJ61" i="3"/>
  <c r="BI61" i="3"/>
  <c r="BG61" i="3"/>
  <c r="BF61" i="3"/>
  <c r="BD61" i="3"/>
  <c r="BC61" i="3"/>
  <c r="BA61" i="3"/>
  <c r="AZ61" i="3"/>
  <c r="AX61" i="3"/>
  <c r="AW61" i="3"/>
  <c r="AU61" i="3"/>
  <c r="AT61" i="3"/>
  <c r="AR61" i="3"/>
  <c r="AQ61" i="3"/>
  <c r="AO61" i="3"/>
  <c r="AN61" i="3"/>
  <c r="AL61" i="3"/>
  <c r="AK61" i="3"/>
  <c r="AI61" i="3"/>
  <c r="AH61" i="3"/>
  <c r="AF61" i="3"/>
  <c r="AE61" i="3"/>
  <c r="AC61" i="3"/>
  <c r="AB61" i="3"/>
  <c r="Z61" i="3"/>
  <c r="Y61" i="3"/>
  <c r="W61" i="3"/>
  <c r="V61" i="3"/>
  <c r="T61" i="3"/>
  <c r="S61" i="3"/>
  <c r="Q61" i="3"/>
  <c r="P61" i="3"/>
  <c r="N61" i="3"/>
  <c r="M61" i="3"/>
  <c r="K61" i="3"/>
  <c r="J61" i="3"/>
  <c r="H61" i="3"/>
  <c r="G61" i="3"/>
  <c r="E61" i="3"/>
  <c r="D61" i="3"/>
  <c r="CQ60" i="3"/>
  <c r="CP60" i="3"/>
  <c r="CN60" i="3"/>
  <c r="CM60" i="3"/>
  <c r="CK60" i="3"/>
  <c r="CJ60" i="3"/>
  <c r="CH60" i="3"/>
  <c r="CG60" i="3"/>
  <c r="CE60" i="3"/>
  <c r="CD60" i="3"/>
  <c r="CB60" i="3"/>
  <c r="CA60" i="3"/>
  <c r="BY60" i="3"/>
  <c r="BX60" i="3"/>
  <c r="BV60" i="3"/>
  <c r="BU60" i="3"/>
  <c r="BS60" i="3"/>
  <c r="BR60" i="3"/>
  <c r="BP60" i="3"/>
  <c r="BO60" i="3"/>
  <c r="BM60" i="3"/>
  <c r="BL60" i="3"/>
  <c r="BJ60" i="3"/>
  <c r="BI60" i="3"/>
  <c r="BG60" i="3"/>
  <c r="BF60" i="3"/>
  <c r="BD60" i="3"/>
  <c r="BC60" i="3"/>
  <c r="BA60" i="3"/>
  <c r="AZ60" i="3"/>
  <c r="AX60" i="3"/>
  <c r="AW60" i="3"/>
  <c r="AU60" i="3"/>
  <c r="AT60" i="3"/>
  <c r="AR60" i="3"/>
  <c r="AQ60" i="3"/>
  <c r="AO60" i="3"/>
  <c r="AN60" i="3"/>
  <c r="AL60" i="3"/>
  <c r="AK60" i="3"/>
  <c r="AI60" i="3"/>
  <c r="AH60" i="3"/>
  <c r="AF60" i="3"/>
  <c r="AE60" i="3"/>
  <c r="AC60" i="3"/>
  <c r="AB60" i="3"/>
  <c r="Z60" i="3"/>
  <c r="Y60" i="3"/>
  <c r="W60" i="3"/>
  <c r="V60" i="3"/>
  <c r="T60" i="3"/>
  <c r="S60" i="3"/>
  <c r="Q60" i="3"/>
  <c r="P60" i="3"/>
  <c r="N60" i="3"/>
  <c r="M60" i="3"/>
  <c r="K60" i="3"/>
  <c r="J60" i="3"/>
  <c r="H60" i="3"/>
  <c r="G60" i="3"/>
  <c r="E60" i="3"/>
  <c r="D60" i="3"/>
  <c r="CQ59" i="3"/>
  <c r="CP59" i="3"/>
  <c r="CN59" i="3"/>
  <c r="CM59" i="3"/>
  <c r="CK59" i="3"/>
  <c r="CJ59" i="3"/>
  <c r="CH59" i="3"/>
  <c r="CG59" i="3"/>
  <c r="CE59" i="3"/>
  <c r="CD59" i="3"/>
  <c r="CB59" i="3"/>
  <c r="CA59" i="3"/>
  <c r="BY59" i="3"/>
  <c r="BX59" i="3"/>
  <c r="BV59" i="3"/>
  <c r="BU59" i="3"/>
  <c r="BS59" i="3"/>
  <c r="BR59" i="3"/>
  <c r="BP59" i="3"/>
  <c r="BO59" i="3"/>
  <c r="BM59" i="3"/>
  <c r="BL59" i="3"/>
  <c r="BJ59" i="3"/>
  <c r="BI59" i="3"/>
  <c r="BG59" i="3"/>
  <c r="BF59" i="3"/>
  <c r="BD59" i="3"/>
  <c r="BC59" i="3"/>
  <c r="BA59" i="3"/>
  <c r="AZ59" i="3"/>
  <c r="AX59" i="3"/>
  <c r="AW59" i="3"/>
  <c r="AU59" i="3"/>
  <c r="AT59" i="3"/>
  <c r="AR59" i="3"/>
  <c r="AQ59" i="3"/>
  <c r="AO59" i="3"/>
  <c r="AN59" i="3"/>
  <c r="AL59" i="3"/>
  <c r="AK59" i="3"/>
  <c r="AI59" i="3"/>
  <c r="AH59" i="3"/>
  <c r="AF59" i="3"/>
  <c r="AE59" i="3"/>
  <c r="AC59" i="3"/>
  <c r="AB59" i="3"/>
  <c r="Z59" i="3"/>
  <c r="Y59" i="3"/>
  <c r="W59" i="3"/>
  <c r="V59" i="3"/>
  <c r="T59" i="3"/>
  <c r="S59" i="3"/>
  <c r="Q59" i="3"/>
  <c r="P59" i="3"/>
  <c r="N59" i="3"/>
  <c r="M59" i="3"/>
  <c r="K59" i="3"/>
  <c r="J59" i="3"/>
  <c r="H59" i="3"/>
  <c r="G59" i="3"/>
  <c r="E59" i="3"/>
  <c r="D59" i="3"/>
  <c r="CQ58" i="3"/>
  <c r="CP58" i="3"/>
  <c r="CN58" i="3"/>
  <c r="CM58" i="3"/>
  <c r="CK58" i="3"/>
  <c r="CJ58" i="3"/>
  <c r="CH58" i="3"/>
  <c r="CG58" i="3"/>
  <c r="CE58" i="3"/>
  <c r="CD58" i="3"/>
  <c r="CB58" i="3"/>
  <c r="CA58" i="3"/>
  <c r="BY58" i="3"/>
  <c r="BX58" i="3"/>
  <c r="BV58" i="3"/>
  <c r="BU58" i="3"/>
  <c r="BS58" i="3"/>
  <c r="BR58" i="3"/>
  <c r="BP58" i="3"/>
  <c r="BO58" i="3"/>
  <c r="BM58" i="3"/>
  <c r="BL58" i="3"/>
  <c r="BJ58" i="3"/>
  <c r="BI58" i="3"/>
  <c r="BG58" i="3"/>
  <c r="BF58" i="3"/>
  <c r="BD58" i="3"/>
  <c r="BC58" i="3"/>
  <c r="BA58" i="3"/>
  <c r="AZ58" i="3"/>
  <c r="AX58" i="3"/>
  <c r="AW58" i="3"/>
  <c r="AU58" i="3"/>
  <c r="AT58" i="3"/>
  <c r="AR58" i="3"/>
  <c r="AQ58" i="3"/>
  <c r="AO58" i="3"/>
  <c r="AN58" i="3"/>
  <c r="AL58" i="3"/>
  <c r="AK58" i="3"/>
  <c r="AI58" i="3"/>
  <c r="AH58" i="3"/>
  <c r="AF58" i="3"/>
  <c r="AE58" i="3"/>
  <c r="AC58" i="3"/>
  <c r="AB58" i="3"/>
  <c r="Z58" i="3"/>
  <c r="Y58" i="3"/>
  <c r="W58" i="3"/>
  <c r="V58" i="3"/>
  <c r="T58" i="3"/>
  <c r="S58" i="3"/>
  <c r="Q58" i="3"/>
  <c r="P58" i="3"/>
  <c r="N58" i="3"/>
  <c r="M58" i="3"/>
  <c r="K58" i="3"/>
  <c r="J58" i="3"/>
  <c r="H58" i="3"/>
  <c r="G58" i="3"/>
  <c r="E58" i="3"/>
  <c r="D58" i="3"/>
  <c r="CQ57" i="3"/>
  <c r="CP57" i="3"/>
  <c r="CN57" i="3"/>
  <c r="CM57" i="3"/>
  <c r="CK57" i="3"/>
  <c r="CJ57" i="3"/>
  <c r="CH57" i="3"/>
  <c r="CG57" i="3"/>
  <c r="CE57" i="3"/>
  <c r="CD57" i="3"/>
  <c r="CB57" i="3"/>
  <c r="CA57" i="3"/>
  <c r="BY57" i="3"/>
  <c r="BX57" i="3"/>
  <c r="BV57" i="3"/>
  <c r="BU57" i="3"/>
  <c r="BS57" i="3"/>
  <c r="BR57" i="3"/>
  <c r="BP57" i="3"/>
  <c r="BO57" i="3"/>
  <c r="BM57" i="3"/>
  <c r="BL57" i="3"/>
  <c r="BJ57" i="3"/>
  <c r="BI57" i="3"/>
  <c r="BG57" i="3"/>
  <c r="BF57" i="3"/>
  <c r="BD57" i="3"/>
  <c r="BC57" i="3"/>
  <c r="BA57" i="3"/>
  <c r="AZ57" i="3"/>
  <c r="AX57" i="3"/>
  <c r="AW57" i="3"/>
  <c r="AU57" i="3"/>
  <c r="AT57" i="3"/>
  <c r="AR57" i="3"/>
  <c r="AQ57" i="3"/>
  <c r="AO57" i="3"/>
  <c r="AN57" i="3"/>
  <c r="AL57" i="3"/>
  <c r="AK57" i="3"/>
  <c r="AI57" i="3"/>
  <c r="AH57" i="3"/>
  <c r="AF57" i="3"/>
  <c r="AE57" i="3"/>
  <c r="AC57" i="3"/>
  <c r="AB57" i="3"/>
  <c r="Z57" i="3"/>
  <c r="Y57" i="3"/>
  <c r="W57" i="3"/>
  <c r="V57" i="3"/>
  <c r="T57" i="3"/>
  <c r="S57" i="3"/>
  <c r="Q57" i="3"/>
  <c r="P57" i="3"/>
  <c r="N57" i="3"/>
  <c r="M57" i="3"/>
  <c r="K57" i="3"/>
  <c r="J57" i="3"/>
  <c r="H57" i="3"/>
  <c r="G57" i="3"/>
  <c r="E57" i="3"/>
  <c r="D57" i="3"/>
  <c r="CQ56" i="3"/>
  <c r="CP56" i="3"/>
  <c r="CN56" i="3"/>
  <c r="CM56" i="3"/>
  <c r="CK56" i="3"/>
  <c r="CJ56" i="3"/>
  <c r="CH56" i="3"/>
  <c r="CG56" i="3"/>
  <c r="CE56" i="3"/>
  <c r="CD56" i="3"/>
  <c r="CB56" i="3"/>
  <c r="CA56" i="3"/>
  <c r="BY56" i="3"/>
  <c r="BX56" i="3"/>
  <c r="BV56" i="3"/>
  <c r="BU56" i="3"/>
  <c r="BS56" i="3"/>
  <c r="BR56" i="3"/>
  <c r="BP56" i="3"/>
  <c r="BO56" i="3"/>
  <c r="BM56" i="3"/>
  <c r="BL56" i="3"/>
  <c r="BJ56" i="3"/>
  <c r="BI56" i="3"/>
  <c r="BG56" i="3"/>
  <c r="BF56" i="3"/>
  <c r="BD56" i="3"/>
  <c r="BC56" i="3"/>
  <c r="BA56" i="3"/>
  <c r="AZ56" i="3"/>
  <c r="AX56" i="3"/>
  <c r="AW56" i="3"/>
  <c r="AU56" i="3"/>
  <c r="AT56" i="3"/>
  <c r="AR56" i="3"/>
  <c r="AQ56" i="3"/>
  <c r="AO56" i="3"/>
  <c r="AN56" i="3"/>
  <c r="AL56" i="3"/>
  <c r="AK56" i="3"/>
  <c r="AI56" i="3"/>
  <c r="AH56" i="3"/>
  <c r="AF56" i="3"/>
  <c r="AE56" i="3"/>
  <c r="AC56" i="3"/>
  <c r="AB56" i="3"/>
  <c r="Z56" i="3"/>
  <c r="Y56" i="3"/>
  <c r="W56" i="3"/>
  <c r="V56" i="3"/>
  <c r="T56" i="3"/>
  <c r="S56" i="3"/>
  <c r="Q56" i="3"/>
  <c r="P56" i="3"/>
  <c r="N56" i="3"/>
  <c r="M56" i="3"/>
  <c r="K56" i="3"/>
  <c r="J56" i="3"/>
  <c r="H56" i="3"/>
  <c r="G56" i="3"/>
  <c r="E56" i="3"/>
  <c r="D56" i="3"/>
  <c r="CQ55" i="3"/>
  <c r="CP55" i="3"/>
  <c r="CN55" i="3"/>
  <c r="CM55" i="3"/>
  <c r="CK55" i="3"/>
  <c r="CJ55" i="3"/>
  <c r="CH55" i="3"/>
  <c r="CG55" i="3"/>
  <c r="CE55" i="3"/>
  <c r="CD55" i="3"/>
  <c r="CB55" i="3"/>
  <c r="CA55" i="3"/>
  <c r="BY55" i="3"/>
  <c r="BX55" i="3"/>
  <c r="BV55" i="3"/>
  <c r="BU55" i="3"/>
  <c r="BS55" i="3"/>
  <c r="BR55" i="3"/>
  <c r="BP55" i="3"/>
  <c r="BO55" i="3"/>
  <c r="BM55" i="3"/>
  <c r="BL55" i="3"/>
  <c r="BJ55" i="3"/>
  <c r="BI55" i="3"/>
  <c r="BG55" i="3"/>
  <c r="BF55" i="3"/>
  <c r="BD55" i="3"/>
  <c r="BC55" i="3"/>
  <c r="BA55" i="3"/>
  <c r="AZ55" i="3"/>
  <c r="AX55" i="3"/>
  <c r="AW55" i="3"/>
  <c r="AU55" i="3"/>
  <c r="AT55" i="3"/>
  <c r="AR55" i="3"/>
  <c r="AQ55" i="3"/>
  <c r="AO55" i="3"/>
  <c r="AN55" i="3"/>
  <c r="AL55" i="3"/>
  <c r="AK55" i="3"/>
  <c r="AI55" i="3"/>
  <c r="AH55" i="3"/>
  <c r="AF55" i="3"/>
  <c r="AE55" i="3"/>
  <c r="AC55" i="3"/>
  <c r="AB55" i="3"/>
  <c r="Z55" i="3"/>
  <c r="Y55" i="3"/>
  <c r="W55" i="3"/>
  <c r="V55" i="3"/>
  <c r="T55" i="3"/>
  <c r="S55" i="3"/>
  <c r="Q55" i="3"/>
  <c r="P55" i="3"/>
  <c r="N55" i="3"/>
  <c r="M55" i="3"/>
  <c r="K55" i="3"/>
  <c r="J55" i="3"/>
  <c r="H55" i="3"/>
  <c r="G55" i="3"/>
  <c r="E55" i="3"/>
  <c r="D55" i="3"/>
  <c r="CQ54" i="3"/>
  <c r="CP54" i="3"/>
  <c r="CN54" i="3"/>
  <c r="CM54" i="3"/>
  <c r="CK54" i="3"/>
  <c r="CJ54" i="3"/>
  <c r="CH54" i="3"/>
  <c r="CG54" i="3"/>
  <c r="CE54" i="3"/>
  <c r="CD54" i="3"/>
  <c r="CB54" i="3"/>
  <c r="CA54" i="3"/>
  <c r="BY54" i="3"/>
  <c r="BX54" i="3"/>
  <c r="BV54" i="3"/>
  <c r="BU54" i="3"/>
  <c r="BS54" i="3"/>
  <c r="BR54" i="3"/>
  <c r="BP54" i="3"/>
  <c r="BO54" i="3"/>
  <c r="BM54" i="3"/>
  <c r="BL54" i="3"/>
  <c r="BJ54" i="3"/>
  <c r="BI54" i="3"/>
  <c r="BG54" i="3"/>
  <c r="BF54" i="3"/>
  <c r="BD54" i="3"/>
  <c r="BC54" i="3"/>
  <c r="BA54" i="3"/>
  <c r="AZ54" i="3"/>
  <c r="AX54" i="3"/>
  <c r="AW54" i="3"/>
  <c r="AU54" i="3"/>
  <c r="AT54" i="3"/>
  <c r="AR54" i="3"/>
  <c r="AQ54" i="3"/>
  <c r="AO54" i="3"/>
  <c r="AN54" i="3"/>
  <c r="AL54" i="3"/>
  <c r="AK54" i="3"/>
  <c r="AI54" i="3"/>
  <c r="AH54" i="3"/>
  <c r="AF54" i="3"/>
  <c r="AE54" i="3"/>
  <c r="AC54" i="3"/>
  <c r="AB54" i="3"/>
  <c r="Z54" i="3"/>
  <c r="Y54" i="3"/>
  <c r="W54" i="3"/>
  <c r="V54" i="3"/>
  <c r="T54" i="3"/>
  <c r="S54" i="3"/>
  <c r="Q54" i="3"/>
  <c r="P54" i="3"/>
  <c r="N54" i="3"/>
  <c r="M54" i="3"/>
  <c r="K54" i="3"/>
  <c r="J54" i="3"/>
  <c r="H54" i="3"/>
  <c r="G54" i="3"/>
  <c r="E54" i="3"/>
  <c r="D54" i="3"/>
  <c r="CQ53" i="3"/>
  <c r="CP53" i="3"/>
  <c r="CN53" i="3"/>
  <c r="CM53" i="3"/>
  <c r="CK53" i="3"/>
  <c r="CJ53" i="3"/>
  <c r="CH53" i="3"/>
  <c r="CG53" i="3"/>
  <c r="CE53" i="3"/>
  <c r="CD53" i="3"/>
  <c r="CB53" i="3"/>
  <c r="CA53" i="3"/>
  <c r="BY53" i="3"/>
  <c r="BX53" i="3"/>
  <c r="BV53" i="3"/>
  <c r="BU53" i="3"/>
  <c r="BS53" i="3"/>
  <c r="BR53" i="3"/>
  <c r="BP53" i="3"/>
  <c r="BO53" i="3"/>
  <c r="BM53" i="3"/>
  <c r="BL53" i="3"/>
  <c r="BJ53" i="3"/>
  <c r="BI53" i="3"/>
  <c r="BG53" i="3"/>
  <c r="BF53" i="3"/>
  <c r="BD53" i="3"/>
  <c r="BC53" i="3"/>
  <c r="BA53" i="3"/>
  <c r="AZ53" i="3"/>
  <c r="AX53" i="3"/>
  <c r="AW53" i="3"/>
  <c r="AU53" i="3"/>
  <c r="AT53" i="3"/>
  <c r="AR53" i="3"/>
  <c r="AQ53" i="3"/>
  <c r="AO53" i="3"/>
  <c r="AN53" i="3"/>
  <c r="AL53" i="3"/>
  <c r="AK53" i="3"/>
  <c r="AI53" i="3"/>
  <c r="AH53" i="3"/>
  <c r="AF53" i="3"/>
  <c r="AE53" i="3"/>
  <c r="AC53" i="3"/>
  <c r="AB53" i="3"/>
  <c r="Z53" i="3"/>
  <c r="Y53" i="3"/>
  <c r="W53" i="3"/>
  <c r="V53" i="3"/>
  <c r="T53" i="3"/>
  <c r="S53" i="3"/>
  <c r="Q53" i="3"/>
  <c r="P53" i="3"/>
  <c r="N53" i="3"/>
  <c r="M53" i="3"/>
  <c r="K53" i="3"/>
  <c r="J53" i="3"/>
  <c r="H53" i="3"/>
  <c r="G53" i="3"/>
  <c r="E53" i="3"/>
  <c r="D53" i="3"/>
  <c r="CQ52" i="3"/>
  <c r="CP52" i="3"/>
  <c r="CN52" i="3"/>
  <c r="CM52" i="3"/>
  <c r="CK52" i="3"/>
  <c r="CJ52" i="3"/>
  <c r="CH52" i="3"/>
  <c r="CG52" i="3"/>
  <c r="CE52" i="3"/>
  <c r="CD52" i="3"/>
  <c r="CB52" i="3"/>
  <c r="CA52" i="3"/>
  <c r="BY52" i="3"/>
  <c r="BX52" i="3"/>
  <c r="BV52" i="3"/>
  <c r="BU52" i="3"/>
  <c r="BS52" i="3"/>
  <c r="BR52" i="3"/>
  <c r="BP52" i="3"/>
  <c r="BO52" i="3"/>
  <c r="BM52" i="3"/>
  <c r="BL52" i="3"/>
  <c r="BJ52" i="3"/>
  <c r="BI52" i="3"/>
  <c r="BG52" i="3"/>
  <c r="BF52" i="3"/>
  <c r="BD52" i="3"/>
  <c r="BC52" i="3"/>
  <c r="BA52" i="3"/>
  <c r="AZ52" i="3"/>
  <c r="AX52" i="3"/>
  <c r="AW52" i="3"/>
  <c r="AU52" i="3"/>
  <c r="AT52" i="3"/>
  <c r="AR52" i="3"/>
  <c r="AQ52" i="3"/>
  <c r="AO52" i="3"/>
  <c r="AN52" i="3"/>
  <c r="AL52" i="3"/>
  <c r="AK52" i="3"/>
  <c r="AI52" i="3"/>
  <c r="AH52" i="3"/>
  <c r="AF52" i="3"/>
  <c r="AE52" i="3"/>
  <c r="AC52" i="3"/>
  <c r="AB52" i="3"/>
  <c r="Z52" i="3"/>
  <c r="Y52" i="3"/>
  <c r="W52" i="3"/>
  <c r="V52" i="3"/>
  <c r="T52" i="3"/>
  <c r="S52" i="3"/>
  <c r="Q52" i="3"/>
  <c r="P52" i="3"/>
  <c r="N52" i="3"/>
  <c r="M52" i="3"/>
  <c r="K52" i="3"/>
  <c r="J52" i="3"/>
  <c r="H52" i="3"/>
  <c r="G52" i="3"/>
  <c r="E52" i="3"/>
  <c r="D52" i="3"/>
  <c r="CQ51" i="3"/>
  <c r="CP51" i="3"/>
  <c r="CN51" i="3"/>
  <c r="CM51" i="3"/>
  <c r="CK51" i="3"/>
  <c r="CJ51" i="3"/>
  <c r="CH51" i="3"/>
  <c r="CG51" i="3"/>
  <c r="CE51" i="3"/>
  <c r="CD51" i="3"/>
  <c r="CB51" i="3"/>
  <c r="CA51" i="3"/>
  <c r="BY51" i="3"/>
  <c r="BX51" i="3"/>
  <c r="BV51" i="3"/>
  <c r="BU51" i="3"/>
  <c r="BS51" i="3"/>
  <c r="BR51" i="3"/>
  <c r="BP51" i="3"/>
  <c r="BO51" i="3"/>
  <c r="BM51" i="3"/>
  <c r="BL51" i="3"/>
  <c r="BJ51" i="3"/>
  <c r="BI51" i="3"/>
  <c r="BG51" i="3"/>
  <c r="BF51" i="3"/>
  <c r="BD51" i="3"/>
  <c r="BC51" i="3"/>
  <c r="BA51" i="3"/>
  <c r="AZ51" i="3"/>
  <c r="AX51" i="3"/>
  <c r="AW51" i="3"/>
  <c r="AU51" i="3"/>
  <c r="AT51" i="3"/>
  <c r="AR51" i="3"/>
  <c r="AQ51" i="3"/>
  <c r="AO51" i="3"/>
  <c r="AN51" i="3"/>
  <c r="AL51" i="3"/>
  <c r="AK51" i="3"/>
  <c r="AI51" i="3"/>
  <c r="AH51" i="3"/>
  <c r="AF51" i="3"/>
  <c r="AE51" i="3"/>
  <c r="AC51" i="3"/>
  <c r="AB51" i="3"/>
  <c r="Z51" i="3"/>
  <c r="Y51" i="3"/>
  <c r="W51" i="3"/>
  <c r="V51" i="3"/>
  <c r="T51" i="3"/>
  <c r="S51" i="3"/>
  <c r="Q51" i="3"/>
  <c r="P51" i="3"/>
  <c r="N51" i="3"/>
  <c r="M51" i="3"/>
  <c r="K51" i="3"/>
  <c r="J51" i="3"/>
  <c r="H51" i="3"/>
  <c r="G51" i="3"/>
  <c r="E51" i="3"/>
  <c r="D51" i="3"/>
  <c r="CQ50" i="3"/>
  <c r="CP50" i="3"/>
  <c r="CN50" i="3"/>
  <c r="CM50" i="3"/>
  <c r="CK50" i="3"/>
  <c r="CJ50" i="3"/>
  <c r="CH50" i="3"/>
  <c r="CG50" i="3"/>
  <c r="CE50" i="3"/>
  <c r="CD50" i="3"/>
  <c r="CB50" i="3"/>
  <c r="CA50" i="3"/>
  <c r="BY50" i="3"/>
  <c r="BX50" i="3"/>
  <c r="BV50" i="3"/>
  <c r="BU50" i="3"/>
  <c r="BS50" i="3"/>
  <c r="BR50" i="3"/>
  <c r="BP50" i="3"/>
  <c r="BO50" i="3"/>
  <c r="BM50" i="3"/>
  <c r="BL50" i="3"/>
  <c r="BJ50" i="3"/>
  <c r="BI50" i="3"/>
  <c r="BG50" i="3"/>
  <c r="BF50" i="3"/>
  <c r="BD50" i="3"/>
  <c r="BC50" i="3"/>
  <c r="BA50" i="3"/>
  <c r="AZ50" i="3"/>
  <c r="AX50" i="3"/>
  <c r="AW50" i="3"/>
  <c r="AU50" i="3"/>
  <c r="AT50" i="3"/>
  <c r="AR50" i="3"/>
  <c r="AQ50" i="3"/>
  <c r="AO50" i="3"/>
  <c r="AN50" i="3"/>
  <c r="AL50" i="3"/>
  <c r="AK50" i="3"/>
  <c r="AI50" i="3"/>
  <c r="AH50" i="3"/>
  <c r="AF50" i="3"/>
  <c r="AE50" i="3"/>
  <c r="AC50" i="3"/>
  <c r="AB50" i="3"/>
  <c r="Z50" i="3"/>
  <c r="Y50" i="3"/>
  <c r="W50" i="3"/>
  <c r="V50" i="3"/>
  <c r="T50" i="3"/>
  <c r="S50" i="3"/>
  <c r="Q50" i="3"/>
  <c r="P50" i="3"/>
  <c r="N50" i="3"/>
  <c r="M50" i="3"/>
  <c r="K50" i="3"/>
  <c r="J50" i="3"/>
  <c r="H50" i="3"/>
  <c r="G50" i="3"/>
  <c r="E50" i="3"/>
  <c r="D50" i="3"/>
  <c r="CQ49" i="3"/>
  <c r="CP49" i="3"/>
  <c r="CN49" i="3"/>
  <c r="CM49" i="3"/>
  <c r="CK49" i="3"/>
  <c r="CJ49" i="3"/>
  <c r="CH49" i="3"/>
  <c r="CG49" i="3"/>
  <c r="CE49" i="3"/>
  <c r="CD49" i="3"/>
  <c r="CB49" i="3"/>
  <c r="CA49" i="3"/>
  <c r="BY49" i="3"/>
  <c r="BX49" i="3"/>
  <c r="BV49" i="3"/>
  <c r="BU49" i="3"/>
  <c r="BS49" i="3"/>
  <c r="BR49" i="3"/>
  <c r="BP49" i="3"/>
  <c r="BO49" i="3"/>
  <c r="BM49" i="3"/>
  <c r="BL49" i="3"/>
  <c r="BJ49" i="3"/>
  <c r="BI49" i="3"/>
  <c r="BG49" i="3"/>
  <c r="BF49" i="3"/>
  <c r="BD49" i="3"/>
  <c r="BC49" i="3"/>
  <c r="BA49" i="3"/>
  <c r="AZ49" i="3"/>
  <c r="AX49" i="3"/>
  <c r="AW49" i="3"/>
  <c r="AU49" i="3"/>
  <c r="AT49" i="3"/>
  <c r="AR49" i="3"/>
  <c r="AQ49" i="3"/>
  <c r="AO49" i="3"/>
  <c r="AN49" i="3"/>
  <c r="AL49" i="3"/>
  <c r="AK49" i="3"/>
  <c r="AI49" i="3"/>
  <c r="AH49" i="3"/>
  <c r="AF49" i="3"/>
  <c r="AE49" i="3"/>
  <c r="AC49" i="3"/>
  <c r="AB49" i="3"/>
  <c r="Z49" i="3"/>
  <c r="Y49" i="3"/>
  <c r="W49" i="3"/>
  <c r="V49" i="3"/>
  <c r="T49" i="3"/>
  <c r="S49" i="3"/>
  <c r="Q49" i="3"/>
  <c r="P49" i="3"/>
  <c r="N49" i="3"/>
  <c r="M49" i="3"/>
  <c r="K49" i="3"/>
  <c r="J49" i="3"/>
  <c r="H49" i="3"/>
  <c r="G49" i="3"/>
  <c r="E49" i="3"/>
  <c r="D49" i="3"/>
  <c r="CQ48" i="3"/>
  <c r="CP48" i="3"/>
  <c r="CN48" i="3"/>
  <c r="CM48" i="3"/>
  <c r="CK48" i="3"/>
  <c r="CJ48" i="3"/>
  <c r="CH48" i="3"/>
  <c r="CG48" i="3"/>
  <c r="CE48" i="3"/>
  <c r="CD48" i="3"/>
  <c r="CB48" i="3"/>
  <c r="CA48" i="3"/>
  <c r="BY48" i="3"/>
  <c r="BX48" i="3"/>
  <c r="BV48" i="3"/>
  <c r="BU48" i="3"/>
  <c r="BS48" i="3"/>
  <c r="BR48" i="3"/>
  <c r="BP48" i="3"/>
  <c r="BO48" i="3"/>
  <c r="BM48" i="3"/>
  <c r="BL48" i="3"/>
  <c r="BJ48" i="3"/>
  <c r="BI48" i="3"/>
  <c r="BG48" i="3"/>
  <c r="BF48" i="3"/>
  <c r="BD48" i="3"/>
  <c r="BC48" i="3"/>
  <c r="BA48" i="3"/>
  <c r="AZ48" i="3"/>
  <c r="AX48" i="3"/>
  <c r="AW48" i="3"/>
  <c r="AU48" i="3"/>
  <c r="AT48" i="3"/>
  <c r="AR48" i="3"/>
  <c r="AQ48" i="3"/>
  <c r="AO48" i="3"/>
  <c r="AN48" i="3"/>
  <c r="AL48" i="3"/>
  <c r="AK48" i="3"/>
  <c r="AI48" i="3"/>
  <c r="AH48" i="3"/>
  <c r="AF48" i="3"/>
  <c r="AE48" i="3"/>
  <c r="AC48" i="3"/>
  <c r="AB48" i="3"/>
  <c r="Z48" i="3"/>
  <c r="Y48" i="3"/>
  <c r="W48" i="3"/>
  <c r="V48" i="3"/>
  <c r="T48" i="3"/>
  <c r="S48" i="3"/>
  <c r="Q48" i="3"/>
  <c r="P48" i="3"/>
  <c r="N48" i="3"/>
  <c r="M48" i="3"/>
  <c r="K48" i="3"/>
  <c r="J48" i="3"/>
  <c r="H48" i="3"/>
  <c r="G48" i="3"/>
  <c r="E48" i="3"/>
  <c r="D48" i="3"/>
  <c r="CQ47" i="3"/>
  <c r="CP47" i="3"/>
  <c r="CN47" i="3"/>
  <c r="CM47" i="3"/>
  <c r="CK47" i="3"/>
  <c r="CJ47" i="3"/>
  <c r="CH47" i="3"/>
  <c r="CG47" i="3"/>
  <c r="CE47" i="3"/>
  <c r="CD47" i="3"/>
  <c r="CB47" i="3"/>
  <c r="CA47" i="3"/>
  <c r="BY47" i="3"/>
  <c r="BX47" i="3"/>
  <c r="BV47" i="3"/>
  <c r="BU47" i="3"/>
  <c r="BS47" i="3"/>
  <c r="BR47" i="3"/>
  <c r="BP47" i="3"/>
  <c r="BO47" i="3"/>
  <c r="BM47" i="3"/>
  <c r="BL47" i="3"/>
  <c r="BJ47" i="3"/>
  <c r="BI47" i="3"/>
  <c r="BG47" i="3"/>
  <c r="BF47" i="3"/>
  <c r="BD47" i="3"/>
  <c r="BC47" i="3"/>
  <c r="BA47" i="3"/>
  <c r="AZ47" i="3"/>
  <c r="AX47" i="3"/>
  <c r="AW47" i="3"/>
  <c r="AU47" i="3"/>
  <c r="AT47" i="3"/>
  <c r="AR47" i="3"/>
  <c r="AQ47" i="3"/>
  <c r="AO47" i="3"/>
  <c r="AN47" i="3"/>
  <c r="AL47" i="3"/>
  <c r="AK47" i="3"/>
  <c r="AI47" i="3"/>
  <c r="AH47" i="3"/>
  <c r="AF47" i="3"/>
  <c r="AE47" i="3"/>
  <c r="AC47" i="3"/>
  <c r="AB47" i="3"/>
  <c r="Z47" i="3"/>
  <c r="Y47" i="3"/>
  <c r="W47" i="3"/>
  <c r="V47" i="3"/>
  <c r="T47" i="3"/>
  <c r="S47" i="3"/>
  <c r="Q47" i="3"/>
  <c r="P47" i="3"/>
  <c r="N47" i="3"/>
  <c r="M47" i="3"/>
  <c r="K47" i="3"/>
  <c r="J47" i="3"/>
  <c r="H47" i="3"/>
  <c r="G47" i="3"/>
  <c r="E47" i="3"/>
  <c r="D47" i="3"/>
  <c r="CQ46" i="3"/>
  <c r="CP46" i="3"/>
  <c r="CN46" i="3"/>
  <c r="CM46" i="3"/>
  <c r="CK46" i="3"/>
  <c r="CJ46" i="3"/>
  <c r="CH46" i="3"/>
  <c r="CG46" i="3"/>
  <c r="CE46" i="3"/>
  <c r="CD46" i="3"/>
  <c r="CB46" i="3"/>
  <c r="CA46" i="3"/>
  <c r="BY46" i="3"/>
  <c r="BX46" i="3"/>
  <c r="BV46" i="3"/>
  <c r="BU46" i="3"/>
  <c r="BS46" i="3"/>
  <c r="BR46" i="3"/>
  <c r="BP46" i="3"/>
  <c r="BO46" i="3"/>
  <c r="BM46" i="3"/>
  <c r="BL46" i="3"/>
  <c r="BJ46" i="3"/>
  <c r="BI46" i="3"/>
  <c r="BG46" i="3"/>
  <c r="BF46" i="3"/>
  <c r="BD46" i="3"/>
  <c r="BC46" i="3"/>
  <c r="BA46" i="3"/>
  <c r="AZ46" i="3"/>
  <c r="AX46" i="3"/>
  <c r="AW46" i="3"/>
  <c r="AU46" i="3"/>
  <c r="AT46" i="3"/>
  <c r="AR46" i="3"/>
  <c r="AQ46" i="3"/>
  <c r="AO46" i="3"/>
  <c r="AN46" i="3"/>
  <c r="AL46" i="3"/>
  <c r="AK46" i="3"/>
  <c r="AI46" i="3"/>
  <c r="AH46" i="3"/>
  <c r="AF46" i="3"/>
  <c r="AE46" i="3"/>
  <c r="AC46" i="3"/>
  <c r="AB46" i="3"/>
  <c r="Z46" i="3"/>
  <c r="Y46" i="3"/>
  <c r="W46" i="3"/>
  <c r="V46" i="3"/>
  <c r="T46" i="3"/>
  <c r="S46" i="3"/>
  <c r="Q46" i="3"/>
  <c r="P46" i="3"/>
  <c r="N46" i="3"/>
  <c r="M46" i="3"/>
  <c r="K46" i="3"/>
  <c r="J46" i="3"/>
  <c r="H46" i="3"/>
  <c r="G46" i="3"/>
  <c r="E46" i="3"/>
  <c r="D46" i="3"/>
  <c r="CQ45" i="3"/>
  <c r="CP45" i="3"/>
  <c r="CN45" i="3"/>
  <c r="CM45" i="3"/>
  <c r="CK45" i="3"/>
  <c r="CJ45" i="3"/>
  <c r="CH45" i="3"/>
  <c r="CG45" i="3"/>
  <c r="CE45" i="3"/>
  <c r="CD45" i="3"/>
  <c r="CB45" i="3"/>
  <c r="CA45" i="3"/>
  <c r="BY45" i="3"/>
  <c r="BX45" i="3"/>
  <c r="BV45" i="3"/>
  <c r="BU45" i="3"/>
  <c r="BS45" i="3"/>
  <c r="BR45" i="3"/>
  <c r="BP45" i="3"/>
  <c r="BO45" i="3"/>
  <c r="BM45" i="3"/>
  <c r="BL45" i="3"/>
  <c r="BJ45" i="3"/>
  <c r="BI45" i="3"/>
  <c r="BG45" i="3"/>
  <c r="BF45" i="3"/>
  <c r="BD45" i="3"/>
  <c r="BC45" i="3"/>
  <c r="BA45" i="3"/>
  <c r="AZ45" i="3"/>
  <c r="AX45" i="3"/>
  <c r="AW45" i="3"/>
  <c r="AU45" i="3"/>
  <c r="AT45" i="3"/>
  <c r="AR45" i="3"/>
  <c r="AQ45" i="3"/>
  <c r="AO45" i="3"/>
  <c r="AN45" i="3"/>
  <c r="AL45" i="3"/>
  <c r="AK45" i="3"/>
  <c r="AI45" i="3"/>
  <c r="AH45" i="3"/>
  <c r="AF45" i="3"/>
  <c r="AE45" i="3"/>
  <c r="AC45" i="3"/>
  <c r="AB45" i="3"/>
  <c r="Z45" i="3"/>
  <c r="Y45" i="3"/>
  <c r="W45" i="3"/>
  <c r="V45" i="3"/>
  <c r="T45" i="3"/>
  <c r="S45" i="3"/>
  <c r="Q45" i="3"/>
  <c r="P45" i="3"/>
  <c r="N45" i="3"/>
  <c r="M45" i="3"/>
  <c r="K45" i="3"/>
  <c r="J45" i="3"/>
  <c r="H45" i="3"/>
  <c r="G45" i="3"/>
  <c r="E45" i="3"/>
  <c r="D45" i="3"/>
  <c r="CQ44" i="3"/>
  <c r="CP44" i="3"/>
  <c r="CN44" i="3"/>
  <c r="CM44" i="3"/>
  <c r="CK44" i="3"/>
  <c r="CJ44" i="3"/>
  <c r="CH44" i="3"/>
  <c r="CG44" i="3"/>
  <c r="CE44" i="3"/>
  <c r="CD44" i="3"/>
  <c r="CB44" i="3"/>
  <c r="CA44" i="3"/>
  <c r="BY44" i="3"/>
  <c r="BX44" i="3"/>
  <c r="BV44" i="3"/>
  <c r="BU44" i="3"/>
  <c r="BS44" i="3"/>
  <c r="BR44" i="3"/>
  <c r="BP44" i="3"/>
  <c r="BO44" i="3"/>
  <c r="BM44" i="3"/>
  <c r="BL44" i="3"/>
  <c r="BJ44" i="3"/>
  <c r="BI44" i="3"/>
  <c r="BG44" i="3"/>
  <c r="BF44" i="3"/>
  <c r="BD44" i="3"/>
  <c r="BC44" i="3"/>
  <c r="BA44" i="3"/>
  <c r="AZ44" i="3"/>
  <c r="AX44" i="3"/>
  <c r="AW44" i="3"/>
  <c r="AU44" i="3"/>
  <c r="AT44" i="3"/>
  <c r="AR44" i="3"/>
  <c r="AQ44" i="3"/>
  <c r="AO44" i="3"/>
  <c r="AN44" i="3"/>
  <c r="AL44" i="3"/>
  <c r="AK44" i="3"/>
  <c r="AI44" i="3"/>
  <c r="AH44" i="3"/>
  <c r="AF44" i="3"/>
  <c r="AE44" i="3"/>
  <c r="AC44" i="3"/>
  <c r="AB44" i="3"/>
  <c r="Z44" i="3"/>
  <c r="Y44" i="3"/>
  <c r="W44" i="3"/>
  <c r="V44" i="3"/>
  <c r="T44" i="3"/>
  <c r="S44" i="3"/>
  <c r="Q44" i="3"/>
  <c r="P44" i="3"/>
  <c r="N44" i="3"/>
  <c r="M44" i="3"/>
  <c r="K44" i="3"/>
  <c r="J44" i="3"/>
  <c r="H44" i="3"/>
  <c r="G44" i="3"/>
  <c r="E44" i="3"/>
  <c r="D44" i="3"/>
  <c r="CQ43" i="3"/>
  <c r="CP43" i="3"/>
  <c r="CN43" i="3"/>
  <c r="CM43" i="3"/>
  <c r="CK43" i="3"/>
  <c r="CJ43" i="3"/>
  <c r="CH43" i="3"/>
  <c r="CG43" i="3"/>
  <c r="CE43" i="3"/>
  <c r="CD43" i="3"/>
  <c r="CB43" i="3"/>
  <c r="CA43" i="3"/>
  <c r="BY43" i="3"/>
  <c r="BX43" i="3"/>
  <c r="BV43" i="3"/>
  <c r="BU43" i="3"/>
  <c r="BS43" i="3"/>
  <c r="BR43" i="3"/>
  <c r="BP43" i="3"/>
  <c r="BO43" i="3"/>
  <c r="BM43" i="3"/>
  <c r="BL43" i="3"/>
  <c r="BJ43" i="3"/>
  <c r="BI43" i="3"/>
  <c r="BG43" i="3"/>
  <c r="BF43" i="3"/>
  <c r="BD43" i="3"/>
  <c r="BC43" i="3"/>
  <c r="BA43" i="3"/>
  <c r="AZ43" i="3"/>
  <c r="AX43" i="3"/>
  <c r="AW43" i="3"/>
  <c r="AU43" i="3"/>
  <c r="AT43" i="3"/>
  <c r="AR43" i="3"/>
  <c r="AQ43" i="3"/>
  <c r="AO43" i="3"/>
  <c r="AN43" i="3"/>
  <c r="AL43" i="3"/>
  <c r="AK43" i="3"/>
  <c r="AI43" i="3"/>
  <c r="AH43" i="3"/>
  <c r="AF43" i="3"/>
  <c r="AE43" i="3"/>
  <c r="AC43" i="3"/>
  <c r="AB43" i="3"/>
  <c r="Z43" i="3"/>
  <c r="Y43" i="3"/>
  <c r="W43" i="3"/>
  <c r="V43" i="3"/>
  <c r="T43" i="3"/>
  <c r="S43" i="3"/>
  <c r="Q43" i="3"/>
  <c r="P43" i="3"/>
  <c r="N43" i="3"/>
  <c r="M43" i="3"/>
  <c r="K43" i="3"/>
  <c r="J43" i="3"/>
  <c r="H43" i="3"/>
  <c r="G43" i="3"/>
  <c r="E43" i="3"/>
  <c r="D43" i="3"/>
  <c r="CQ42" i="3"/>
  <c r="CP42" i="3"/>
  <c r="CN42" i="3"/>
  <c r="CM42" i="3"/>
  <c r="CK42" i="3"/>
  <c r="CJ42" i="3"/>
  <c r="CH42" i="3"/>
  <c r="CG42" i="3"/>
  <c r="CE42" i="3"/>
  <c r="CD42" i="3"/>
  <c r="CB42" i="3"/>
  <c r="CA42" i="3"/>
  <c r="BY42" i="3"/>
  <c r="BX42" i="3"/>
  <c r="BV42" i="3"/>
  <c r="BU42" i="3"/>
  <c r="BS42" i="3"/>
  <c r="BR42" i="3"/>
  <c r="BP42" i="3"/>
  <c r="BO42" i="3"/>
  <c r="BM42" i="3"/>
  <c r="BL42" i="3"/>
  <c r="BJ42" i="3"/>
  <c r="BI42" i="3"/>
  <c r="BG42" i="3"/>
  <c r="BF42" i="3"/>
  <c r="BD42" i="3"/>
  <c r="BC42" i="3"/>
  <c r="BA42" i="3"/>
  <c r="AZ42" i="3"/>
  <c r="AX42" i="3"/>
  <c r="AW42" i="3"/>
  <c r="AU42" i="3"/>
  <c r="AT42" i="3"/>
  <c r="AR42" i="3"/>
  <c r="AQ42" i="3"/>
  <c r="AO42" i="3"/>
  <c r="AN42" i="3"/>
  <c r="AL42" i="3"/>
  <c r="AK42" i="3"/>
  <c r="AI42" i="3"/>
  <c r="AH42" i="3"/>
  <c r="AF42" i="3"/>
  <c r="AE42" i="3"/>
  <c r="AC42" i="3"/>
  <c r="AB42" i="3"/>
  <c r="Z42" i="3"/>
  <c r="Y42" i="3"/>
  <c r="W42" i="3"/>
  <c r="V42" i="3"/>
  <c r="T42" i="3"/>
  <c r="S42" i="3"/>
  <c r="Q42" i="3"/>
  <c r="P42" i="3"/>
  <c r="N42" i="3"/>
  <c r="M42" i="3"/>
  <c r="K42" i="3"/>
  <c r="J42" i="3"/>
  <c r="H42" i="3"/>
  <c r="G42" i="3"/>
  <c r="E42" i="3"/>
  <c r="D42" i="3"/>
  <c r="CQ41" i="3"/>
  <c r="CP41" i="3"/>
  <c r="CN41" i="3"/>
  <c r="CM41" i="3"/>
  <c r="CK41" i="3"/>
  <c r="CJ41" i="3"/>
  <c r="CH41" i="3"/>
  <c r="CG41" i="3"/>
  <c r="CE41" i="3"/>
  <c r="CD41" i="3"/>
  <c r="CB41" i="3"/>
  <c r="CA41" i="3"/>
  <c r="BY41" i="3"/>
  <c r="BX41" i="3"/>
  <c r="BV41" i="3"/>
  <c r="BU41" i="3"/>
  <c r="BS41" i="3"/>
  <c r="BR41" i="3"/>
  <c r="BP41" i="3"/>
  <c r="BO41" i="3"/>
  <c r="BM41" i="3"/>
  <c r="BL41" i="3"/>
  <c r="BJ41" i="3"/>
  <c r="BI41" i="3"/>
  <c r="BG41" i="3"/>
  <c r="BF41" i="3"/>
  <c r="BD41" i="3"/>
  <c r="BC41" i="3"/>
  <c r="BA41" i="3"/>
  <c r="AZ41" i="3"/>
  <c r="AX41" i="3"/>
  <c r="AW41" i="3"/>
  <c r="AU41" i="3"/>
  <c r="AT41" i="3"/>
  <c r="AR41" i="3"/>
  <c r="AQ41" i="3"/>
  <c r="AO41" i="3"/>
  <c r="AN41" i="3"/>
  <c r="AL41" i="3"/>
  <c r="AK41" i="3"/>
  <c r="AI41" i="3"/>
  <c r="AH41" i="3"/>
  <c r="AF41" i="3"/>
  <c r="AE41" i="3"/>
  <c r="AC41" i="3"/>
  <c r="AB41" i="3"/>
  <c r="Z41" i="3"/>
  <c r="Y41" i="3"/>
  <c r="W41" i="3"/>
  <c r="V41" i="3"/>
  <c r="T41" i="3"/>
  <c r="S41" i="3"/>
  <c r="Q41" i="3"/>
  <c r="P41" i="3"/>
  <c r="N41" i="3"/>
  <c r="M41" i="3"/>
  <c r="K41" i="3"/>
  <c r="J41" i="3"/>
  <c r="H41" i="3"/>
  <c r="G41" i="3"/>
  <c r="E41" i="3"/>
  <c r="D41" i="3"/>
  <c r="CQ40" i="3"/>
  <c r="CP40" i="3"/>
  <c r="CN40" i="3"/>
  <c r="CM40" i="3"/>
  <c r="CK40" i="3"/>
  <c r="CJ40" i="3"/>
  <c r="CH40" i="3"/>
  <c r="CG40" i="3"/>
  <c r="CE40" i="3"/>
  <c r="CD40" i="3"/>
  <c r="CB40" i="3"/>
  <c r="CA40" i="3"/>
  <c r="BY40" i="3"/>
  <c r="BX40" i="3"/>
  <c r="BV40" i="3"/>
  <c r="BU40" i="3"/>
  <c r="BS40" i="3"/>
  <c r="BR40" i="3"/>
  <c r="BP40" i="3"/>
  <c r="BO40" i="3"/>
  <c r="BM40" i="3"/>
  <c r="BL40" i="3"/>
  <c r="BJ40" i="3"/>
  <c r="BI40" i="3"/>
  <c r="BG40" i="3"/>
  <c r="BF40" i="3"/>
  <c r="BD40" i="3"/>
  <c r="BC40" i="3"/>
  <c r="BA40" i="3"/>
  <c r="AZ40" i="3"/>
  <c r="AX40" i="3"/>
  <c r="AW40" i="3"/>
  <c r="AU40" i="3"/>
  <c r="AT40" i="3"/>
  <c r="AR40" i="3"/>
  <c r="AQ40" i="3"/>
  <c r="AO40" i="3"/>
  <c r="AN40" i="3"/>
  <c r="AL40" i="3"/>
  <c r="AK40" i="3"/>
  <c r="AI40" i="3"/>
  <c r="AH40" i="3"/>
  <c r="AF40" i="3"/>
  <c r="AE40" i="3"/>
  <c r="AC40" i="3"/>
  <c r="AB40" i="3"/>
  <c r="Z40" i="3"/>
  <c r="Y40" i="3"/>
  <c r="W40" i="3"/>
  <c r="V40" i="3"/>
  <c r="T40" i="3"/>
  <c r="S40" i="3"/>
  <c r="Q40" i="3"/>
  <c r="P40" i="3"/>
  <c r="N40" i="3"/>
  <c r="M40" i="3"/>
  <c r="K40" i="3"/>
  <c r="J40" i="3"/>
  <c r="H40" i="3"/>
  <c r="G40" i="3"/>
  <c r="E40" i="3"/>
  <c r="D40" i="3"/>
  <c r="CQ39" i="3"/>
  <c r="CP39" i="3"/>
  <c r="CN39" i="3"/>
  <c r="CM39" i="3"/>
  <c r="CK39" i="3"/>
  <c r="CJ39" i="3"/>
  <c r="CH39" i="3"/>
  <c r="CG39" i="3"/>
  <c r="CE39" i="3"/>
  <c r="CD39" i="3"/>
  <c r="CB39" i="3"/>
  <c r="CA39" i="3"/>
  <c r="BY39" i="3"/>
  <c r="BX39" i="3"/>
  <c r="BV39" i="3"/>
  <c r="BU39" i="3"/>
  <c r="BS39" i="3"/>
  <c r="BR39" i="3"/>
  <c r="BP39" i="3"/>
  <c r="BO39" i="3"/>
  <c r="BM39" i="3"/>
  <c r="BL39" i="3"/>
  <c r="BJ39" i="3"/>
  <c r="BI39" i="3"/>
  <c r="BG39" i="3"/>
  <c r="BF39" i="3"/>
  <c r="BD39" i="3"/>
  <c r="BC39" i="3"/>
  <c r="BA39" i="3"/>
  <c r="AZ39" i="3"/>
  <c r="AX39" i="3"/>
  <c r="AW39" i="3"/>
  <c r="AU39" i="3"/>
  <c r="AT39" i="3"/>
  <c r="AR39" i="3"/>
  <c r="AQ39" i="3"/>
  <c r="AO39" i="3"/>
  <c r="AN39" i="3"/>
  <c r="AL39" i="3"/>
  <c r="AK39" i="3"/>
  <c r="AI39" i="3"/>
  <c r="AH39" i="3"/>
  <c r="AF39" i="3"/>
  <c r="AE39" i="3"/>
  <c r="AC39" i="3"/>
  <c r="AB39" i="3"/>
  <c r="Z39" i="3"/>
  <c r="Y39" i="3"/>
  <c r="W39" i="3"/>
  <c r="V39" i="3"/>
  <c r="T39" i="3"/>
  <c r="S39" i="3"/>
  <c r="Q39" i="3"/>
  <c r="P39" i="3"/>
  <c r="N39" i="3"/>
  <c r="M39" i="3"/>
  <c r="K39" i="3"/>
  <c r="J39" i="3"/>
  <c r="H39" i="3"/>
  <c r="G39" i="3"/>
  <c r="E39" i="3"/>
  <c r="D39" i="3"/>
  <c r="CQ38" i="3"/>
  <c r="CP38" i="3"/>
  <c r="CN38" i="3"/>
  <c r="CM38" i="3"/>
  <c r="CK38" i="3"/>
  <c r="CJ38" i="3"/>
  <c r="CH38" i="3"/>
  <c r="CG38" i="3"/>
  <c r="CE38" i="3"/>
  <c r="CD38" i="3"/>
  <c r="CB38" i="3"/>
  <c r="CA38" i="3"/>
  <c r="BY38" i="3"/>
  <c r="BX38" i="3"/>
  <c r="BV38" i="3"/>
  <c r="BU38" i="3"/>
  <c r="BS38" i="3"/>
  <c r="BR38" i="3"/>
  <c r="BP38" i="3"/>
  <c r="BO38" i="3"/>
  <c r="BM38" i="3"/>
  <c r="BL38" i="3"/>
  <c r="BJ38" i="3"/>
  <c r="BI38" i="3"/>
  <c r="BG38" i="3"/>
  <c r="BF38" i="3"/>
  <c r="BD38" i="3"/>
  <c r="BC38" i="3"/>
  <c r="BA38" i="3"/>
  <c r="AZ38" i="3"/>
  <c r="AX38" i="3"/>
  <c r="AW38" i="3"/>
  <c r="AU38" i="3"/>
  <c r="AT38" i="3"/>
  <c r="AR38" i="3"/>
  <c r="AQ38" i="3"/>
  <c r="AO38" i="3"/>
  <c r="AN38" i="3"/>
  <c r="AL38" i="3"/>
  <c r="AK38" i="3"/>
  <c r="AI38" i="3"/>
  <c r="AH38" i="3"/>
  <c r="AF38" i="3"/>
  <c r="AE38" i="3"/>
  <c r="AC38" i="3"/>
  <c r="AB38" i="3"/>
  <c r="Z38" i="3"/>
  <c r="Y38" i="3"/>
  <c r="W38" i="3"/>
  <c r="V38" i="3"/>
  <c r="T38" i="3"/>
  <c r="S38" i="3"/>
  <c r="Q38" i="3"/>
  <c r="P38" i="3"/>
  <c r="N38" i="3"/>
  <c r="M38" i="3"/>
  <c r="K38" i="3"/>
  <c r="J38" i="3"/>
  <c r="H38" i="3"/>
  <c r="G38" i="3"/>
  <c r="E38" i="3"/>
  <c r="D38" i="3"/>
  <c r="CQ37" i="3"/>
  <c r="CP37" i="3"/>
  <c r="CN37" i="3"/>
  <c r="CM37" i="3"/>
  <c r="CK37" i="3"/>
  <c r="CJ37" i="3"/>
  <c r="CH37" i="3"/>
  <c r="CG37" i="3"/>
  <c r="CE37" i="3"/>
  <c r="CD37" i="3"/>
  <c r="CB37" i="3"/>
  <c r="CA37" i="3"/>
  <c r="BY37" i="3"/>
  <c r="BX37" i="3"/>
  <c r="BV37" i="3"/>
  <c r="BU37" i="3"/>
  <c r="BS37" i="3"/>
  <c r="BR37" i="3"/>
  <c r="BP37" i="3"/>
  <c r="BO37" i="3"/>
  <c r="BM37" i="3"/>
  <c r="BL37" i="3"/>
  <c r="BJ37" i="3"/>
  <c r="BI37" i="3"/>
  <c r="BG37" i="3"/>
  <c r="BF37" i="3"/>
  <c r="BD37" i="3"/>
  <c r="BC37" i="3"/>
  <c r="BA37" i="3"/>
  <c r="AZ37" i="3"/>
  <c r="AX37" i="3"/>
  <c r="AW37" i="3"/>
  <c r="AU37" i="3"/>
  <c r="AT37" i="3"/>
  <c r="AR37" i="3"/>
  <c r="AQ37" i="3"/>
  <c r="AO37" i="3"/>
  <c r="AN37" i="3"/>
  <c r="AL37" i="3"/>
  <c r="AK37" i="3"/>
  <c r="AI37" i="3"/>
  <c r="AH37" i="3"/>
  <c r="AF37" i="3"/>
  <c r="AE37" i="3"/>
  <c r="AC37" i="3"/>
  <c r="AB37" i="3"/>
  <c r="Z37" i="3"/>
  <c r="Y37" i="3"/>
  <c r="W37" i="3"/>
  <c r="V37" i="3"/>
  <c r="T37" i="3"/>
  <c r="S37" i="3"/>
  <c r="Q37" i="3"/>
  <c r="P37" i="3"/>
  <c r="N37" i="3"/>
  <c r="M37" i="3"/>
  <c r="K37" i="3"/>
  <c r="J37" i="3"/>
  <c r="H37" i="3"/>
  <c r="G37" i="3"/>
  <c r="E37" i="3"/>
  <c r="D37" i="3"/>
  <c r="CQ36" i="3"/>
  <c r="CP36" i="3"/>
  <c r="CN36" i="3"/>
  <c r="CM36" i="3"/>
  <c r="CK36" i="3"/>
  <c r="CJ36" i="3"/>
  <c r="CH36" i="3"/>
  <c r="CG36" i="3"/>
  <c r="CE36" i="3"/>
  <c r="CD36" i="3"/>
  <c r="CB36" i="3"/>
  <c r="CA36" i="3"/>
  <c r="BY36" i="3"/>
  <c r="BX36" i="3"/>
  <c r="BV36" i="3"/>
  <c r="BU36" i="3"/>
  <c r="BS36" i="3"/>
  <c r="BR36" i="3"/>
  <c r="BP36" i="3"/>
  <c r="BO36" i="3"/>
  <c r="BM36" i="3"/>
  <c r="BL36" i="3"/>
  <c r="BJ36" i="3"/>
  <c r="BI36" i="3"/>
  <c r="BG36" i="3"/>
  <c r="BF36" i="3"/>
  <c r="BD36" i="3"/>
  <c r="BC36" i="3"/>
  <c r="BA36" i="3"/>
  <c r="AZ36" i="3"/>
  <c r="AX36" i="3"/>
  <c r="AW36" i="3"/>
  <c r="AU36" i="3"/>
  <c r="AT36" i="3"/>
  <c r="AR36" i="3"/>
  <c r="AQ36" i="3"/>
  <c r="AO36" i="3"/>
  <c r="AN36" i="3"/>
  <c r="AL36" i="3"/>
  <c r="AK36" i="3"/>
  <c r="AI36" i="3"/>
  <c r="AH36" i="3"/>
  <c r="AF36" i="3"/>
  <c r="AE36" i="3"/>
  <c r="AC36" i="3"/>
  <c r="AB36" i="3"/>
  <c r="Z36" i="3"/>
  <c r="Y36" i="3"/>
  <c r="W36" i="3"/>
  <c r="V36" i="3"/>
  <c r="T36" i="3"/>
  <c r="S36" i="3"/>
  <c r="Q36" i="3"/>
  <c r="P36" i="3"/>
  <c r="N36" i="3"/>
  <c r="M36" i="3"/>
  <c r="K36" i="3"/>
  <c r="J36" i="3"/>
  <c r="H36" i="3"/>
  <c r="G36" i="3"/>
  <c r="E36" i="3"/>
  <c r="D36" i="3"/>
  <c r="CQ35" i="3"/>
  <c r="CP35" i="3"/>
  <c r="CN35" i="3"/>
  <c r="CM35" i="3"/>
  <c r="CK35" i="3"/>
  <c r="CJ35" i="3"/>
  <c r="CH35" i="3"/>
  <c r="CG35" i="3"/>
  <c r="CE35" i="3"/>
  <c r="CD35" i="3"/>
  <c r="CB35" i="3"/>
  <c r="CA35" i="3"/>
  <c r="BY35" i="3"/>
  <c r="BX35" i="3"/>
  <c r="BV35" i="3"/>
  <c r="BU35" i="3"/>
  <c r="BS35" i="3"/>
  <c r="BR35" i="3"/>
  <c r="BP35" i="3"/>
  <c r="BO35" i="3"/>
  <c r="BM35" i="3"/>
  <c r="BL35" i="3"/>
  <c r="BJ35" i="3"/>
  <c r="BI35" i="3"/>
  <c r="BG35" i="3"/>
  <c r="BF35" i="3"/>
  <c r="BD35" i="3"/>
  <c r="BC35" i="3"/>
  <c r="BA35" i="3"/>
  <c r="AZ35" i="3"/>
  <c r="AX35" i="3"/>
  <c r="AW35" i="3"/>
  <c r="AU35" i="3"/>
  <c r="AT35" i="3"/>
  <c r="AR35" i="3"/>
  <c r="AQ35" i="3"/>
  <c r="AO35" i="3"/>
  <c r="AN35" i="3"/>
  <c r="AL35" i="3"/>
  <c r="AK35" i="3"/>
  <c r="AI35" i="3"/>
  <c r="AH35" i="3"/>
  <c r="AF35" i="3"/>
  <c r="AE35" i="3"/>
  <c r="AC35" i="3"/>
  <c r="AB35" i="3"/>
  <c r="Z35" i="3"/>
  <c r="Y35" i="3"/>
  <c r="W35" i="3"/>
  <c r="V35" i="3"/>
  <c r="T35" i="3"/>
  <c r="S35" i="3"/>
  <c r="Q35" i="3"/>
  <c r="P35" i="3"/>
  <c r="N35" i="3"/>
  <c r="M35" i="3"/>
  <c r="K35" i="3"/>
  <c r="J35" i="3"/>
  <c r="H35" i="3"/>
  <c r="G35" i="3"/>
  <c r="E35" i="3"/>
  <c r="D35" i="3"/>
  <c r="CQ34" i="3"/>
  <c r="CP34" i="3"/>
  <c r="CN34" i="3"/>
  <c r="CM34" i="3"/>
  <c r="CK34" i="3"/>
  <c r="CJ34" i="3"/>
  <c r="CH34" i="3"/>
  <c r="CG34" i="3"/>
  <c r="CE34" i="3"/>
  <c r="CD34" i="3"/>
  <c r="CB34" i="3"/>
  <c r="CA34" i="3"/>
  <c r="BY34" i="3"/>
  <c r="BX34" i="3"/>
  <c r="BV34" i="3"/>
  <c r="BU34" i="3"/>
  <c r="BS34" i="3"/>
  <c r="BR34" i="3"/>
  <c r="BP34" i="3"/>
  <c r="BO34" i="3"/>
  <c r="BM34" i="3"/>
  <c r="BL34" i="3"/>
  <c r="BJ34" i="3"/>
  <c r="BI34" i="3"/>
  <c r="BG34" i="3"/>
  <c r="BF34" i="3"/>
  <c r="BD34" i="3"/>
  <c r="BC34" i="3"/>
  <c r="BA34" i="3"/>
  <c r="AZ34" i="3"/>
  <c r="AX34" i="3"/>
  <c r="AW34" i="3"/>
  <c r="AU34" i="3"/>
  <c r="AT34" i="3"/>
  <c r="AR34" i="3"/>
  <c r="AQ34" i="3"/>
  <c r="AO34" i="3"/>
  <c r="AN34" i="3"/>
  <c r="AL34" i="3"/>
  <c r="AK34" i="3"/>
  <c r="AI34" i="3"/>
  <c r="AH34" i="3"/>
  <c r="AF34" i="3"/>
  <c r="AE34" i="3"/>
  <c r="AC34" i="3"/>
  <c r="AB34" i="3"/>
  <c r="Z34" i="3"/>
  <c r="Y34" i="3"/>
  <c r="W34" i="3"/>
  <c r="V34" i="3"/>
  <c r="T34" i="3"/>
  <c r="S34" i="3"/>
  <c r="Q34" i="3"/>
  <c r="P34" i="3"/>
  <c r="N34" i="3"/>
  <c r="M34" i="3"/>
  <c r="K34" i="3"/>
  <c r="J34" i="3"/>
  <c r="H34" i="3"/>
  <c r="G34" i="3"/>
  <c r="E34" i="3"/>
  <c r="D34" i="3"/>
  <c r="CQ33" i="3"/>
  <c r="CP33" i="3"/>
  <c r="CN33" i="3"/>
  <c r="CM33" i="3"/>
  <c r="CK33" i="3"/>
  <c r="CJ33" i="3"/>
  <c r="CH33" i="3"/>
  <c r="CG33" i="3"/>
  <c r="CE33" i="3"/>
  <c r="CD33" i="3"/>
  <c r="CB33" i="3"/>
  <c r="CA33" i="3"/>
  <c r="BY33" i="3"/>
  <c r="BX33" i="3"/>
  <c r="BV33" i="3"/>
  <c r="BU33" i="3"/>
  <c r="BS33" i="3"/>
  <c r="BR33" i="3"/>
  <c r="BP33" i="3"/>
  <c r="BO33" i="3"/>
  <c r="BM33" i="3"/>
  <c r="BL33" i="3"/>
  <c r="BJ33" i="3"/>
  <c r="BI33" i="3"/>
  <c r="BG33" i="3"/>
  <c r="BF33" i="3"/>
  <c r="BD33" i="3"/>
  <c r="BC33" i="3"/>
  <c r="BA33" i="3"/>
  <c r="AZ33" i="3"/>
  <c r="AX33" i="3"/>
  <c r="AW33" i="3"/>
  <c r="AU33" i="3"/>
  <c r="AT33" i="3"/>
  <c r="AR33" i="3"/>
  <c r="AQ33" i="3"/>
  <c r="AO33" i="3"/>
  <c r="AN33" i="3"/>
  <c r="AL33" i="3"/>
  <c r="AK33" i="3"/>
  <c r="AI33" i="3"/>
  <c r="AH33" i="3"/>
  <c r="AF33" i="3"/>
  <c r="AE33" i="3"/>
  <c r="AC33" i="3"/>
  <c r="AB33" i="3"/>
  <c r="Z33" i="3"/>
  <c r="Y33" i="3"/>
  <c r="W33" i="3"/>
  <c r="V33" i="3"/>
  <c r="T33" i="3"/>
  <c r="S33" i="3"/>
  <c r="Q33" i="3"/>
  <c r="P33" i="3"/>
  <c r="N33" i="3"/>
  <c r="M33" i="3"/>
  <c r="K33" i="3"/>
  <c r="J33" i="3"/>
  <c r="H33" i="3"/>
  <c r="G33" i="3"/>
  <c r="E33" i="3"/>
  <c r="D33" i="3"/>
  <c r="CQ32" i="3"/>
  <c r="CP32" i="3"/>
  <c r="CN32" i="3"/>
  <c r="CM32" i="3"/>
  <c r="CK32" i="3"/>
  <c r="CJ32" i="3"/>
  <c r="CH32" i="3"/>
  <c r="CG32" i="3"/>
  <c r="CE32" i="3"/>
  <c r="CD32" i="3"/>
  <c r="CB32" i="3"/>
  <c r="CA32" i="3"/>
  <c r="BY32" i="3"/>
  <c r="BX32" i="3"/>
  <c r="BV32" i="3"/>
  <c r="BU32" i="3"/>
  <c r="BS32" i="3"/>
  <c r="BR32" i="3"/>
  <c r="BP32" i="3"/>
  <c r="BO32" i="3"/>
  <c r="BM32" i="3"/>
  <c r="BL32" i="3"/>
  <c r="BJ32" i="3"/>
  <c r="BI32" i="3"/>
  <c r="BG32" i="3"/>
  <c r="BF32" i="3"/>
  <c r="BD32" i="3"/>
  <c r="BC32" i="3"/>
  <c r="BA32" i="3"/>
  <c r="AZ32" i="3"/>
  <c r="AX32" i="3"/>
  <c r="AW32" i="3"/>
  <c r="AU32" i="3"/>
  <c r="AT32" i="3"/>
  <c r="AR32" i="3"/>
  <c r="AQ32" i="3"/>
  <c r="AO32" i="3"/>
  <c r="AN32" i="3"/>
  <c r="AL32" i="3"/>
  <c r="AK32" i="3"/>
  <c r="AI32" i="3"/>
  <c r="AH32" i="3"/>
  <c r="AF32" i="3"/>
  <c r="AE32" i="3"/>
  <c r="AC32" i="3"/>
  <c r="AB32" i="3"/>
  <c r="Z32" i="3"/>
  <c r="Y32" i="3"/>
  <c r="W32" i="3"/>
  <c r="V32" i="3"/>
  <c r="T32" i="3"/>
  <c r="S32" i="3"/>
  <c r="Q32" i="3"/>
  <c r="P32" i="3"/>
  <c r="N32" i="3"/>
  <c r="M32" i="3"/>
  <c r="K32" i="3"/>
  <c r="J32" i="3"/>
  <c r="H32" i="3"/>
  <c r="G32" i="3"/>
  <c r="E32" i="3"/>
  <c r="D32" i="3"/>
  <c r="CQ31" i="3"/>
  <c r="CP31" i="3"/>
  <c r="CN31" i="3"/>
  <c r="CM31" i="3"/>
  <c r="CK31" i="3"/>
  <c r="CJ31" i="3"/>
  <c r="CH31" i="3"/>
  <c r="CG31" i="3"/>
  <c r="CE31" i="3"/>
  <c r="CD31" i="3"/>
  <c r="CB31" i="3"/>
  <c r="CA31" i="3"/>
  <c r="BY31" i="3"/>
  <c r="BX31" i="3"/>
  <c r="BV31" i="3"/>
  <c r="BU31" i="3"/>
  <c r="BS31" i="3"/>
  <c r="BR31" i="3"/>
  <c r="BP31" i="3"/>
  <c r="BO31" i="3"/>
  <c r="BM31" i="3"/>
  <c r="BL31" i="3"/>
  <c r="BJ31" i="3"/>
  <c r="BI31" i="3"/>
  <c r="BG31" i="3"/>
  <c r="BF31" i="3"/>
  <c r="BD31" i="3"/>
  <c r="BC31" i="3"/>
  <c r="BA31" i="3"/>
  <c r="AZ31" i="3"/>
  <c r="AX31" i="3"/>
  <c r="AW31" i="3"/>
  <c r="AU31" i="3"/>
  <c r="AT31" i="3"/>
  <c r="AR31" i="3"/>
  <c r="AQ31" i="3"/>
  <c r="AO31" i="3"/>
  <c r="AN31" i="3"/>
  <c r="AL31" i="3"/>
  <c r="AK31" i="3"/>
  <c r="AI31" i="3"/>
  <c r="AH31" i="3"/>
  <c r="AF31" i="3"/>
  <c r="AE31" i="3"/>
  <c r="AC31" i="3"/>
  <c r="AB31" i="3"/>
  <c r="Z31" i="3"/>
  <c r="Y31" i="3"/>
  <c r="W31" i="3"/>
  <c r="V31" i="3"/>
  <c r="T31" i="3"/>
  <c r="S31" i="3"/>
  <c r="Q31" i="3"/>
  <c r="P31" i="3"/>
  <c r="N31" i="3"/>
  <c r="M31" i="3"/>
  <c r="K31" i="3"/>
  <c r="J31" i="3"/>
  <c r="H31" i="3"/>
  <c r="G31" i="3"/>
  <c r="E31" i="3"/>
  <c r="D31" i="3"/>
  <c r="CQ30" i="3"/>
  <c r="CP30" i="3"/>
  <c r="CN30" i="3"/>
  <c r="CM30" i="3"/>
  <c r="CK30" i="3"/>
  <c r="CJ30" i="3"/>
  <c r="CH30" i="3"/>
  <c r="CG30" i="3"/>
  <c r="CE30" i="3"/>
  <c r="CD30" i="3"/>
  <c r="CB30" i="3"/>
  <c r="CA30" i="3"/>
  <c r="BY30" i="3"/>
  <c r="BX30" i="3"/>
  <c r="BV30" i="3"/>
  <c r="BU30" i="3"/>
  <c r="BS30" i="3"/>
  <c r="BR30" i="3"/>
  <c r="BP30" i="3"/>
  <c r="BO30" i="3"/>
  <c r="BM30" i="3"/>
  <c r="BL30" i="3"/>
  <c r="BJ30" i="3"/>
  <c r="BI30" i="3"/>
  <c r="BG30" i="3"/>
  <c r="BF30" i="3"/>
  <c r="BD30" i="3"/>
  <c r="BC30" i="3"/>
  <c r="BA30" i="3"/>
  <c r="AZ30" i="3"/>
  <c r="AX30" i="3"/>
  <c r="AW30" i="3"/>
  <c r="AU30" i="3"/>
  <c r="AT30" i="3"/>
  <c r="AR30" i="3"/>
  <c r="AQ30" i="3"/>
  <c r="AO30" i="3"/>
  <c r="AN30" i="3"/>
  <c r="AL30" i="3"/>
  <c r="AK30" i="3"/>
  <c r="AI30" i="3"/>
  <c r="AH30" i="3"/>
  <c r="AF30" i="3"/>
  <c r="AE30" i="3"/>
  <c r="AC30" i="3"/>
  <c r="AB30" i="3"/>
  <c r="Z30" i="3"/>
  <c r="Y30" i="3"/>
  <c r="W30" i="3"/>
  <c r="V30" i="3"/>
  <c r="T30" i="3"/>
  <c r="S30" i="3"/>
  <c r="Q30" i="3"/>
  <c r="P30" i="3"/>
  <c r="N30" i="3"/>
  <c r="M30" i="3"/>
  <c r="K30" i="3"/>
  <c r="J30" i="3"/>
  <c r="H30" i="3"/>
  <c r="G30" i="3"/>
  <c r="E30" i="3"/>
  <c r="D30" i="3"/>
  <c r="CQ29" i="3"/>
  <c r="CP29" i="3"/>
  <c r="CN29" i="3"/>
  <c r="CM29" i="3"/>
  <c r="CK29" i="3"/>
  <c r="CJ29" i="3"/>
  <c r="CH29" i="3"/>
  <c r="CG29" i="3"/>
  <c r="CE29" i="3"/>
  <c r="CD29" i="3"/>
  <c r="CB29" i="3"/>
  <c r="CA29" i="3"/>
  <c r="BY29" i="3"/>
  <c r="BX29" i="3"/>
  <c r="BV29" i="3"/>
  <c r="BU29" i="3"/>
  <c r="BS29" i="3"/>
  <c r="BR29" i="3"/>
  <c r="BP29" i="3"/>
  <c r="BO29" i="3"/>
  <c r="BM29" i="3"/>
  <c r="BL29" i="3"/>
  <c r="BJ29" i="3"/>
  <c r="BI29" i="3"/>
  <c r="BG29" i="3"/>
  <c r="BF29" i="3"/>
  <c r="BD29" i="3"/>
  <c r="BC29" i="3"/>
  <c r="BA29" i="3"/>
  <c r="AZ29" i="3"/>
  <c r="AX29" i="3"/>
  <c r="AW29" i="3"/>
  <c r="AU29" i="3"/>
  <c r="AT29" i="3"/>
  <c r="AR29" i="3"/>
  <c r="AQ29" i="3"/>
  <c r="AO29" i="3"/>
  <c r="AN29" i="3"/>
  <c r="AL29" i="3"/>
  <c r="AK29" i="3"/>
  <c r="AI29" i="3"/>
  <c r="AH29" i="3"/>
  <c r="AF29" i="3"/>
  <c r="AE29" i="3"/>
  <c r="AC29" i="3"/>
  <c r="AB29" i="3"/>
  <c r="Z29" i="3"/>
  <c r="Y29" i="3"/>
  <c r="W29" i="3"/>
  <c r="V29" i="3"/>
  <c r="T29" i="3"/>
  <c r="S29" i="3"/>
  <c r="Q29" i="3"/>
  <c r="P29" i="3"/>
  <c r="N29" i="3"/>
  <c r="M29" i="3"/>
  <c r="K29" i="3"/>
  <c r="J29" i="3"/>
  <c r="H29" i="3"/>
  <c r="G29" i="3"/>
  <c r="E29" i="3"/>
  <c r="D29" i="3"/>
  <c r="CQ28" i="3"/>
  <c r="CP28" i="3"/>
  <c r="CN28" i="3"/>
  <c r="CM28" i="3"/>
  <c r="CK28" i="3"/>
  <c r="CJ28" i="3"/>
  <c r="CH28" i="3"/>
  <c r="CG28" i="3"/>
  <c r="CE28" i="3"/>
  <c r="CD28" i="3"/>
  <c r="CB28" i="3"/>
  <c r="CA28" i="3"/>
  <c r="BY28" i="3"/>
  <c r="BX28" i="3"/>
  <c r="BV28" i="3"/>
  <c r="BU28" i="3"/>
  <c r="BS28" i="3"/>
  <c r="BR28" i="3"/>
  <c r="BP28" i="3"/>
  <c r="BO28" i="3"/>
  <c r="BM28" i="3"/>
  <c r="BL28" i="3"/>
  <c r="BJ28" i="3"/>
  <c r="BI28" i="3"/>
  <c r="BG28" i="3"/>
  <c r="BF28" i="3"/>
  <c r="BD28" i="3"/>
  <c r="BC28" i="3"/>
  <c r="BA28" i="3"/>
  <c r="AZ28" i="3"/>
  <c r="AX28" i="3"/>
  <c r="AW28" i="3"/>
  <c r="AU28" i="3"/>
  <c r="AT28" i="3"/>
  <c r="AR28" i="3"/>
  <c r="AQ28" i="3"/>
  <c r="AO28" i="3"/>
  <c r="AN28" i="3"/>
  <c r="AL28" i="3"/>
  <c r="AK28" i="3"/>
  <c r="AI28" i="3"/>
  <c r="AH28" i="3"/>
  <c r="AF28" i="3"/>
  <c r="AE28" i="3"/>
  <c r="AC28" i="3"/>
  <c r="AB28" i="3"/>
  <c r="Z28" i="3"/>
  <c r="Y28" i="3"/>
  <c r="W28" i="3"/>
  <c r="V28" i="3"/>
  <c r="T28" i="3"/>
  <c r="S28" i="3"/>
  <c r="Q28" i="3"/>
  <c r="P28" i="3"/>
  <c r="N28" i="3"/>
  <c r="M28" i="3"/>
  <c r="K28" i="3"/>
  <c r="J28" i="3"/>
  <c r="H28" i="3"/>
  <c r="G28" i="3"/>
  <c r="E28" i="3"/>
  <c r="D28" i="3"/>
  <c r="CQ27" i="3"/>
  <c r="CP27" i="3"/>
  <c r="CN27" i="3"/>
  <c r="CM27" i="3"/>
  <c r="CK27" i="3"/>
  <c r="CJ27" i="3"/>
  <c r="CH27" i="3"/>
  <c r="CG27" i="3"/>
  <c r="CE27" i="3"/>
  <c r="CD27" i="3"/>
  <c r="CB27" i="3"/>
  <c r="CA27" i="3"/>
  <c r="BY27" i="3"/>
  <c r="BX27" i="3"/>
  <c r="BV27" i="3"/>
  <c r="BU27" i="3"/>
  <c r="BS27" i="3"/>
  <c r="BR27" i="3"/>
  <c r="BP27" i="3"/>
  <c r="BO27" i="3"/>
  <c r="BM27" i="3"/>
  <c r="BL27" i="3"/>
  <c r="BJ27" i="3"/>
  <c r="BI27" i="3"/>
  <c r="BG27" i="3"/>
  <c r="BF27" i="3"/>
  <c r="BD27" i="3"/>
  <c r="BC27" i="3"/>
  <c r="BA27" i="3"/>
  <c r="AZ27" i="3"/>
  <c r="AX27" i="3"/>
  <c r="AW27" i="3"/>
  <c r="AU27" i="3"/>
  <c r="AT27" i="3"/>
  <c r="AR27" i="3"/>
  <c r="AQ27" i="3"/>
  <c r="AO27" i="3"/>
  <c r="AN27" i="3"/>
  <c r="AL27" i="3"/>
  <c r="AK27" i="3"/>
  <c r="AI27" i="3"/>
  <c r="AH27" i="3"/>
  <c r="AF27" i="3"/>
  <c r="AE27" i="3"/>
  <c r="AC27" i="3"/>
  <c r="AB27" i="3"/>
  <c r="Z27" i="3"/>
  <c r="Y27" i="3"/>
  <c r="W27" i="3"/>
  <c r="V27" i="3"/>
  <c r="T27" i="3"/>
  <c r="S27" i="3"/>
  <c r="Q27" i="3"/>
  <c r="P27" i="3"/>
  <c r="N27" i="3"/>
  <c r="M27" i="3"/>
  <c r="K27" i="3"/>
  <c r="J27" i="3"/>
  <c r="H27" i="3"/>
  <c r="G27" i="3"/>
  <c r="E27" i="3"/>
  <c r="D27" i="3"/>
  <c r="CQ26" i="3"/>
  <c r="CP26" i="3"/>
  <c r="CN26" i="3"/>
  <c r="CM26" i="3"/>
  <c r="CK26" i="3"/>
  <c r="CJ26" i="3"/>
  <c r="CH26" i="3"/>
  <c r="CG26" i="3"/>
  <c r="CE26" i="3"/>
  <c r="CD26" i="3"/>
  <c r="CB26" i="3"/>
  <c r="CA26" i="3"/>
  <c r="BY26" i="3"/>
  <c r="BX26" i="3"/>
  <c r="BV26" i="3"/>
  <c r="BU26" i="3"/>
  <c r="BS26" i="3"/>
  <c r="BR26" i="3"/>
  <c r="BP26" i="3"/>
  <c r="BO26" i="3"/>
  <c r="BM26" i="3"/>
  <c r="BL26" i="3"/>
  <c r="BJ26" i="3"/>
  <c r="BI26" i="3"/>
  <c r="BG26" i="3"/>
  <c r="BF26" i="3"/>
  <c r="BD26" i="3"/>
  <c r="BC26" i="3"/>
  <c r="BA26" i="3"/>
  <c r="AZ26" i="3"/>
  <c r="AX26" i="3"/>
  <c r="AW26" i="3"/>
  <c r="AU26" i="3"/>
  <c r="AT26" i="3"/>
  <c r="AR26" i="3"/>
  <c r="AQ26" i="3"/>
  <c r="AO26" i="3"/>
  <c r="AN26" i="3"/>
  <c r="AL26" i="3"/>
  <c r="AK26" i="3"/>
  <c r="AI26" i="3"/>
  <c r="AH26" i="3"/>
  <c r="AF26" i="3"/>
  <c r="AE26" i="3"/>
  <c r="AC26" i="3"/>
  <c r="AB26" i="3"/>
  <c r="Z26" i="3"/>
  <c r="Y26" i="3"/>
  <c r="W26" i="3"/>
  <c r="V26" i="3"/>
  <c r="T26" i="3"/>
  <c r="S26" i="3"/>
  <c r="Q26" i="3"/>
  <c r="P26" i="3"/>
  <c r="N26" i="3"/>
  <c r="M26" i="3"/>
  <c r="K26" i="3"/>
  <c r="J26" i="3"/>
  <c r="H26" i="3"/>
  <c r="G26" i="3"/>
  <c r="E26" i="3"/>
  <c r="D26" i="3"/>
  <c r="CQ25" i="3"/>
  <c r="CP25" i="3"/>
  <c r="CN25" i="3"/>
  <c r="CM25" i="3"/>
  <c r="CK25" i="3"/>
  <c r="CJ25" i="3"/>
  <c r="CH25" i="3"/>
  <c r="CG25" i="3"/>
  <c r="CE25" i="3"/>
  <c r="CD25" i="3"/>
  <c r="CB25" i="3"/>
  <c r="CA25" i="3"/>
  <c r="BY25" i="3"/>
  <c r="BX25" i="3"/>
  <c r="BV25" i="3"/>
  <c r="BU25" i="3"/>
  <c r="BS25" i="3"/>
  <c r="BR25" i="3"/>
  <c r="BP25" i="3"/>
  <c r="BO25" i="3"/>
  <c r="BM25" i="3"/>
  <c r="BL25" i="3"/>
  <c r="BJ25" i="3"/>
  <c r="BI25" i="3"/>
  <c r="BG25" i="3"/>
  <c r="BF25" i="3"/>
  <c r="BD25" i="3"/>
  <c r="BC25" i="3"/>
  <c r="BA25" i="3"/>
  <c r="AZ25" i="3"/>
  <c r="AX25" i="3"/>
  <c r="AW25" i="3"/>
  <c r="AU25" i="3"/>
  <c r="AT25" i="3"/>
  <c r="AR25" i="3"/>
  <c r="AQ25" i="3"/>
  <c r="AO25" i="3"/>
  <c r="AN25" i="3"/>
  <c r="AL25" i="3"/>
  <c r="AK25" i="3"/>
  <c r="AI25" i="3"/>
  <c r="AH25" i="3"/>
  <c r="AF25" i="3"/>
  <c r="AE25" i="3"/>
  <c r="AC25" i="3"/>
  <c r="AB25" i="3"/>
  <c r="Z25" i="3"/>
  <c r="Y25" i="3"/>
  <c r="W25" i="3"/>
  <c r="V25" i="3"/>
  <c r="T25" i="3"/>
  <c r="S25" i="3"/>
  <c r="Q25" i="3"/>
  <c r="P25" i="3"/>
  <c r="N25" i="3"/>
  <c r="M25" i="3"/>
  <c r="K25" i="3"/>
  <c r="J25" i="3"/>
  <c r="H25" i="3"/>
  <c r="G25" i="3"/>
  <c r="E25" i="3"/>
  <c r="D25" i="3"/>
  <c r="CQ24" i="3"/>
  <c r="CP24" i="3"/>
  <c r="CN24" i="3"/>
  <c r="CM24" i="3"/>
  <c r="CK24" i="3"/>
  <c r="CJ24" i="3"/>
  <c r="CH24" i="3"/>
  <c r="CG24" i="3"/>
  <c r="CE24" i="3"/>
  <c r="CD24" i="3"/>
  <c r="CB24" i="3"/>
  <c r="CA24" i="3"/>
  <c r="BY24" i="3"/>
  <c r="BX24" i="3"/>
  <c r="BV24" i="3"/>
  <c r="BU24" i="3"/>
  <c r="BS24" i="3"/>
  <c r="BR24" i="3"/>
  <c r="BP24" i="3"/>
  <c r="BO24" i="3"/>
  <c r="BM24" i="3"/>
  <c r="BL24" i="3"/>
  <c r="BJ24" i="3"/>
  <c r="BI24" i="3"/>
  <c r="BG24" i="3"/>
  <c r="BF24" i="3"/>
  <c r="BD24" i="3"/>
  <c r="BC24" i="3"/>
  <c r="BA24" i="3"/>
  <c r="AZ24" i="3"/>
  <c r="AX24" i="3"/>
  <c r="AW24" i="3"/>
  <c r="AU24" i="3"/>
  <c r="AT24" i="3"/>
  <c r="AR24" i="3"/>
  <c r="AQ24" i="3"/>
  <c r="AO24" i="3"/>
  <c r="AN24" i="3"/>
  <c r="AL24" i="3"/>
  <c r="AK24" i="3"/>
  <c r="AI24" i="3"/>
  <c r="AH24" i="3"/>
  <c r="AF24" i="3"/>
  <c r="AE24" i="3"/>
  <c r="AC24" i="3"/>
  <c r="AB24" i="3"/>
  <c r="Z24" i="3"/>
  <c r="Y24" i="3"/>
  <c r="W24" i="3"/>
  <c r="V24" i="3"/>
  <c r="T24" i="3"/>
  <c r="S24" i="3"/>
  <c r="Q24" i="3"/>
  <c r="P24" i="3"/>
  <c r="N24" i="3"/>
  <c r="M24" i="3"/>
  <c r="K24" i="3"/>
  <c r="J24" i="3"/>
  <c r="H24" i="3"/>
  <c r="G24" i="3"/>
  <c r="E24" i="3"/>
  <c r="D24" i="3"/>
  <c r="CQ23" i="3"/>
  <c r="CP23" i="3"/>
  <c r="CN23" i="3"/>
  <c r="CM23" i="3"/>
  <c r="CK23" i="3"/>
  <c r="CJ23" i="3"/>
  <c r="CH23" i="3"/>
  <c r="CG23" i="3"/>
  <c r="CE23" i="3"/>
  <c r="CD23" i="3"/>
  <c r="CB23" i="3"/>
  <c r="CA23" i="3"/>
  <c r="BY23" i="3"/>
  <c r="BX23" i="3"/>
  <c r="BV23" i="3"/>
  <c r="BU23" i="3"/>
  <c r="BS23" i="3"/>
  <c r="BR23" i="3"/>
  <c r="BP23" i="3"/>
  <c r="BO23" i="3"/>
  <c r="BM23" i="3"/>
  <c r="BL23" i="3"/>
  <c r="BJ23" i="3"/>
  <c r="BI23" i="3"/>
  <c r="BG23" i="3"/>
  <c r="BF23" i="3"/>
  <c r="BD23" i="3"/>
  <c r="BC23" i="3"/>
  <c r="BA23" i="3"/>
  <c r="AZ23" i="3"/>
  <c r="AX23" i="3"/>
  <c r="AW23" i="3"/>
  <c r="AU23" i="3"/>
  <c r="AT23" i="3"/>
  <c r="AR23" i="3"/>
  <c r="AQ23" i="3"/>
  <c r="AO23" i="3"/>
  <c r="AN23" i="3"/>
  <c r="AL23" i="3"/>
  <c r="AK23" i="3"/>
  <c r="AI23" i="3"/>
  <c r="AH23" i="3"/>
  <c r="AF23" i="3"/>
  <c r="AE23" i="3"/>
  <c r="AC23" i="3"/>
  <c r="AB23" i="3"/>
  <c r="Z23" i="3"/>
  <c r="Y23" i="3"/>
  <c r="V23" i="3"/>
  <c r="T23" i="3"/>
  <c r="S23" i="3"/>
  <c r="Q23" i="3"/>
  <c r="P23" i="3"/>
  <c r="N23" i="3"/>
  <c r="M23" i="3"/>
  <c r="K23" i="3"/>
  <c r="J23" i="3"/>
  <c r="H23" i="3"/>
  <c r="G23" i="3"/>
  <c r="E23" i="3"/>
  <c r="D23" i="3"/>
  <c r="CQ22" i="3"/>
  <c r="CP22" i="3"/>
  <c r="CN22" i="3"/>
  <c r="CM22" i="3"/>
  <c r="CK22" i="3"/>
  <c r="CJ22" i="3"/>
  <c r="CH22" i="3"/>
  <c r="CG22" i="3"/>
  <c r="CE22" i="3"/>
  <c r="CD22" i="3"/>
  <c r="CB22" i="3"/>
  <c r="CA22" i="3"/>
  <c r="BY22" i="3"/>
  <c r="BX22" i="3"/>
  <c r="BV22" i="3"/>
  <c r="BU22" i="3"/>
  <c r="BS22" i="3"/>
  <c r="BR22" i="3"/>
  <c r="BP22" i="3"/>
  <c r="BO22" i="3"/>
  <c r="BM22" i="3"/>
  <c r="BL22" i="3"/>
  <c r="BJ22" i="3"/>
  <c r="BI22" i="3"/>
  <c r="BG22" i="3"/>
  <c r="BF22" i="3"/>
  <c r="BD22" i="3"/>
  <c r="BC22" i="3"/>
  <c r="BA22" i="3"/>
  <c r="AZ22" i="3"/>
  <c r="AX22" i="3"/>
  <c r="AW22" i="3"/>
  <c r="AU22" i="3"/>
  <c r="AT22" i="3"/>
  <c r="AR22" i="3"/>
  <c r="AQ22" i="3"/>
  <c r="AO22" i="3"/>
  <c r="AN22" i="3"/>
  <c r="AL22" i="3"/>
  <c r="AK22" i="3"/>
  <c r="AI22" i="3"/>
  <c r="AH22" i="3"/>
  <c r="AF22" i="3"/>
  <c r="AE22" i="3"/>
  <c r="AC22" i="3"/>
  <c r="AB22" i="3"/>
  <c r="Z22" i="3"/>
  <c r="Y22" i="3"/>
  <c r="V22" i="3"/>
  <c r="T22" i="3"/>
  <c r="S22" i="3"/>
  <c r="Q22" i="3"/>
  <c r="P22" i="3"/>
  <c r="N22" i="3"/>
  <c r="M22" i="3"/>
  <c r="K22" i="3"/>
  <c r="J22" i="3"/>
  <c r="H22" i="3"/>
  <c r="G22" i="3"/>
  <c r="E22" i="3"/>
  <c r="D22" i="3"/>
  <c r="CQ21" i="3"/>
  <c r="CP21" i="3"/>
  <c r="CN21" i="3"/>
  <c r="CM21" i="3"/>
  <c r="CK21" i="3"/>
  <c r="CJ21" i="3"/>
  <c r="CH21" i="3"/>
  <c r="CG21" i="3"/>
  <c r="CE21" i="3"/>
  <c r="CD21" i="3"/>
  <c r="CB21" i="3"/>
  <c r="CA21" i="3"/>
  <c r="BY21" i="3"/>
  <c r="BX21" i="3"/>
  <c r="BV21" i="3"/>
  <c r="BU21" i="3"/>
  <c r="BS21" i="3"/>
  <c r="BR21" i="3"/>
  <c r="BP21" i="3"/>
  <c r="BO21" i="3"/>
  <c r="BM21" i="3"/>
  <c r="BL21" i="3"/>
  <c r="BJ21" i="3"/>
  <c r="BI21" i="3"/>
  <c r="BG21" i="3"/>
  <c r="BF21" i="3"/>
  <c r="BD21" i="3"/>
  <c r="BC21" i="3"/>
  <c r="BA21" i="3"/>
  <c r="AZ21" i="3"/>
  <c r="AX21" i="3"/>
  <c r="AW21" i="3"/>
  <c r="AU21" i="3"/>
  <c r="AT21" i="3"/>
  <c r="AR21" i="3"/>
  <c r="AQ21" i="3"/>
  <c r="AO21" i="3"/>
  <c r="AN21" i="3"/>
  <c r="AL21" i="3"/>
  <c r="AK21" i="3"/>
  <c r="AI21" i="3"/>
  <c r="AH21" i="3"/>
  <c r="AF21" i="3"/>
  <c r="AE21" i="3"/>
  <c r="AC21" i="3"/>
  <c r="AB21" i="3"/>
  <c r="Z21" i="3"/>
  <c r="Y21" i="3"/>
  <c r="V21" i="3"/>
  <c r="T21" i="3"/>
  <c r="S21" i="3"/>
  <c r="Q21" i="3"/>
  <c r="P21" i="3"/>
  <c r="N21" i="3"/>
  <c r="M21" i="3"/>
  <c r="K21" i="3"/>
  <c r="J21" i="3"/>
  <c r="H21" i="3"/>
  <c r="G21" i="3"/>
  <c r="E21" i="3"/>
  <c r="D21" i="3"/>
  <c r="CQ20" i="3"/>
  <c r="CP20" i="3"/>
  <c r="CN20" i="3"/>
  <c r="CM20" i="3"/>
  <c r="CK20" i="3"/>
  <c r="CJ20" i="3"/>
  <c r="CH20" i="3"/>
  <c r="CG20" i="3"/>
  <c r="CE20" i="3"/>
  <c r="CD20" i="3"/>
  <c r="CB20" i="3"/>
  <c r="CA20" i="3"/>
  <c r="BY20" i="3"/>
  <c r="BX20" i="3"/>
  <c r="BV20" i="3"/>
  <c r="BU20" i="3"/>
  <c r="BS20" i="3"/>
  <c r="BR20" i="3"/>
  <c r="BP20" i="3"/>
  <c r="BO20" i="3"/>
  <c r="BM20" i="3"/>
  <c r="BL20" i="3"/>
  <c r="BJ20" i="3"/>
  <c r="BI20" i="3"/>
  <c r="BG20" i="3"/>
  <c r="BF20" i="3"/>
  <c r="BD20" i="3"/>
  <c r="BC20" i="3"/>
  <c r="BA20" i="3"/>
  <c r="AZ20" i="3"/>
  <c r="AX20" i="3"/>
  <c r="AW20" i="3"/>
  <c r="AU20" i="3"/>
  <c r="AT20" i="3"/>
  <c r="AR20" i="3"/>
  <c r="AQ20" i="3"/>
  <c r="AO20" i="3"/>
  <c r="AN20" i="3"/>
  <c r="AL20" i="3"/>
  <c r="AK20" i="3"/>
  <c r="AI20" i="3"/>
  <c r="AH20" i="3"/>
  <c r="AF20" i="3"/>
  <c r="AE20" i="3"/>
  <c r="AC20" i="3"/>
  <c r="AB20" i="3"/>
  <c r="Z20" i="3"/>
  <c r="Y20" i="3"/>
  <c r="V20" i="3"/>
  <c r="T20" i="3"/>
  <c r="S20" i="3"/>
  <c r="Q20" i="3"/>
  <c r="P20" i="3"/>
  <c r="N20" i="3"/>
  <c r="M20" i="3"/>
  <c r="K20" i="3"/>
  <c r="J20" i="3"/>
  <c r="H20" i="3"/>
  <c r="G20" i="3"/>
  <c r="E20" i="3"/>
  <c r="D20" i="3"/>
  <c r="CQ19" i="3"/>
  <c r="CP19" i="3"/>
  <c r="CN19" i="3"/>
  <c r="CM19" i="3"/>
  <c r="CK19" i="3"/>
  <c r="CJ19" i="3"/>
  <c r="CH19" i="3"/>
  <c r="CG19" i="3"/>
  <c r="CE19" i="3"/>
  <c r="CD19" i="3"/>
  <c r="CB19" i="3"/>
  <c r="CA19" i="3"/>
  <c r="BY19" i="3"/>
  <c r="BX19" i="3"/>
  <c r="BV19" i="3"/>
  <c r="BU19" i="3"/>
  <c r="BS19" i="3"/>
  <c r="BR19" i="3"/>
  <c r="BP19" i="3"/>
  <c r="BO19" i="3"/>
  <c r="BM19" i="3"/>
  <c r="BL19" i="3"/>
  <c r="BJ19" i="3"/>
  <c r="BI19" i="3"/>
  <c r="BG19" i="3"/>
  <c r="BF19" i="3"/>
  <c r="BD19" i="3"/>
  <c r="BC19" i="3"/>
  <c r="BA19" i="3"/>
  <c r="AZ19" i="3"/>
  <c r="AX19" i="3"/>
  <c r="AW19" i="3"/>
  <c r="AU19" i="3"/>
  <c r="AT19" i="3"/>
  <c r="AR19" i="3"/>
  <c r="AQ19" i="3"/>
  <c r="AO19" i="3"/>
  <c r="AN19" i="3"/>
  <c r="AL19" i="3"/>
  <c r="AK19" i="3"/>
  <c r="AI19" i="3"/>
  <c r="AH19" i="3"/>
  <c r="AF19" i="3"/>
  <c r="AE19" i="3"/>
  <c r="AC19" i="3"/>
  <c r="AB19" i="3"/>
  <c r="Z19" i="3"/>
  <c r="Y19" i="3"/>
  <c r="W19" i="3"/>
  <c r="V19" i="3"/>
  <c r="T19" i="3"/>
  <c r="S19" i="3"/>
  <c r="Q19" i="3"/>
  <c r="P19" i="3"/>
  <c r="N19" i="3"/>
  <c r="M19" i="3"/>
  <c r="K19" i="3"/>
  <c r="J19" i="3"/>
  <c r="H19" i="3"/>
  <c r="G19" i="3"/>
  <c r="E19" i="3"/>
  <c r="D19" i="3"/>
  <c r="CQ18" i="3"/>
  <c r="CP18" i="3"/>
  <c r="CN18" i="3"/>
  <c r="CM18" i="3"/>
  <c r="CK18" i="3"/>
  <c r="CJ18" i="3"/>
  <c r="CH18" i="3"/>
  <c r="CG18" i="3"/>
  <c r="CE18" i="3"/>
  <c r="CD18" i="3"/>
  <c r="CB18" i="3"/>
  <c r="CA18" i="3"/>
  <c r="BY18" i="3"/>
  <c r="BX18" i="3"/>
  <c r="BV18" i="3"/>
  <c r="BU18" i="3"/>
  <c r="BS18" i="3"/>
  <c r="BR18" i="3"/>
  <c r="BP18" i="3"/>
  <c r="BO18" i="3"/>
  <c r="BM18" i="3"/>
  <c r="BL18" i="3"/>
  <c r="BJ18" i="3"/>
  <c r="BI18" i="3"/>
  <c r="BG18" i="3"/>
  <c r="BF18" i="3"/>
  <c r="BD18" i="3"/>
  <c r="BC18" i="3"/>
  <c r="BA18" i="3"/>
  <c r="AZ18" i="3"/>
  <c r="AX18" i="3"/>
  <c r="AW18" i="3"/>
  <c r="AU18" i="3"/>
  <c r="AT18" i="3"/>
  <c r="AR18" i="3"/>
  <c r="AQ18" i="3"/>
  <c r="AO18" i="3"/>
  <c r="AN18" i="3"/>
  <c r="AL18" i="3"/>
  <c r="AK18" i="3"/>
  <c r="AI18" i="3"/>
  <c r="AH18" i="3"/>
  <c r="AF18" i="3"/>
  <c r="AE18" i="3"/>
  <c r="AC18" i="3"/>
  <c r="AB18" i="3"/>
  <c r="Z18" i="3"/>
  <c r="Y18" i="3"/>
  <c r="W18" i="3"/>
  <c r="V18" i="3"/>
  <c r="T18" i="3"/>
  <c r="S18" i="3"/>
  <c r="Q18" i="3"/>
  <c r="P18" i="3"/>
  <c r="N18" i="3"/>
  <c r="M18" i="3"/>
  <c r="K18" i="3"/>
  <c r="J18" i="3"/>
  <c r="H18" i="3"/>
  <c r="G18" i="3"/>
  <c r="E18" i="3"/>
  <c r="D18" i="3"/>
  <c r="CQ17" i="3"/>
  <c r="CP17" i="3"/>
  <c r="CN17" i="3"/>
  <c r="CM17" i="3"/>
  <c r="CK17" i="3"/>
  <c r="CJ17" i="3"/>
  <c r="CH17" i="3"/>
  <c r="CG17" i="3"/>
  <c r="CE17" i="3"/>
  <c r="CD17" i="3"/>
  <c r="CB17" i="3"/>
  <c r="CA17" i="3"/>
  <c r="BY17" i="3"/>
  <c r="BX17" i="3"/>
  <c r="BV17" i="3"/>
  <c r="BU17" i="3"/>
  <c r="BS17" i="3"/>
  <c r="BR17" i="3"/>
  <c r="BP17" i="3"/>
  <c r="BO17" i="3"/>
  <c r="BM17" i="3"/>
  <c r="BL17" i="3"/>
  <c r="BJ17" i="3"/>
  <c r="BI17" i="3"/>
  <c r="BG17" i="3"/>
  <c r="BF17" i="3"/>
  <c r="BD17" i="3"/>
  <c r="BC17" i="3"/>
  <c r="BA17" i="3"/>
  <c r="AZ17" i="3"/>
  <c r="AX17" i="3"/>
  <c r="AW17" i="3"/>
  <c r="AU17" i="3"/>
  <c r="AT17" i="3"/>
  <c r="AR17" i="3"/>
  <c r="AQ17" i="3"/>
  <c r="AO17" i="3"/>
  <c r="AN17" i="3"/>
  <c r="AL17" i="3"/>
  <c r="AK17" i="3"/>
  <c r="AI17" i="3"/>
  <c r="AH17" i="3"/>
  <c r="AF17" i="3"/>
  <c r="AE17" i="3"/>
  <c r="AC17" i="3"/>
  <c r="AB17" i="3"/>
  <c r="Z17" i="3"/>
  <c r="Y17" i="3"/>
  <c r="W17" i="3"/>
  <c r="V17" i="3"/>
  <c r="T17" i="3"/>
  <c r="S17" i="3"/>
  <c r="Q17" i="3"/>
  <c r="P17" i="3"/>
  <c r="N17" i="3"/>
  <c r="M17" i="3"/>
  <c r="K17" i="3"/>
  <c r="J17" i="3"/>
  <c r="H17" i="3"/>
  <c r="G17" i="3"/>
  <c r="E17" i="3"/>
  <c r="D17" i="3"/>
  <c r="CQ16" i="3"/>
  <c r="CP16" i="3"/>
  <c r="CN16" i="3"/>
  <c r="CM16" i="3"/>
  <c r="CK16" i="3"/>
  <c r="CJ16" i="3"/>
  <c r="CH16" i="3"/>
  <c r="CG16" i="3"/>
  <c r="CE16" i="3"/>
  <c r="CD16" i="3"/>
  <c r="CB16" i="3"/>
  <c r="CA16" i="3"/>
  <c r="BY16" i="3"/>
  <c r="BX16" i="3"/>
  <c r="BV16" i="3"/>
  <c r="BU16" i="3"/>
  <c r="BS16" i="3"/>
  <c r="BR16" i="3"/>
  <c r="BP16" i="3"/>
  <c r="BO16" i="3"/>
  <c r="BM16" i="3"/>
  <c r="BL16" i="3"/>
  <c r="BJ16" i="3"/>
  <c r="BI16" i="3"/>
  <c r="BG16" i="3"/>
  <c r="BF16" i="3"/>
  <c r="BD16" i="3"/>
  <c r="BC16" i="3"/>
  <c r="BA16" i="3"/>
  <c r="AZ16" i="3"/>
  <c r="AX16" i="3"/>
  <c r="AW16" i="3"/>
  <c r="AU16" i="3"/>
  <c r="AT16" i="3"/>
  <c r="AR16" i="3"/>
  <c r="AQ16" i="3"/>
  <c r="AO16" i="3"/>
  <c r="AN16" i="3"/>
  <c r="AL16" i="3"/>
  <c r="AK16" i="3"/>
  <c r="AI16" i="3"/>
  <c r="AH16" i="3"/>
  <c r="AF16" i="3"/>
  <c r="AE16" i="3"/>
  <c r="AC16" i="3"/>
  <c r="AB16" i="3"/>
  <c r="Z16" i="3"/>
  <c r="Y16" i="3"/>
  <c r="W16" i="3"/>
  <c r="V16" i="3"/>
  <c r="T16" i="3"/>
  <c r="S16" i="3"/>
  <c r="Q16" i="3"/>
  <c r="P16" i="3"/>
  <c r="N16" i="3"/>
  <c r="M16" i="3"/>
  <c r="K16" i="3"/>
  <c r="J16" i="3"/>
  <c r="H16" i="3"/>
  <c r="G16" i="3"/>
  <c r="E16" i="3"/>
  <c r="D16" i="3"/>
  <c r="CQ15" i="3"/>
  <c r="CP15" i="3"/>
  <c r="CN15" i="3"/>
  <c r="CM15" i="3"/>
  <c r="CK15" i="3"/>
  <c r="CJ15" i="3"/>
  <c r="CH15" i="3"/>
  <c r="CG15" i="3"/>
  <c r="CE15" i="3"/>
  <c r="CD15" i="3"/>
  <c r="CB15" i="3"/>
  <c r="CA15" i="3"/>
  <c r="BY15" i="3"/>
  <c r="BX15" i="3"/>
  <c r="BV15" i="3"/>
  <c r="BU15" i="3"/>
  <c r="BS15" i="3"/>
  <c r="BR15" i="3"/>
  <c r="BP15" i="3"/>
  <c r="BO15" i="3"/>
  <c r="BM15" i="3"/>
  <c r="BL15" i="3"/>
  <c r="BJ15" i="3"/>
  <c r="BI15" i="3"/>
  <c r="BG15" i="3"/>
  <c r="BF15" i="3"/>
  <c r="BD15" i="3"/>
  <c r="BC15" i="3"/>
  <c r="BA15" i="3"/>
  <c r="AZ15" i="3"/>
  <c r="AX15" i="3"/>
  <c r="AW15" i="3"/>
  <c r="AU15" i="3"/>
  <c r="AT15" i="3"/>
  <c r="AR15" i="3"/>
  <c r="AQ15" i="3"/>
  <c r="AO15" i="3"/>
  <c r="AN15" i="3"/>
  <c r="AL15" i="3"/>
  <c r="AK15" i="3"/>
  <c r="AI15" i="3"/>
  <c r="AH15" i="3"/>
  <c r="AF15" i="3"/>
  <c r="AE15" i="3"/>
  <c r="AC15" i="3"/>
  <c r="AB15" i="3"/>
  <c r="Z15" i="3"/>
  <c r="Y15" i="3"/>
  <c r="V15" i="3"/>
  <c r="T15" i="3"/>
  <c r="S15" i="3"/>
  <c r="Q15" i="3"/>
  <c r="P15" i="3"/>
  <c r="N15" i="3"/>
  <c r="M15" i="3"/>
  <c r="K15" i="3"/>
  <c r="J15" i="3"/>
  <c r="H15" i="3"/>
  <c r="G15" i="3"/>
  <c r="E15" i="3"/>
  <c r="D15" i="3"/>
  <c r="CQ14" i="3"/>
  <c r="CP14" i="3"/>
  <c r="CN14" i="3"/>
  <c r="CM14" i="3"/>
  <c r="CK14" i="3"/>
  <c r="CJ14" i="3"/>
  <c r="CH14" i="3"/>
  <c r="CG14" i="3"/>
  <c r="CE14" i="3"/>
  <c r="CD14" i="3"/>
  <c r="CB14" i="3"/>
  <c r="CA14" i="3"/>
  <c r="BY14" i="3"/>
  <c r="BX14" i="3"/>
  <c r="BV14" i="3"/>
  <c r="BU14" i="3"/>
  <c r="BS14" i="3"/>
  <c r="BR14" i="3"/>
  <c r="BP14" i="3"/>
  <c r="BO14" i="3"/>
  <c r="BM14" i="3"/>
  <c r="BL14" i="3"/>
  <c r="BJ14" i="3"/>
  <c r="BI14" i="3"/>
  <c r="BG14" i="3"/>
  <c r="BF14" i="3"/>
  <c r="BD14" i="3"/>
  <c r="BC14" i="3"/>
  <c r="BA14" i="3"/>
  <c r="AZ14" i="3"/>
  <c r="AX14" i="3"/>
  <c r="AW14" i="3"/>
  <c r="AU14" i="3"/>
  <c r="AT14" i="3"/>
  <c r="AR14" i="3"/>
  <c r="AQ14" i="3"/>
  <c r="AO14" i="3"/>
  <c r="AN14" i="3"/>
  <c r="AL14" i="3"/>
  <c r="AK14" i="3"/>
  <c r="AI14" i="3"/>
  <c r="AH14" i="3"/>
  <c r="AF14" i="3"/>
  <c r="AE14" i="3"/>
  <c r="AC14" i="3"/>
  <c r="AB14" i="3"/>
  <c r="Z14" i="3"/>
  <c r="Y14" i="3"/>
  <c r="V14" i="3"/>
  <c r="T14" i="3"/>
  <c r="S14" i="3"/>
  <c r="Q14" i="3"/>
  <c r="P14" i="3"/>
  <c r="N14" i="3"/>
  <c r="M14" i="3"/>
  <c r="K14" i="3"/>
  <c r="J14" i="3"/>
  <c r="H14" i="3"/>
  <c r="G14" i="3"/>
  <c r="E14" i="3"/>
  <c r="D14" i="3"/>
  <c r="CQ13" i="3"/>
  <c r="CP13" i="3"/>
  <c r="CN13" i="3"/>
  <c r="CM13" i="3"/>
  <c r="CK13" i="3"/>
  <c r="CJ13" i="3"/>
  <c r="CH13" i="3"/>
  <c r="CG13" i="3"/>
  <c r="CE13" i="3"/>
  <c r="CD13" i="3"/>
  <c r="CB13" i="3"/>
  <c r="CA13" i="3"/>
  <c r="BY13" i="3"/>
  <c r="BX13" i="3"/>
  <c r="BV13" i="3"/>
  <c r="BU13" i="3"/>
  <c r="BS13" i="3"/>
  <c r="BR13" i="3"/>
  <c r="BP13" i="3"/>
  <c r="BO13" i="3"/>
  <c r="BM13" i="3"/>
  <c r="BL13" i="3"/>
  <c r="BJ13" i="3"/>
  <c r="BI13" i="3"/>
  <c r="BG13" i="3"/>
  <c r="BF13" i="3"/>
  <c r="BD13" i="3"/>
  <c r="BC13" i="3"/>
  <c r="BA13" i="3"/>
  <c r="AZ13" i="3"/>
  <c r="AX13" i="3"/>
  <c r="AW13" i="3"/>
  <c r="AU13" i="3"/>
  <c r="AT13" i="3"/>
  <c r="AR13" i="3"/>
  <c r="AQ13" i="3"/>
  <c r="AO13" i="3"/>
  <c r="AN13" i="3"/>
  <c r="AL13" i="3"/>
  <c r="AK13" i="3"/>
  <c r="AI13" i="3"/>
  <c r="AH13" i="3"/>
  <c r="AF13" i="3"/>
  <c r="AE13" i="3"/>
  <c r="AC13" i="3"/>
  <c r="AB13" i="3"/>
  <c r="Z13" i="3"/>
  <c r="Y13" i="3"/>
  <c r="V13" i="3"/>
  <c r="T13" i="3"/>
  <c r="S13" i="3"/>
  <c r="Q13" i="3"/>
  <c r="P13" i="3"/>
  <c r="N13" i="3"/>
  <c r="M13" i="3"/>
  <c r="K13" i="3"/>
  <c r="J13" i="3"/>
  <c r="H13" i="3"/>
  <c r="G13" i="3"/>
  <c r="E13" i="3"/>
  <c r="D13" i="3"/>
  <c r="CQ12" i="3"/>
  <c r="CP12" i="3"/>
  <c r="CN12" i="3"/>
  <c r="CM12" i="3"/>
  <c r="CK12" i="3"/>
  <c r="CJ12" i="3"/>
  <c r="CH12" i="3"/>
  <c r="CG12" i="3"/>
  <c r="CE12" i="3"/>
  <c r="CD12" i="3"/>
  <c r="CB12" i="3"/>
  <c r="CA12" i="3"/>
  <c r="BY12" i="3"/>
  <c r="BX12" i="3"/>
  <c r="BV12" i="3"/>
  <c r="BU12" i="3"/>
  <c r="BS12" i="3"/>
  <c r="BR12" i="3"/>
  <c r="BP12" i="3"/>
  <c r="BO12" i="3"/>
  <c r="BM12" i="3"/>
  <c r="BL12" i="3"/>
  <c r="BJ12" i="3"/>
  <c r="BI12" i="3"/>
  <c r="BG12" i="3"/>
  <c r="BF12" i="3"/>
  <c r="BD12" i="3"/>
  <c r="BC12" i="3"/>
  <c r="BA12" i="3"/>
  <c r="AZ12" i="3"/>
  <c r="AX12" i="3"/>
  <c r="AW12" i="3"/>
  <c r="AU12" i="3"/>
  <c r="AT12" i="3"/>
  <c r="AR12" i="3"/>
  <c r="AQ12" i="3"/>
  <c r="AO12" i="3"/>
  <c r="AN12" i="3"/>
  <c r="AL12" i="3"/>
  <c r="AK12" i="3"/>
  <c r="AI12" i="3"/>
  <c r="AH12" i="3"/>
  <c r="AF12" i="3"/>
  <c r="AE12" i="3"/>
  <c r="AC12" i="3"/>
  <c r="AB12" i="3"/>
  <c r="Z12" i="3"/>
  <c r="Y12" i="3"/>
  <c r="W12" i="3"/>
  <c r="V12" i="3"/>
  <c r="T12" i="3"/>
  <c r="S12" i="3"/>
  <c r="Q12" i="3"/>
  <c r="P12" i="3"/>
  <c r="N12" i="3"/>
  <c r="M12" i="3"/>
  <c r="K12" i="3"/>
  <c r="J12" i="3"/>
  <c r="H12" i="3"/>
  <c r="G12" i="3"/>
  <c r="E12" i="3"/>
  <c r="D12" i="3"/>
  <c r="CQ11" i="3"/>
  <c r="CP11" i="3"/>
  <c r="CN11" i="3"/>
  <c r="CM11" i="3"/>
  <c r="CK11" i="3"/>
  <c r="CJ11" i="3"/>
  <c r="CH11" i="3"/>
  <c r="CG11" i="3"/>
  <c r="CE11" i="3"/>
  <c r="CD11" i="3"/>
  <c r="CB11" i="3"/>
  <c r="CA11" i="3"/>
  <c r="BY11" i="3"/>
  <c r="BX11" i="3"/>
  <c r="BV11" i="3"/>
  <c r="BU11" i="3"/>
  <c r="BS11" i="3"/>
  <c r="BR11" i="3"/>
  <c r="BP11" i="3"/>
  <c r="BO11" i="3"/>
  <c r="BM11" i="3"/>
  <c r="BL11" i="3"/>
  <c r="BJ11" i="3"/>
  <c r="BI11" i="3"/>
  <c r="BG11" i="3"/>
  <c r="BF11" i="3"/>
  <c r="BD11" i="3"/>
  <c r="BC11" i="3"/>
  <c r="BA11" i="3"/>
  <c r="AZ11" i="3"/>
  <c r="AX11" i="3"/>
  <c r="AW11" i="3"/>
  <c r="AU11" i="3"/>
  <c r="AT11" i="3"/>
  <c r="AR11" i="3"/>
  <c r="AQ11" i="3"/>
  <c r="AO11" i="3"/>
  <c r="AN11" i="3"/>
  <c r="AL11" i="3"/>
  <c r="AK11" i="3"/>
  <c r="AI11" i="3"/>
  <c r="AH11" i="3"/>
  <c r="AF11" i="3"/>
  <c r="AE11" i="3"/>
  <c r="AC11" i="3"/>
  <c r="AB11" i="3"/>
  <c r="Z11" i="3"/>
  <c r="Y11" i="3"/>
  <c r="V11" i="3"/>
  <c r="T11" i="3"/>
  <c r="S11" i="3"/>
  <c r="Q11" i="3"/>
  <c r="P11" i="3"/>
  <c r="N11" i="3"/>
  <c r="M11" i="3"/>
  <c r="K11" i="3"/>
  <c r="J11" i="3"/>
  <c r="H11" i="3"/>
  <c r="G11" i="3"/>
  <c r="E11" i="3"/>
  <c r="D11" i="3"/>
  <c r="CQ10" i="3"/>
  <c r="CP10" i="3"/>
  <c r="CN10" i="3"/>
  <c r="CM10" i="3"/>
  <c r="CK10" i="3"/>
  <c r="CJ10" i="3"/>
  <c r="CH10" i="3"/>
  <c r="CG10" i="3"/>
  <c r="CE10" i="3"/>
  <c r="CD10" i="3"/>
  <c r="CB10" i="3"/>
  <c r="CA10" i="3"/>
  <c r="BY10" i="3"/>
  <c r="BX10" i="3"/>
  <c r="BV10" i="3"/>
  <c r="BU10" i="3"/>
  <c r="BS10" i="3"/>
  <c r="BR10" i="3"/>
  <c r="BP10" i="3"/>
  <c r="BO10" i="3"/>
  <c r="BM10" i="3"/>
  <c r="BL10" i="3"/>
  <c r="BJ10" i="3"/>
  <c r="BI10" i="3"/>
  <c r="BG10" i="3"/>
  <c r="BF10" i="3"/>
  <c r="BD10" i="3"/>
  <c r="BC10" i="3"/>
  <c r="BA10" i="3"/>
  <c r="AZ10" i="3"/>
  <c r="AX10" i="3"/>
  <c r="AW10" i="3"/>
  <c r="AU10" i="3"/>
  <c r="AT10" i="3"/>
  <c r="AR10" i="3"/>
  <c r="AQ10" i="3"/>
  <c r="AO10" i="3"/>
  <c r="AN10" i="3"/>
  <c r="AL10" i="3"/>
  <c r="AK10" i="3"/>
  <c r="AI10" i="3"/>
  <c r="AH10" i="3"/>
  <c r="AF10" i="3"/>
  <c r="AE10" i="3"/>
  <c r="AC10" i="3"/>
  <c r="AB10" i="3"/>
  <c r="Z10" i="3"/>
  <c r="Y10" i="3"/>
  <c r="W10" i="3"/>
  <c r="V10" i="3"/>
  <c r="T10" i="3"/>
  <c r="S10" i="3"/>
  <c r="Q10" i="3"/>
  <c r="P10" i="3"/>
  <c r="N10" i="3"/>
  <c r="M10" i="3"/>
  <c r="K10" i="3"/>
  <c r="J10" i="3"/>
  <c r="H10" i="3"/>
  <c r="G10" i="3"/>
  <c r="E10" i="3"/>
  <c r="D10" i="3"/>
  <c r="CQ9" i="3"/>
  <c r="CP9" i="3"/>
  <c r="CN9" i="3"/>
  <c r="CM9" i="3"/>
  <c r="CK9" i="3"/>
  <c r="CJ9" i="3"/>
  <c r="CH9" i="3"/>
  <c r="CG9" i="3"/>
  <c r="CE9" i="3"/>
  <c r="CD9" i="3"/>
  <c r="CB9" i="3"/>
  <c r="CA9" i="3"/>
  <c r="BY9" i="3"/>
  <c r="BX9" i="3"/>
  <c r="BV9" i="3"/>
  <c r="BU9" i="3"/>
  <c r="BS9" i="3"/>
  <c r="BR9" i="3"/>
  <c r="BP9" i="3"/>
  <c r="BO9" i="3"/>
  <c r="BM9" i="3"/>
  <c r="BL9" i="3"/>
  <c r="BJ9" i="3"/>
  <c r="BI9" i="3"/>
  <c r="BG9" i="3"/>
  <c r="BF9" i="3"/>
  <c r="BD9" i="3"/>
  <c r="BC9" i="3"/>
  <c r="BA9" i="3"/>
  <c r="AZ9" i="3"/>
  <c r="AX9" i="3"/>
  <c r="AW9" i="3"/>
  <c r="AU9" i="3"/>
  <c r="AT9" i="3"/>
  <c r="AR9" i="3"/>
  <c r="AQ9" i="3"/>
  <c r="AO9" i="3"/>
  <c r="AN9" i="3"/>
  <c r="AL9" i="3"/>
  <c r="AK9" i="3"/>
  <c r="AI9" i="3"/>
  <c r="AH9" i="3"/>
  <c r="AF9" i="3"/>
  <c r="AE9" i="3"/>
  <c r="AC9" i="3"/>
  <c r="AB9" i="3"/>
  <c r="Z9" i="3"/>
  <c r="Y9" i="3"/>
  <c r="V9" i="3"/>
  <c r="T9" i="3"/>
  <c r="S9" i="3"/>
  <c r="Q9" i="3"/>
  <c r="P9" i="3"/>
  <c r="N9" i="3"/>
  <c r="M9" i="3"/>
  <c r="K9" i="3"/>
  <c r="J9" i="3"/>
  <c r="H9" i="3"/>
  <c r="G9" i="3"/>
  <c r="E9" i="3"/>
  <c r="D9" i="3"/>
  <c r="CQ8" i="3"/>
  <c r="CP8" i="3"/>
  <c r="CN8" i="3"/>
  <c r="CM8" i="3"/>
  <c r="CK8" i="3"/>
  <c r="CJ8" i="3"/>
  <c r="CH8" i="3"/>
  <c r="CG8" i="3"/>
  <c r="CE8" i="3"/>
  <c r="CD8" i="3"/>
  <c r="CB8" i="3"/>
  <c r="CA8" i="3"/>
  <c r="BY8" i="3"/>
  <c r="BX8" i="3"/>
  <c r="BV8" i="3"/>
  <c r="BU8" i="3"/>
  <c r="BS8" i="3"/>
  <c r="BR8" i="3"/>
  <c r="BP8" i="3"/>
  <c r="BO8" i="3"/>
  <c r="BM8" i="3"/>
  <c r="BL8" i="3"/>
  <c r="BJ8" i="3"/>
  <c r="BI8" i="3"/>
  <c r="BG8" i="3"/>
  <c r="BF8" i="3"/>
  <c r="BD8" i="3"/>
  <c r="BC8" i="3"/>
  <c r="BA8" i="3"/>
  <c r="AZ8" i="3"/>
  <c r="AX8" i="3"/>
  <c r="AW8" i="3"/>
  <c r="AU8" i="3"/>
  <c r="AT8" i="3"/>
  <c r="AR8" i="3"/>
  <c r="AQ8" i="3"/>
  <c r="AO8" i="3"/>
  <c r="AN8" i="3"/>
  <c r="AL8" i="3"/>
  <c r="AK8" i="3"/>
  <c r="AI8" i="3"/>
  <c r="AH8" i="3"/>
  <c r="AF8" i="3"/>
  <c r="AE8" i="3"/>
  <c r="AC8" i="3"/>
  <c r="AB8" i="3"/>
  <c r="Z8" i="3"/>
  <c r="Y8" i="3"/>
  <c r="W8" i="3"/>
  <c r="V8" i="3"/>
  <c r="T8" i="3"/>
  <c r="S8" i="3"/>
  <c r="Q8" i="3"/>
  <c r="P8" i="3"/>
  <c r="N8" i="3"/>
  <c r="M8" i="3"/>
  <c r="K8" i="3"/>
  <c r="J8" i="3"/>
  <c r="H8" i="3"/>
  <c r="G8" i="3"/>
  <c r="E8" i="3"/>
  <c r="D8" i="3"/>
  <c r="CQ7" i="3"/>
  <c r="CP7" i="3"/>
  <c r="CN7" i="3"/>
  <c r="CM7" i="3"/>
  <c r="CK7" i="3"/>
  <c r="CJ7" i="3"/>
  <c r="CH7" i="3"/>
  <c r="CG7" i="3"/>
  <c r="CE7" i="3"/>
  <c r="CD7" i="3"/>
  <c r="CB7" i="3"/>
  <c r="CA7" i="3"/>
  <c r="BY7" i="3"/>
  <c r="BX7" i="3"/>
  <c r="BV7" i="3"/>
  <c r="BU7" i="3"/>
  <c r="BS7" i="3"/>
  <c r="BR7" i="3"/>
  <c r="BP7" i="3"/>
  <c r="BO7" i="3"/>
  <c r="BM7" i="3"/>
  <c r="BL7" i="3"/>
  <c r="BJ7" i="3"/>
  <c r="BI7" i="3"/>
  <c r="BG7" i="3"/>
  <c r="BF7" i="3"/>
  <c r="BD7" i="3"/>
  <c r="BC7" i="3"/>
  <c r="BA7" i="3"/>
  <c r="AZ7" i="3"/>
  <c r="AX7" i="3"/>
  <c r="AW7" i="3"/>
  <c r="AU7" i="3"/>
  <c r="AT7" i="3"/>
  <c r="AR7" i="3"/>
  <c r="AQ7" i="3"/>
  <c r="AO7" i="3"/>
  <c r="AN7" i="3"/>
  <c r="AL7" i="3"/>
  <c r="AK7" i="3"/>
  <c r="AI7" i="3"/>
  <c r="AH7" i="3"/>
  <c r="AF7" i="3"/>
  <c r="AE7" i="3"/>
  <c r="AC7" i="3"/>
  <c r="AB7" i="3"/>
  <c r="Z7" i="3"/>
  <c r="Y7" i="3"/>
  <c r="W7" i="3"/>
  <c r="V7" i="3"/>
  <c r="T7" i="3"/>
  <c r="S7" i="3"/>
  <c r="Q7" i="3"/>
  <c r="P7" i="3"/>
  <c r="N7" i="3"/>
  <c r="M7" i="3"/>
  <c r="K7" i="3"/>
  <c r="J7" i="3"/>
  <c r="H7" i="3"/>
  <c r="G7" i="3"/>
  <c r="E7" i="3"/>
  <c r="D7" i="3"/>
  <c r="CQ6" i="3"/>
  <c r="CP6" i="3"/>
  <c r="CN6" i="3"/>
  <c r="CM6" i="3"/>
  <c r="CK6" i="3"/>
  <c r="CJ6" i="3"/>
  <c r="CH6" i="3"/>
  <c r="CG6" i="3"/>
  <c r="CE6" i="3"/>
  <c r="CD6" i="3"/>
  <c r="CB6" i="3"/>
  <c r="CA6" i="3"/>
  <c r="BY6" i="3"/>
  <c r="BX6" i="3"/>
  <c r="BV6" i="3"/>
  <c r="BU6" i="3"/>
  <c r="BS6" i="3"/>
  <c r="BR6" i="3"/>
  <c r="BP6" i="3"/>
  <c r="BO6" i="3"/>
  <c r="BM6" i="3"/>
  <c r="BL6" i="3"/>
  <c r="BJ6" i="3"/>
  <c r="BI6" i="3"/>
  <c r="BG6" i="3"/>
  <c r="BF6" i="3"/>
  <c r="BD6" i="3"/>
  <c r="BC6" i="3"/>
  <c r="BA6" i="3"/>
  <c r="AZ6" i="3"/>
  <c r="AX6" i="3"/>
  <c r="AW6" i="3"/>
  <c r="AU6" i="3"/>
  <c r="AT6" i="3"/>
  <c r="AR6" i="3"/>
  <c r="AQ6" i="3"/>
  <c r="AO6" i="3"/>
  <c r="AN6" i="3"/>
  <c r="AL6" i="3"/>
  <c r="AK6" i="3"/>
  <c r="AI6" i="3"/>
  <c r="AH6" i="3"/>
  <c r="AF6" i="3"/>
  <c r="AE6" i="3"/>
  <c r="AC6" i="3"/>
  <c r="AB6" i="3"/>
  <c r="Z6" i="3"/>
  <c r="Y6" i="3"/>
  <c r="V6" i="3"/>
  <c r="T6" i="3"/>
  <c r="S6" i="3"/>
  <c r="Q6" i="3"/>
  <c r="P6" i="3"/>
  <c r="N6" i="3"/>
  <c r="M6" i="3"/>
  <c r="K6" i="3"/>
  <c r="J6" i="3"/>
  <c r="H6" i="3"/>
  <c r="G6" i="3"/>
  <c r="E6" i="3"/>
  <c r="D6" i="3"/>
  <c r="C39" i="3"/>
  <c r="CI38" i="3" l="1"/>
  <c r="BQ40" i="3"/>
  <c r="BW40" i="3"/>
  <c r="CC40" i="3"/>
  <c r="L41" i="3"/>
  <c r="R41" i="3"/>
  <c r="AA48" i="3"/>
  <c r="AS48" i="3"/>
  <c r="AD62" i="3"/>
  <c r="AP62" i="3"/>
  <c r="BB62" i="3"/>
  <c r="BN62" i="3"/>
  <c r="BZ62" i="3"/>
  <c r="CL62" i="3"/>
  <c r="X41" i="3"/>
  <c r="CI61" i="3"/>
  <c r="R62" i="3"/>
  <c r="BQ48" i="3"/>
  <c r="BW48" i="3"/>
  <c r="CO48" i="3"/>
  <c r="F49" i="3"/>
  <c r="U52" i="3"/>
  <c r="AA52" i="3"/>
  <c r="AS52" i="3"/>
  <c r="AY52" i="3"/>
  <c r="BQ52" i="3"/>
  <c r="CO52" i="3"/>
  <c r="X53" i="3"/>
  <c r="AV53" i="3"/>
  <c r="BB53" i="3"/>
  <c r="BT53" i="3"/>
  <c r="AS54" i="3"/>
  <c r="BE54" i="3"/>
  <c r="BQ54" i="3"/>
  <c r="AV55" i="3"/>
  <c r="O56" i="3"/>
  <c r="AA56" i="3"/>
  <c r="BK56" i="3"/>
  <c r="U58" i="3"/>
  <c r="AG58" i="3"/>
  <c r="BQ58" i="3"/>
  <c r="X59" i="3"/>
  <c r="AJ59" i="3"/>
  <c r="AA60" i="3"/>
  <c r="AY60" i="3"/>
  <c r="BW60" i="3"/>
  <c r="CI60" i="3"/>
  <c r="CF14" i="3"/>
  <c r="CR14" i="3"/>
  <c r="O15" i="3"/>
  <c r="U15" i="3"/>
  <c r="AG15" i="3"/>
  <c r="CC15" i="3"/>
  <c r="AJ16" i="3"/>
  <c r="BH21" i="3"/>
  <c r="BZ14" i="3"/>
  <c r="BN26" i="3"/>
  <c r="CL26" i="3"/>
  <c r="I27" i="3"/>
  <c r="BN6" i="3"/>
  <c r="CL6" i="3"/>
  <c r="AS7" i="3"/>
  <c r="BW9" i="3"/>
  <c r="CF21" i="3"/>
  <c r="O22" i="3"/>
  <c r="AM22" i="3"/>
  <c r="BK22" i="3"/>
  <c r="BE26" i="3"/>
  <c r="BK26" i="3"/>
  <c r="BQ26" i="3"/>
  <c r="BW26" i="3"/>
  <c r="CC26" i="3"/>
  <c r="CI26" i="3"/>
  <c r="CO26" i="3"/>
  <c r="F27" i="3"/>
  <c r="I34" i="3"/>
  <c r="AG34" i="3"/>
  <c r="AV35" i="3"/>
  <c r="BB37" i="3"/>
  <c r="CO60" i="3"/>
  <c r="F61" i="3"/>
  <c r="AD61" i="3"/>
  <c r="BB61" i="3"/>
  <c r="BZ61" i="3"/>
  <c r="BB9" i="3"/>
  <c r="L17" i="3"/>
  <c r="AJ17" i="3"/>
  <c r="BH17" i="3"/>
  <c r="R19" i="3"/>
  <c r="CL19" i="3"/>
  <c r="U20" i="3"/>
  <c r="AG20" i="3"/>
  <c r="L28" i="3"/>
  <c r="BT38" i="3"/>
  <c r="CF38" i="3"/>
  <c r="BK39" i="3"/>
  <c r="AP40" i="3"/>
  <c r="AS41" i="3"/>
  <c r="L46" i="3"/>
  <c r="R46" i="3"/>
  <c r="AP46" i="3"/>
  <c r="AV46" i="3"/>
  <c r="BH46" i="3"/>
  <c r="AD48" i="3"/>
  <c r="AJ48" i="3"/>
  <c r="BB48" i="3"/>
  <c r="BH48" i="3"/>
  <c r="BZ48" i="3"/>
  <c r="CF48" i="3"/>
  <c r="X16" i="3"/>
  <c r="X46" i="3"/>
  <c r="AM10" i="3"/>
  <c r="AS10" i="3"/>
  <c r="AS12" i="3"/>
  <c r="CL22" i="3"/>
  <c r="I23" i="3"/>
  <c r="U23" i="3"/>
  <c r="AG23" i="3"/>
  <c r="CO23" i="3"/>
  <c r="R24" i="3"/>
  <c r="X24" i="3"/>
  <c r="I25" i="3"/>
  <c r="U25" i="3"/>
  <c r="AA25" i="3"/>
  <c r="F26" i="3"/>
  <c r="AG27" i="3"/>
  <c r="AM27" i="3"/>
  <c r="AY27" i="3"/>
  <c r="BE27" i="3"/>
  <c r="BZ37" i="3"/>
  <c r="CL37" i="3"/>
  <c r="AA40" i="3"/>
  <c r="CF41" i="3"/>
  <c r="CL41" i="3"/>
  <c r="I42" i="3"/>
  <c r="U42" i="3"/>
  <c r="AG42" i="3"/>
  <c r="BE42" i="3"/>
  <c r="BQ42" i="3"/>
  <c r="L43" i="3"/>
  <c r="R43" i="3"/>
  <c r="X43" i="3"/>
  <c r="AJ43" i="3"/>
  <c r="AV43" i="3"/>
  <c r="BH43" i="3"/>
  <c r="CR43" i="3"/>
  <c r="O44" i="3"/>
  <c r="AA44" i="3"/>
  <c r="AM44" i="3"/>
  <c r="F45" i="3"/>
  <c r="R45" i="3"/>
  <c r="AD45" i="3"/>
  <c r="AJ45" i="3"/>
  <c r="AP45" i="3"/>
  <c r="BB49" i="3"/>
  <c r="BW56" i="3"/>
  <c r="CC56" i="3"/>
  <c r="F8" i="3"/>
  <c r="AD8" i="3"/>
  <c r="AV8" i="3"/>
  <c r="AG9" i="3"/>
  <c r="BE9" i="3"/>
  <c r="O11" i="3"/>
  <c r="AM11" i="3"/>
  <c r="BQ11" i="3"/>
  <c r="X12" i="3"/>
  <c r="AY13" i="3"/>
  <c r="BW13" i="3"/>
  <c r="AP14" i="3"/>
  <c r="BB14" i="3"/>
  <c r="BT17" i="3"/>
  <c r="CR17" i="3"/>
  <c r="BN23" i="3"/>
  <c r="R28" i="3"/>
  <c r="AD28" i="3"/>
  <c r="AJ28" i="3"/>
  <c r="L30" i="3"/>
  <c r="R30" i="3"/>
  <c r="AV30" i="3"/>
  <c r="CF30" i="3"/>
  <c r="CR30" i="3"/>
  <c r="AG31" i="3"/>
  <c r="AM31" i="3"/>
  <c r="CI31" i="3"/>
  <c r="AD32" i="3"/>
  <c r="BE33" i="3"/>
  <c r="CC37" i="3"/>
  <c r="F44" i="3"/>
  <c r="AD44" i="3"/>
  <c r="AP44" i="3"/>
  <c r="I45" i="3"/>
  <c r="AG45" i="3"/>
  <c r="BE45" i="3"/>
  <c r="CO30" i="3"/>
  <c r="CF33" i="3"/>
  <c r="CL33" i="3"/>
  <c r="U36" i="3"/>
  <c r="AS36" i="3"/>
  <c r="CC36" i="3"/>
  <c r="CI36" i="3"/>
  <c r="F37" i="3"/>
  <c r="AV37" i="3"/>
  <c r="F52" i="3"/>
  <c r="L52" i="3"/>
  <c r="BZ52" i="3"/>
  <c r="CF52" i="3"/>
  <c r="I53" i="3"/>
  <c r="O53" i="3"/>
  <c r="BT54" i="3"/>
  <c r="BZ54" i="3"/>
  <c r="CR54" i="3"/>
  <c r="I55" i="3"/>
  <c r="BQ7" i="3"/>
  <c r="CO7" i="3"/>
  <c r="BT8" i="3"/>
  <c r="CR8" i="3"/>
  <c r="BE12" i="3"/>
  <c r="BK12" i="3"/>
  <c r="BQ12" i="3"/>
  <c r="CO12" i="3"/>
  <c r="AV13" i="3"/>
  <c r="AD18" i="3"/>
  <c r="AP18" i="3"/>
  <c r="CF20" i="3"/>
  <c r="CR20" i="3"/>
  <c r="O21" i="3"/>
  <c r="AA21" i="3"/>
  <c r="AG25" i="3"/>
  <c r="AS25" i="3"/>
  <c r="AY25" i="3"/>
  <c r="BW25" i="3"/>
  <c r="CC33" i="3"/>
  <c r="CO33" i="3"/>
  <c r="X34" i="3"/>
  <c r="CF34" i="3"/>
  <c r="AA35" i="3"/>
  <c r="BK35" i="3"/>
  <c r="R36" i="3"/>
  <c r="AD36" i="3"/>
  <c r="AJ39" i="3"/>
  <c r="AV39" i="3"/>
  <c r="BH39" i="3"/>
  <c r="O40" i="3"/>
  <c r="BN40" i="3"/>
  <c r="BZ40" i="3"/>
  <c r="I41" i="3"/>
  <c r="U41" i="3"/>
  <c r="BT47" i="3"/>
  <c r="CF47" i="3"/>
  <c r="R49" i="3"/>
  <c r="AP49" i="3"/>
  <c r="CC57" i="3"/>
  <c r="CI57" i="3"/>
  <c r="CO57" i="3"/>
  <c r="F58" i="3"/>
  <c r="AP58" i="3"/>
  <c r="BB58" i="3"/>
  <c r="CL58" i="3"/>
  <c r="I59" i="3"/>
  <c r="AM59" i="3"/>
  <c r="AS59" i="3"/>
  <c r="AY59" i="3"/>
  <c r="BE59" i="3"/>
  <c r="CF61" i="3"/>
  <c r="AA62" i="3"/>
  <c r="AM62" i="3"/>
  <c r="AY62" i="3"/>
  <c r="BK62" i="3"/>
  <c r="BW62" i="3"/>
  <c r="CI62" i="3"/>
  <c r="AS6" i="3"/>
  <c r="BQ6" i="3"/>
  <c r="CI9" i="3"/>
  <c r="F10" i="3"/>
  <c r="AD10" i="3"/>
  <c r="BB10" i="3"/>
  <c r="BZ10" i="3"/>
  <c r="AP15" i="3"/>
  <c r="AV15" i="3"/>
  <c r="BB15" i="3"/>
  <c r="BN15" i="3"/>
  <c r="BT15" i="3"/>
  <c r="BZ15" i="3"/>
  <c r="U16" i="3"/>
  <c r="AS16" i="3"/>
  <c r="BQ16" i="3"/>
  <c r="CI21" i="3"/>
  <c r="F22" i="3"/>
  <c r="R22" i="3"/>
  <c r="AD22" i="3"/>
  <c r="CI22" i="3"/>
  <c r="R23" i="3"/>
  <c r="AP23" i="3"/>
  <c r="CL23" i="3"/>
  <c r="AY24" i="3"/>
  <c r="BE24" i="3"/>
  <c r="BK24" i="3"/>
  <c r="BQ24" i="3"/>
  <c r="BW24" i="3"/>
  <c r="CC24" i="3"/>
  <c r="CI24" i="3"/>
  <c r="CO24" i="3"/>
  <c r="L26" i="3"/>
  <c r="X26" i="3"/>
  <c r="AD26" i="3"/>
  <c r="O27" i="3"/>
  <c r="AA27" i="3"/>
  <c r="BK28" i="3"/>
  <c r="BQ28" i="3"/>
  <c r="CC28" i="3"/>
  <c r="L29" i="3"/>
  <c r="X29" i="3"/>
  <c r="AP29" i="3"/>
  <c r="AV29" i="3"/>
  <c r="BB29" i="3"/>
  <c r="BT29" i="3"/>
  <c r="BZ29" i="3"/>
  <c r="U30" i="3"/>
  <c r="CI32" i="3"/>
  <c r="R33" i="3"/>
  <c r="AD33" i="3"/>
  <c r="CR33" i="3"/>
  <c r="CO36" i="3"/>
  <c r="L38" i="3"/>
  <c r="AJ38" i="3"/>
  <c r="AV38" i="3"/>
  <c r="AY41" i="3"/>
  <c r="BE41" i="3"/>
  <c r="BQ41" i="3"/>
  <c r="CC41" i="3"/>
  <c r="R42" i="3"/>
  <c r="X42" i="3"/>
  <c r="AJ42" i="3"/>
  <c r="AV42" i="3"/>
  <c r="BK43" i="3"/>
  <c r="BN49" i="3"/>
  <c r="CL49" i="3"/>
  <c r="I50" i="3"/>
  <c r="BE50" i="3"/>
  <c r="AJ51" i="3"/>
  <c r="BH51" i="3"/>
  <c r="BT51" i="3"/>
  <c r="BZ53" i="3"/>
  <c r="BT55" i="3"/>
  <c r="BZ55" i="3"/>
  <c r="CT6" i="3"/>
  <c r="G6" i="2" s="1"/>
  <c r="AP6" i="3"/>
  <c r="CR6" i="3"/>
  <c r="AA7" i="3"/>
  <c r="AV7" i="3"/>
  <c r="BT7" i="3"/>
  <c r="AY8" i="3"/>
  <c r="BW8" i="3"/>
  <c r="CC10" i="3"/>
  <c r="L11" i="3"/>
  <c r="BT11" i="3"/>
  <c r="CR11" i="3"/>
  <c r="O13" i="3"/>
  <c r="AA18" i="3"/>
  <c r="AY18" i="3"/>
  <c r="BW18" i="3"/>
  <c r="BE20" i="3"/>
  <c r="AJ21" i="3"/>
  <c r="BH24" i="3"/>
  <c r="CF24" i="3"/>
  <c r="CR24" i="3"/>
  <c r="CC27" i="3"/>
  <c r="BT28" i="3"/>
  <c r="O29" i="3"/>
  <c r="BE29" i="3"/>
  <c r="CL32" i="3"/>
  <c r="U33" i="3"/>
  <c r="AM39" i="3"/>
  <c r="BW39" i="3"/>
  <c r="CO56" i="3"/>
  <c r="F57" i="3"/>
  <c r="AJ57" i="3"/>
  <c r="AV57" i="3"/>
  <c r="BB57" i="3"/>
  <c r="BZ57" i="3"/>
  <c r="CC58" i="3"/>
  <c r="CF59" i="3"/>
  <c r="BK25" i="3"/>
  <c r="CI25" i="3"/>
  <c r="R6" i="3"/>
  <c r="AV6" i="3"/>
  <c r="BT6" i="3"/>
  <c r="CO6" i="3"/>
  <c r="X7" i="3"/>
  <c r="X8" i="3"/>
  <c r="BB8" i="3"/>
  <c r="BZ8" i="3"/>
  <c r="F9" i="3"/>
  <c r="AJ9" i="3"/>
  <c r="AP9" i="3"/>
  <c r="BZ9" i="3"/>
  <c r="I10" i="3"/>
  <c r="BE10" i="3"/>
  <c r="CL10" i="3"/>
  <c r="I11" i="3"/>
  <c r="AG11" i="3"/>
  <c r="F12" i="3"/>
  <c r="L12" i="3"/>
  <c r="AV12" i="3"/>
  <c r="BT12" i="3"/>
  <c r="AA13" i="3"/>
  <c r="BH13" i="3"/>
  <c r="BT13" i="3"/>
  <c r="CR13" i="3"/>
  <c r="AG14" i="3"/>
  <c r="AM14" i="3"/>
  <c r="AS14" i="3"/>
  <c r="AY14" i="3"/>
  <c r="BE14" i="3"/>
  <c r="BK14" i="3"/>
  <c r="I16" i="3"/>
  <c r="AG16" i="3"/>
  <c r="BE16" i="3"/>
  <c r="AA17" i="3"/>
  <c r="AM17" i="3"/>
  <c r="F19" i="3"/>
  <c r="AD19" i="3"/>
  <c r="BB19" i="3"/>
  <c r="BZ19" i="3"/>
  <c r="I20" i="3"/>
  <c r="BQ20" i="3"/>
  <c r="CO20" i="3"/>
  <c r="F23" i="3"/>
  <c r="AD23" i="3"/>
  <c r="AP35" i="3"/>
  <c r="BZ36" i="3"/>
  <c r="CL36" i="3"/>
  <c r="I37" i="3"/>
  <c r="AS37" i="3"/>
  <c r="CO38" i="3"/>
  <c r="CT17" i="3"/>
  <c r="G17" i="2" s="1"/>
  <c r="BN44" i="3"/>
  <c r="CT9" i="3"/>
  <c r="G9" i="2" s="1"/>
  <c r="U6" i="3"/>
  <c r="U7" i="3"/>
  <c r="AY7" i="3"/>
  <c r="BW7" i="3"/>
  <c r="CR7" i="3"/>
  <c r="AA8" i="3"/>
  <c r="AA9" i="3"/>
  <c r="AY9" i="3"/>
  <c r="L10" i="3"/>
  <c r="AJ10" i="3"/>
  <c r="BH10" i="3"/>
  <c r="AP11" i="3"/>
  <c r="AV11" i="3"/>
  <c r="BB11" i="3"/>
  <c r="BN11" i="3"/>
  <c r="CL11" i="3"/>
  <c r="U12" i="3"/>
  <c r="L14" i="3"/>
  <c r="R14" i="3"/>
  <c r="AD14" i="3"/>
  <c r="BN14" i="3"/>
  <c r="AS15" i="3"/>
  <c r="BE15" i="3"/>
  <c r="BQ15" i="3"/>
  <c r="CO15" i="3"/>
  <c r="CO16" i="3"/>
  <c r="X17" i="3"/>
  <c r="AV17" i="3"/>
  <c r="O18" i="3"/>
  <c r="AM18" i="3"/>
  <c r="BK18" i="3"/>
  <c r="AG19" i="3"/>
  <c r="AS19" i="3"/>
  <c r="CC19" i="3"/>
  <c r="CO19" i="3"/>
  <c r="CR21" i="3"/>
  <c r="AA22" i="3"/>
  <c r="AD24" i="3"/>
  <c r="AP24" i="3"/>
  <c r="AV24" i="3"/>
  <c r="BT24" i="3"/>
  <c r="BH25" i="3"/>
  <c r="BN25" i="3"/>
  <c r="BT25" i="3"/>
  <c r="CF25" i="3"/>
  <c r="CL25" i="3"/>
  <c r="CR25" i="3"/>
  <c r="AJ26" i="3"/>
  <c r="AV26" i="3"/>
  <c r="BB26" i="3"/>
  <c r="BZ26" i="3"/>
  <c r="BB32" i="3"/>
  <c r="AG33" i="3"/>
  <c r="AJ34" i="3"/>
  <c r="BT34" i="3"/>
  <c r="AM38" i="3"/>
  <c r="AS38" i="3"/>
  <c r="AY38" i="3"/>
  <c r="AA39" i="3"/>
  <c r="CO41" i="3"/>
  <c r="L42" i="3"/>
  <c r="BH42" i="3"/>
  <c r="CR42" i="3"/>
  <c r="AA43" i="3"/>
  <c r="AM43" i="3"/>
  <c r="CO47" i="3"/>
  <c r="CF51" i="3"/>
  <c r="CR51" i="3"/>
  <c r="AD53" i="3"/>
  <c r="BW55" i="3"/>
  <c r="CC55" i="3"/>
  <c r="CI55" i="3"/>
  <c r="CO55" i="3"/>
  <c r="AJ56" i="3"/>
  <c r="AV56" i="3"/>
  <c r="CF57" i="3"/>
  <c r="CR57" i="3"/>
  <c r="I58" i="3"/>
  <c r="AM58" i="3"/>
  <c r="AY58" i="3"/>
  <c r="BE58" i="3"/>
  <c r="X60" i="3"/>
  <c r="AV60" i="3"/>
  <c r="BH60" i="3"/>
  <c r="CR61" i="3"/>
  <c r="O62" i="3"/>
  <c r="BH27" i="3"/>
  <c r="BN27" i="3"/>
  <c r="BZ27" i="3"/>
  <c r="CF27" i="3"/>
  <c r="CL27" i="3"/>
  <c r="I28" i="3"/>
  <c r="AP28" i="3"/>
  <c r="BB28" i="3"/>
  <c r="BH28" i="3"/>
  <c r="AM29" i="3"/>
  <c r="AA30" i="3"/>
  <c r="AG30" i="3"/>
  <c r="BE30" i="3"/>
  <c r="BQ30" i="3"/>
  <c r="L31" i="3"/>
  <c r="AV31" i="3"/>
  <c r="BB31" i="3"/>
  <c r="BH31" i="3"/>
  <c r="BT31" i="3"/>
  <c r="BZ31" i="3"/>
  <c r="CF31" i="3"/>
  <c r="CR31" i="3"/>
  <c r="O32" i="3"/>
  <c r="AA32" i="3"/>
  <c r="BZ32" i="3"/>
  <c r="I33" i="3"/>
  <c r="CR34" i="3"/>
  <c r="BT35" i="3"/>
  <c r="CF35" i="3"/>
  <c r="O36" i="3"/>
  <c r="AM36" i="3"/>
  <c r="L37" i="3"/>
  <c r="BQ37" i="3"/>
  <c r="BN39" i="3"/>
  <c r="F40" i="3"/>
  <c r="BH41" i="3"/>
  <c r="BN41" i="3"/>
  <c r="CI43" i="3"/>
  <c r="R44" i="3"/>
  <c r="BK46" i="3"/>
  <c r="BQ46" i="3"/>
  <c r="CI46" i="3"/>
  <c r="CO46" i="3"/>
  <c r="AD47" i="3"/>
  <c r="AJ47" i="3"/>
  <c r="AV47" i="3"/>
  <c r="L50" i="3"/>
  <c r="R50" i="3"/>
  <c r="AJ50" i="3"/>
  <c r="AP50" i="3"/>
  <c r="BH50" i="3"/>
  <c r="BN50" i="3"/>
  <c r="CF50" i="3"/>
  <c r="CL50" i="3"/>
  <c r="CL53" i="3"/>
  <c r="U54" i="3"/>
  <c r="AG54" i="3"/>
  <c r="BW54" i="3"/>
  <c r="CC54" i="3"/>
  <c r="L55" i="3"/>
  <c r="X55" i="3"/>
  <c r="CF56" i="3"/>
  <c r="CR56" i="3"/>
  <c r="AG57" i="3"/>
  <c r="AM57" i="3"/>
  <c r="AS57" i="3"/>
  <c r="AY57" i="3"/>
  <c r="CI58" i="3"/>
  <c r="L59" i="3"/>
  <c r="AP59" i="3"/>
  <c r="BB59" i="3"/>
  <c r="BH59" i="3"/>
  <c r="BN59" i="3"/>
  <c r="BZ59" i="3"/>
  <c r="AM61" i="3"/>
  <c r="AY61" i="3"/>
  <c r="BQ27" i="3"/>
  <c r="CO27" i="3"/>
  <c r="BK31" i="3"/>
  <c r="BQ31" i="3"/>
  <c r="R32" i="3"/>
  <c r="AS34" i="3"/>
  <c r="CC34" i="3"/>
  <c r="AM35" i="3"/>
  <c r="BW35" i="3"/>
  <c r="CX39" i="3"/>
  <c r="CU39" i="3" s="1"/>
  <c r="CL44" i="3"/>
  <c r="U45" i="3"/>
  <c r="BQ45" i="3"/>
  <c r="CO45" i="3"/>
  <c r="CF46" i="3"/>
  <c r="AS47" i="3"/>
  <c r="AA50" i="3"/>
  <c r="AG50" i="3"/>
  <c r="AY50" i="3"/>
  <c r="BW50" i="3"/>
  <c r="CC50" i="3"/>
  <c r="R51" i="3"/>
  <c r="X51" i="3"/>
  <c r="CL55" i="3"/>
  <c r="CR55" i="3"/>
  <c r="AG56" i="3"/>
  <c r="AS56" i="3"/>
  <c r="AY56" i="3"/>
  <c r="R57" i="3"/>
  <c r="AD57" i="3"/>
  <c r="BN57" i="3"/>
  <c r="CL59" i="3"/>
  <c r="I60" i="3"/>
  <c r="O60" i="3"/>
  <c r="AM60" i="3"/>
  <c r="BK60" i="3"/>
  <c r="R61" i="3"/>
  <c r="AP61" i="3"/>
  <c r="BN61" i="3"/>
  <c r="AA6" i="3"/>
  <c r="CC6" i="3"/>
  <c r="I7" i="3"/>
  <c r="AD7" i="3"/>
  <c r="AJ7" i="3"/>
  <c r="BE7" i="3"/>
  <c r="BZ7" i="3"/>
  <c r="CF7" i="3"/>
  <c r="L8" i="3"/>
  <c r="AG8" i="3"/>
  <c r="AM8" i="3"/>
  <c r="BH8" i="3"/>
  <c r="CC8" i="3"/>
  <c r="CI8" i="3"/>
  <c r="O9" i="3"/>
  <c r="BH9" i="3"/>
  <c r="BN9" i="3"/>
  <c r="R10" i="3"/>
  <c r="BK10" i="3"/>
  <c r="BQ10" i="3"/>
  <c r="U11" i="3"/>
  <c r="BZ11" i="3"/>
  <c r="AD12" i="3"/>
  <c r="AJ12" i="3"/>
  <c r="CC12" i="3"/>
  <c r="CI12" i="3"/>
  <c r="AM13" i="3"/>
  <c r="CF13" i="3"/>
  <c r="BQ14" i="3"/>
  <c r="BW14" i="3"/>
  <c r="AA15" i="3"/>
  <c r="CL15" i="3"/>
  <c r="CR15" i="3"/>
  <c r="AV16" i="3"/>
  <c r="BH16" i="3"/>
  <c r="AY17" i="3"/>
  <c r="BK17" i="3"/>
  <c r="BB18" i="3"/>
  <c r="BN18" i="3"/>
  <c r="L20" i="3"/>
  <c r="CC20" i="3"/>
  <c r="L21" i="3"/>
  <c r="AG6" i="3"/>
  <c r="AM9" i="3"/>
  <c r="CF9" i="3"/>
  <c r="CL9" i="3"/>
  <c r="AP10" i="3"/>
  <c r="CI10" i="3"/>
  <c r="CO10" i="3"/>
  <c r="AS11" i="3"/>
  <c r="BE11" i="3"/>
  <c r="I12" i="3"/>
  <c r="BB12" i="3"/>
  <c r="BH12" i="3"/>
  <c r="BK13" i="3"/>
  <c r="AJ14" i="3"/>
  <c r="AV14" i="3"/>
  <c r="BH14" i="3"/>
  <c r="CC14" i="3"/>
  <c r="CI14" i="3"/>
  <c r="CO14" i="3"/>
  <c r="R15" i="3"/>
  <c r="AM15" i="3"/>
  <c r="AY15" i="3"/>
  <c r="BK15" i="3"/>
  <c r="BW15" i="3"/>
  <c r="BT16" i="3"/>
  <c r="CF16" i="3"/>
  <c r="BW17" i="3"/>
  <c r="CI17" i="3"/>
  <c r="BZ18" i="3"/>
  <c r="CL18" i="3"/>
  <c r="BN19" i="3"/>
  <c r="BB6" i="3"/>
  <c r="BW6" i="3"/>
  <c r="I6" i="3"/>
  <c r="AD6" i="3"/>
  <c r="AY6" i="3"/>
  <c r="BE6" i="3"/>
  <c r="BZ6" i="3"/>
  <c r="L7" i="3"/>
  <c r="AG7" i="3"/>
  <c r="BB7" i="3"/>
  <c r="BH7" i="3"/>
  <c r="CC7" i="3"/>
  <c r="I8" i="3"/>
  <c r="O8" i="3"/>
  <c r="AJ8" i="3"/>
  <c r="BE8" i="3"/>
  <c r="BK8" i="3"/>
  <c r="CF8" i="3"/>
  <c r="L9" i="3"/>
  <c r="R9" i="3"/>
  <c r="AD9" i="3"/>
  <c r="BK9" i="3"/>
  <c r="CC9" i="3"/>
  <c r="O10" i="3"/>
  <c r="U10" i="3"/>
  <c r="AG10" i="3"/>
  <c r="BN10" i="3"/>
  <c r="CF10" i="3"/>
  <c r="R11" i="3"/>
  <c r="AJ11" i="3"/>
  <c r="CC11" i="3"/>
  <c r="CO11" i="3"/>
  <c r="CT12" i="3"/>
  <c r="G12" i="2" s="1"/>
  <c r="AG12" i="3"/>
  <c r="AM12" i="3"/>
  <c r="BZ12" i="3"/>
  <c r="CF12" i="3"/>
  <c r="CR12" i="3"/>
  <c r="AJ13" i="3"/>
  <c r="CC13" i="3"/>
  <c r="CI13" i="3"/>
  <c r="U14" i="3"/>
  <c r="AA14" i="3"/>
  <c r="BT14" i="3"/>
  <c r="CL14" i="3"/>
  <c r="I15" i="3"/>
  <c r="AD15" i="3"/>
  <c r="CI15" i="3"/>
  <c r="L16" i="3"/>
  <c r="CC16" i="3"/>
  <c r="CR16" i="3"/>
  <c r="O17" i="3"/>
  <c r="CF17" i="3"/>
  <c r="F18" i="3"/>
  <c r="R18" i="3"/>
  <c r="CI18" i="3"/>
  <c r="I19" i="3"/>
  <c r="U19" i="3"/>
  <c r="AJ20" i="3"/>
  <c r="AV20" i="3"/>
  <c r="AM21" i="3"/>
  <c r="AY21" i="3"/>
  <c r="AP22" i="3"/>
  <c r="BB22" i="3"/>
  <c r="AS23" i="3"/>
  <c r="BE23" i="3"/>
  <c r="I24" i="3"/>
  <c r="O24" i="3"/>
  <c r="U24" i="3"/>
  <c r="BB24" i="3"/>
  <c r="BN24" i="3"/>
  <c r="L25" i="3"/>
  <c r="R25" i="3"/>
  <c r="X25" i="3"/>
  <c r="BE25" i="3"/>
  <c r="BQ25" i="3"/>
  <c r="I26" i="3"/>
  <c r="O26" i="3"/>
  <c r="U26" i="3"/>
  <c r="AA26" i="3"/>
  <c r="BH26" i="3"/>
  <c r="BT26" i="3"/>
  <c r="L27" i="3"/>
  <c r="R27" i="3"/>
  <c r="AD27" i="3"/>
  <c r="BK27" i="3"/>
  <c r="BW27" i="3"/>
  <c r="O28" i="3"/>
  <c r="U28" i="3"/>
  <c r="AA28" i="3"/>
  <c r="AG28" i="3"/>
  <c r="BN28" i="3"/>
  <c r="BZ28" i="3"/>
  <c r="U29" i="3"/>
  <c r="CL29" i="3"/>
  <c r="CR29" i="3"/>
  <c r="I30" i="3"/>
  <c r="AJ30" i="3"/>
  <c r="CC30" i="3"/>
  <c r="BE31" i="3"/>
  <c r="CC31" i="3"/>
  <c r="AM32" i="3"/>
  <c r="AY32" i="3"/>
  <c r="AP33" i="3"/>
  <c r="BB33" i="3"/>
  <c r="L34" i="3"/>
  <c r="CO34" i="3"/>
  <c r="X35" i="3"/>
  <c r="AY35" i="3"/>
  <c r="BE37" i="3"/>
  <c r="U38" i="3"/>
  <c r="AG38" i="3"/>
  <c r="BQ38" i="3"/>
  <c r="CR38" i="3"/>
  <c r="O39" i="3"/>
  <c r="R40" i="3"/>
  <c r="AY40" i="3"/>
  <c r="BK40" i="3"/>
  <c r="CX41" i="3"/>
  <c r="CU41" i="3" s="1"/>
  <c r="AP41" i="3"/>
  <c r="BT42" i="3"/>
  <c r="CF42" i="3"/>
  <c r="I43" i="3"/>
  <c r="O43" i="3"/>
  <c r="BW52" i="3"/>
  <c r="AP19" i="3"/>
  <c r="BE19" i="3"/>
  <c r="BQ19" i="3"/>
  <c r="AS20" i="3"/>
  <c r="BH20" i="3"/>
  <c r="BT20" i="3"/>
  <c r="AV21" i="3"/>
  <c r="BK21" i="3"/>
  <c r="BW21" i="3"/>
  <c r="AY22" i="3"/>
  <c r="BN22" i="3"/>
  <c r="BZ22" i="3"/>
  <c r="BB23" i="3"/>
  <c r="BQ23" i="3"/>
  <c r="CC23" i="3"/>
  <c r="L24" i="3"/>
  <c r="AA24" i="3"/>
  <c r="AG24" i="3"/>
  <c r="AM24" i="3"/>
  <c r="AS24" i="3"/>
  <c r="BZ24" i="3"/>
  <c r="CL24" i="3"/>
  <c r="O25" i="3"/>
  <c r="AJ25" i="3"/>
  <c r="AP25" i="3"/>
  <c r="AV25" i="3"/>
  <c r="CC25" i="3"/>
  <c r="CO25" i="3"/>
  <c r="R26" i="3"/>
  <c r="AG26" i="3"/>
  <c r="AM26" i="3"/>
  <c r="AS26" i="3"/>
  <c r="AY26" i="3"/>
  <c r="CF26" i="3"/>
  <c r="CR26" i="3"/>
  <c r="U27" i="3"/>
  <c r="AJ27" i="3"/>
  <c r="AP27" i="3"/>
  <c r="BB27" i="3"/>
  <c r="CI27" i="3"/>
  <c r="F28" i="3"/>
  <c r="X28" i="3"/>
  <c r="AM28" i="3"/>
  <c r="AS28" i="3"/>
  <c r="BE28" i="3"/>
  <c r="CI28" i="3"/>
  <c r="F29" i="3"/>
  <c r="AD29" i="3"/>
  <c r="BK29" i="3"/>
  <c r="BW29" i="3"/>
  <c r="BB30" i="3"/>
  <c r="BH30" i="3"/>
  <c r="X31" i="3"/>
  <c r="AD31" i="3"/>
  <c r="AJ31" i="3"/>
  <c r="CX32" i="3"/>
  <c r="CU32" i="3" s="1"/>
  <c r="AP32" i="3"/>
  <c r="BK32" i="3"/>
  <c r="BW32" i="3"/>
  <c r="AS33" i="3"/>
  <c r="BN33" i="3"/>
  <c r="BZ33" i="3"/>
  <c r="O34" i="3"/>
  <c r="AV34" i="3"/>
  <c r="BH34" i="3"/>
  <c r="O35" i="3"/>
  <c r="AJ35" i="3"/>
  <c r="BB35" i="3"/>
  <c r="CI35" i="3"/>
  <c r="CX36" i="3"/>
  <c r="CU36" i="3" s="1"/>
  <c r="BK36" i="3"/>
  <c r="BW36" i="3"/>
  <c r="AD37" i="3"/>
  <c r="AP37" i="3"/>
  <c r="BH37" i="3"/>
  <c r="CO37" i="3"/>
  <c r="X38" i="3"/>
  <c r="BH38" i="3"/>
  <c r="CC38" i="3"/>
  <c r="L39" i="3"/>
  <c r="R39" i="3"/>
  <c r="AY39" i="3"/>
  <c r="CF39" i="3"/>
  <c r="CR39" i="3"/>
  <c r="U40" i="3"/>
  <c r="AD40" i="3"/>
  <c r="BB40" i="3"/>
  <c r="BT21" i="3"/>
  <c r="BW22" i="3"/>
  <c r="BZ23" i="3"/>
  <c r="AJ24" i="3"/>
  <c r="AM25" i="3"/>
  <c r="AP26" i="3"/>
  <c r="AS27" i="3"/>
  <c r="AV28" i="3"/>
  <c r="BN29" i="3"/>
  <c r="BN32" i="3"/>
  <c r="CX33" i="3"/>
  <c r="CU33" i="3" s="1"/>
  <c r="BQ33" i="3"/>
  <c r="CT34" i="3"/>
  <c r="G34" i="2" s="1"/>
  <c r="AY34" i="3"/>
  <c r="BE34" i="3"/>
  <c r="BK34" i="3"/>
  <c r="CL35" i="3"/>
  <c r="CR35" i="3"/>
  <c r="BB36" i="3"/>
  <c r="BN36" i="3"/>
  <c r="U37" i="3"/>
  <c r="AG37" i="3"/>
  <c r="CR37" i="3"/>
  <c r="BB39" i="3"/>
  <c r="CI39" i="3"/>
  <c r="AG40" i="3"/>
  <c r="AY48" i="3"/>
  <c r="AY44" i="3"/>
  <c r="BK44" i="3"/>
  <c r="BH45" i="3"/>
  <c r="BN45" i="3"/>
  <c r="CF45" i="3"/>
  <c r="CL45" i="3"/>
  <c r="BN46" i="3"/>
  <c r="BT46" i="3"/>
  <c r="CL46" i="3"/>
  <c r="I47" i="3"/>
  <c r="U47" i="3"/>
  <c r="AA47" i="3"/>
  <c r="AG47" i="3"/>
  <c r="BQ47" i="3"/>
  <c r="CR47" i="3"/>
  <c r="O48" i="3"/>
  <c r="AM48" i="3"/>
  <c r="I49" i="3"/>
  <c r="O49" i="3"/>
  <c r="AG49" i="3"/>
  <c r="AM49" i="3"/>
  <c r="U50" i="3"/>
  <c r="AS50" i="3"/>
  <c r="AA51" i="3"/>
  <c r="AG51" i="3"/>
  <c r="AY51" i="3"/>
  <c r="BE51" i="3"/>
  <c r="O52" i="3"/>
  <c r="AM52" i="3"/>
  <c r="BK52" i="3"/>
  <c r="AG53" i="3"/>
  <c r="AM53" i="3"/>
  <c r="BE53" i="3"/>
  <c r="BK53" i="3"/>
  <c r="AM54" i="3"/>
  <c r="AY54" i="3"/>
  <c r="CO54" i="3"/>
  <c r="AA55" i="3"/>
  <c r="AG55" i="3"/>
  <c r="AY55" i="3"/>
  <c r="BE55" i="3"/>
  <c r="I56" i="3"/>
  <c r="U56" i="3"/>
  <c r="AM56" i="3"/>
  <c r="BH56" i="3"/>
  <c r="BT56" i="3"/>
  <c r="L57" i="3"/>
  <c r="X57" i="3"/>
  <c r="AP57" i="3"/>
  <c r="BE57" i="3"/>
  <c r="BK57" i="3"/>
  <c r="BQ57" i="3"/>
  <c r="BW57" i="3"/>
  <c r="O58" i="3"/>
  <c r="AA58" i="3"/>
  <c r="AS58" i="3"/>
  <c r="BN58" i="3"/>
  <c r="BZ58" i="3"/>
  <c r="R59" i="3"/>
  <c r="AD59" i="3"/>
  <c r="AV59" i="3"/>
  <c r="BK59" i="3"/>
  <c r="BQ59" i="3"/>
  <c r="BW59" i="3"/>
  <c r="CC59" i="3"/>
  <c r="U60" i="3"/>
  <c r="AG60" i="3"/>
  <c r="BT60" i="3"/>
  <c r="CF60" i="3"/>
  <c r="L61" i="3"/>
  <c r="X61" i="3"/>
  <c r="BK61" i="3"/>
  <c r="BW61" i="3"/>
  <c r="CL40" i="3"/>
  <c r="AG41" i="3"/>
  <c r="BB41" i="3"/>
  <c r="BT41" i="3"/>
  <c r="CC42" i="3"/>
  <c r="AY43" i="3"/>
  <c r="BT43" i="3"/>
  <c r="CF43" i="3"/>
  <c r="BB44" i="3"/>
  <c r="BW44" i="3"/>
  <c r="CI44" i="3"/>
  <c r="AS45" i="3"/>
  <c r="CC45" i="3"/>
  <c r="O46" i="3"/>
  <c r="U46" i="3"/>
  <c r="AM46" i="3"/>
  <c r="AS46" i="3"/>
  <c r="L47" i="3"/>
  <c r="R47" i="3"/>
  <c r="BH47" i="3"/>
  <c r="CC47" i="3"/>
  <c r="L48" i="3"/>
  <c r="BK48" i="3"/>
  <c r="CI48" i="3"/>
  <c r="X49" i="3"/>
  <c r="AD49" i="3"/>
  <c r="AV49" i="3"/>
  <c r="BE49" i="3"/>
  <c r="BK49" i="3"/>
  <c r="CC49" i="3"/>
  <c r="CI49" i="3"/>
  <c r="BQ50" i="3"/>
  <c r="CO50" i="3"/>
  <c r="AP51" i="3"/>
  <c r="AV51" i="3"/>
  <c r="BN51" i="3"/>
  <c r="BW51" i="3"/>
  <c r="CC51" i="3"/>
  <c r="CI52" i="3"/>
  <c r="R53" i="3"/>
  <c r="CC53" i="3"/>
  <c r="CI53" i="3"/>
  <c r="L54" i="3"/>
  <c r="R54" i="3"/>
  <c r="BT59" i="3"/>
  <c r="CO59" i="3"/>
  <c r="F60" i="3"/>
  <c r="L60" i="3"/>
  <c r="AS60" i="3"/>
  <c r="BE60" i="3"/>
  <c r="CR60" i="3"/>
  <c r="AJ61" i="3"/>
  <c r="AV61" i="3"/>
  <c r="CX62" i="3"/>
  <c r="CU62" i="3" s="1"/>
  <c r="BW43" i="3"/>
  <c r="BZ44" i="3"/>
  <c r="AJ46" i="3"/>
  <c r="BT49" i="3"/>
  <c r="BZ49" i="3"/>
  <c r="CR49" i="3"/>
  <c r="CL51" i="3"/>
  <c r="AD52" i="3"/>
  <c r="AJ52" i="3"/>
  <c r="BB52" i="3"/>
  <c r="BH52" i="3"/>
  <c r="AP53" i="3"/>
  <c r="BN53" i="3"/>
  <c r="CR53" i="3"/>
  <c r="I54" i="3"/>
  <c r="AA54" i="3"/>
  <c r="AJ54" i="3"/>
  <c r="AP54" i="3"/>
  <c r="AD55" i="3"/>
  <c r="AJ55" i="3"/>
  <c r="BB55" i="3"/>
  <c r="BH55" i="3"/>
  <c r="CF55" i="3"/>
  <c r="L56" i="3"/>
  <c r="X56" i="3"/>
  <c r="BE56" i="3"/>
  <c r="BQ56" i="3"/>
  <c r="CI56" i="3"/>
  <c r="I57" i="3"/>
  <c r="O57" i="3"/>
  <c r="U57" i="3"/>
  <c r="AA57" i="3"/>
  <c r="BH57" i="3"/>
  <c r="BT57" i="3"/>
  <c r="CL57" i="3"/>
  <c r="R58" i="3"/>
  <c r="AD58" i="3"/>
  <c r="BK58" i="3"/>
  <c r="BW58" i="3"/>
  <c r="CO58" i="3"/>
  <c r="U59" i="3"/>
  <c r="AA59" i="3"/>
  <c r="AG59" i="3"/>
  <c r="CR59" i="3"/>
  <c r="AJ60" i="3"/>
  <c r="BQ60" i="3"/>
  <c r="CC60" i="3"/>
  <c r="CT61" i="3"/>
  <c r="G61" i="2" s="1"/>
  <c r="O61" i="3"/>
  <c r="AA61" i="3"/>
  <c r="BH61" i="3"/>
  <c r="BT61" i="3"/>
  <c r="CL61" i="3"/>
  <c r="I62" i="3"/>
  <c r="U62" i="3"/>
  <c r="AG62" i="3"/>
  <c r="AS62" i="3"/>
  <c r="BE62" i="3"/>
  <c r="BQ62" i="3"/>
  <c r="CC62" i="3"/>
  <c r="CO62" i="3"/>
  <c r="O6" i="3"/>
  <c r="AM6" i="3"/>
  <c r="BK6" i="3"/>
  <c r="CI6" i="3"/>
  <c r="R7" i="3"/>
  <c r="AP7" i="3"/>
  <c r="BN7" i="3"/>
  <c r="CL7" i="3"/>
  <c r="U8" i="3"/>
  <c r="AS8" i="3"/>
  <c r="BQ8" i="3"/>
  <c r="CO8" i="3"/>
  <c r="AV9" i="3"/>
  <c r="BT9" i="3"/>
  <c r="CR9" i="3"/>
  <c r="AA10" i="3"/>
  <c r="AY10" i="3"/>
  <c r="BW10" i="3"/>
  <c r="AD11" i="3"/>
  <c r="BK11" i="3"/>
  <c r="CI11" i="3"/>
  <c r="F13" i="3"/>
  <c r="U13" i="3"/>
  <c r="AD13" i="3"/>
  <c r="AS13" i="3"/>
  <c r="BB13" i="3"/>
  <c r="BQ13" i="3"/>
  <c r="BZ13" i="3"/>
  <c r="CO13" i="3"/>
  <c r="CT14" i="3"/>
  <c r="G14" i="2" s="1"/>
  <c r="I14" i="3"/>
  <c r="O14" i="3"/>
  <c r="F15" i="3"/>
  <c r="F6" i="3"/>
  <c r="L6" i="3"/>
  <c r="AJ6" i="3"/>
  <c r="BH6" i="3"/>
  <c r="CF6" i="3"/>
  <c r="O7" i="3"/>
  <c r="AM7" i="3"/>
  <c r="BK7" i="3"/>
  <c r="CI7" i="3"/>
  <c r="R8" i="3"/>
  <c r="AP8" i="3"/>
  <c r="BN8" i="3"/>
  <c r="CL8" i="3"/>
  <c r="U9" i="3"/>
  <c r="AS9" i="3"/>
  <c r="BQ9" i="3"/>
  <c r="CO9" i="3"/>
  <c r="CT10" i="3"/>
  <c r="G10" i="2" s="1"/>
  <c r="X10" i="3"/>
  <c r="AV10" i="3"/>
  <c r="BT10" i="3"/>
  <c r="CR10" i="3"/>
  <c r="AA11" i="3"/>
  <c r="BH11" i="3"/>
  <c r="CF11" i="3"/>
  <c r="O12" i="3"/>
  <c r="L13" i="3"/>
  <c r="CT16" i="3"/>
  <c r="G16" i="2" s="1"/>
  <c r="CX7" i="3"/>
  <c r="CU7" i="3" s="1"/>
  <c r="CX10" i="3"/>
  <c r="CU10" i="3" s="1"/>
  <c r="CV10" i="3" s="1"/>
  <c r="F14" i="3"/>
  <c r="O16" i="3"/>
  <c r="AD16" i="3"/>
  <c r="AM16" i="3"/>
  <c r="BB16" i="3"/>
  <c r="BK16" i="3"/>
  <c r="BZ16" i="3"/>
  <c r="CI16" i="3"/>
  <c r="I17" i="3"/>
  <c r="R17" i="3"/>
  <c r="AG17" i="3"/>
  <c r="AP17" i="3"/>
  <c r="BE17" i="3"/>
  <c r="BN17" i="3"/>
  <c r="CC17" i="3"/>
  <c r="CL17" i="3"/>
  <c r="L18" i="3"/>
  <c r="U18" i="3"/>
  <c r="AJ18" i="3"/>
  <c r="AS18" i="3"/>
  <c r="BH18" i="3"/>
  <c r="BQ18" i="3"/>
  <c r="CF18" i="3"/>
  <c r="CO18" i="3"/>
  <c r="O19" i="3"/>
  <c r="AM19" i="3"/>
  <c r="BK19" i="3"/>
  <c r="CI19" i="3"/>
  <c r="R20" i="3"/>
  <c r="AA20" i="3"/>
  <c r="AP20" i="3"/>
  <c r="AY20" i="3"/>
  <c r="BN20" i="3"/>
  <c r="BW20" i="3"/>
  <c r="CL20" i="3"/>
  <c r="F21" i="3"/>
  <c r="U21" i="3"/>
  <c r="AD21" i="3"/>
  <c r="AS21" i="3"/>
  <c r="BB21" i="3"/>
  <c r="BQ21" i="3"/>
  <c r="BZ21" i="3"/>
  <c r="CO21" i="3"/>
  <c r="CT22" i="3"/>
  <c r="G22" i="2" s="1"/>
  <c r="I22" i="3"/>
  <c r="AG22" i="3"/>
  <c r="AV22" i="3"/>
  <c r="BE22" i="3"/>
  <c r="BT22" i="3"/>
  <c r="CC22" i="3"/>
  <c r="CR22" i="3"/>
  <c r="AA23" i="3"/>
  <c r="AY23" i="3"/>
  <c r="BW23" i="3"/>
  <c r="BW28" i="3"/>
  <c r="CF28" i="3"/>
  <c r="CL28" i="3"/>
  <c r="CR28" i="3"/>
  <c r="R29" i="3"/>
  <c r="AA29" i="3"/>
  <c r="AG29" i="3"/>
  <c r="AS29" i="3"/>
  <c r="BQ29" i="3"/>
  <c r="AP30" i="3"/>
  <c r="CL30" i="3"/>
  <c r="F31" i="3"/>
  <c r="AS31" i="3"/>
  <c r="AY31" i="3"/>
  <c r="CO31" i="3"/>
  <c r="U32" i="3"/>
  <c r="AS32" i="3"/>
  <c r="BQ32" i="3"/>
  <c r="CO32" i="3"/>
  <c r="X33" i="3"/>
  <c r="AV33" i="3"/>
  <c r="BT33" i="3"/>
  <c r="AM34" i="3"/>
  <c r="BQ34" i="3"/>
  <c r="BW34" i="3"/>
  <c r="CX35" i="3"/>
  <c r="CU35" i="3" s="1"/>
  <c r="R35" i="3"/>
  <c r="BZ35" i="3"/>
  <c r="CT20" i="3"/>
  <c r="G20" i="2" s="1"/>
  <c r="CT15" i="3"/>
  <c r="G15" i="2" s="1"/>
  <c r="R16" i="3"/>
  <c r="AA16" i="3"/>
  <c r="AP16" i="3"/>
  <c r="AY16" i="3"/>
  <c r="BN16" i="3"/>
  <c r="BW16" i="3"/>
  <c r="CL16" i="3"/>
  <c r="U17" i="3"/>
  <c r="AS17" i="3"/>
  <c r="BQ17" i="3"/>
  <c r="CO17" i="3"/>
  <c r="I18" i="3"/>
  <c r="X18" i="3"/>
  <c r="AG18" i="3"/>
  <c r="AV18" i="3"/>
  <c r="BE18" i="3"/>
  <c r="BT18" i="3"/>
  <c r="CC18" i="3"/>
  <c r="CR18" i="3"/>
  <c r="L19" i="3"/>
  <c r="AA19" i="3"/>
  <c r="AJ19" i="3"/>
  <c r="AY19" i="3"/>
  <c r="BH19" i="3"/>
  <c r="BW19" i="3"/>
  <c r="CF19" i="3"/>
  <c r="O20" i="3"/>
  <c r="AD20" i="3"/>
  <c r="AM20" i="3"/>
  <c r="BB20" i="3"/>
  <c r="BK20" i="3"/>
  <c r="BZ20" i="3"/>
  <c r="CI20" i="3"/>
  <c r="I21" i="3"/>
  <c r="AG21" i="3"/>
  <c r="BE21" i="3"/>
  <c r="CC21" i="3"/>
  <c r="L22" i="3"/>
  <c r="U22" i="3"/>
  <c r="AJ22" i="3"/>
  <c r="AS22" i="3"/>
  <c r="BH22" i="3"/>
  <c r="BQ22" i="3"/>
  <c r="CF22" i="3"/>
  <c r="CO22" i="3"/>
  <c r="O23" i="3"/>
  <c r="AM23" i="3"/>
  <c r="AV23" i="3"/>
  <c r="BK23" i="3"/>
  <c r="BT23" i="3"/>
  <c r="CI23" i="3"/>
  <c r="CR23" i="3"/>
  <c r="CT24" i="3"/>
  <c r="G24" i="2" s="1"/>
  <c r="CT25" i="3"/>
  <c r="G25" i="2" s="1"/>
  <c r="CT28" i="3"/>
  <c r="G28" i="2" s="1"/>
  <c r="CO28" i="3"/>
  <c r="CC29" i="3"/>
  <c r="CI29" i="3"/>
  <c r="CO29" i="3"/>
  <c r="CT30" i="3"/>
  <c r="X30" i="3"/>
  <c r="AD30" i="3"/>
  <c r="AM30" i="3"/>
  <c r="AS30" i="3"/>
  <c r="BN30" i="3"/>
  <c r="BT30" i="3"/>
  <c r="BZ30" i="3"/>
  <c r="CI30" i="3"/>
  <c r="I31" i="3"/>
  <c r="O31" i="3"/>
  <c r="U31" i="3"/>
  <c r="AA31" i="3"/>
  <c r="BW31" i="3"/>
  <c r="AG32" i="3"/>
  <c r="BE32" i="3"/>
  <c r="CC32" i="3"/>
  <c r="F33" i="3"/>
  <c r="L33" i="3"/>
  <c r="AJ33" i="3"/>
  <c r="BH33" i="3"/>
  <c r="U34" i="3"/>
  <c r="AA34" i="3"/>
  <c r="CI34" i="3"/>
  <c r="AD35" i="3"/>
  <c r="BH35" i="3"/>
  <c r="BN35" i="3"/>
  <c r="F36" i="3"/>
  <c r="AA36" i="3"/>
  <c r="AG36" i="3"/>
  <c r="AP36" i="3"/>
  <c r="CT23" i="3"/>
  <c r="G23" i="2" s="1"/>
  <c r="BQ36" i="3"/>
  <c r="AJ37" i="3"/>
  <c r="BN37" i="3"/>
  <c r="BT37" i="3"/>
  <c r="I38" i="3"/>
  <c r="O38" i="3"/>
  <c r="CT38" i="3"/>
  <c r="G38" i="2" s="1"/>
  <c r="BW38" i="3"/>
  <c r="AP39" i="3"/>
  <c r="BT39" i="3"/>
  <c r="BZ39" i="3"/>
  <c r="AM40" i="3"/>
  <c r="AS40" i="3"/>
  <c r="AV41" i="3"/>
  <c r="BZ41" i="3"/>
  <c r="AS42" i="3"/>
  <c r="BW42" i="3"/>
  <c r="CL42" i="3"/>
  <c r="CX44" i="3"/>
  <c r="CU44" i="3" s="1"/>
  <c r="AV45" i="3"/>
  <c r="BB45" i="3"/>
  <c r="BW45" i="3"/>
  <c r="CR45" i="3"/>
  <c r="I46" i="3"/>
  <c r="AY46" i="3"/>
  <c r="BE46" i="3"/>
  <c r="X47" i="3"/>
  <c r="AG48" i="3"/>
  <c r="AP48" i="3"/>
  <c r="AV48" i="3"/>
  <c r="CC48" i="3"/>
  <c r="CL48" i="3"/>
  <c r="CR48" i="3"/>
  <c r="AJ49" i="3"/>
  <c r="AS49" i="3"/>
  <c r="AY49" i="3"/>
  <c r="CF49" i="3"/>
  <c r="CO49" i="3"/>
  <c r="AM50" i="3"/>
  <c r="AV50" i="3"/>
  <c r="BB50" i="3"/>
  <c r="CI50" i="3"/>
  <c r="CR50" i="3"/>
  <c r="I51" i="3"/>
  <c r="O51" i="3"/>
  <c r="U51" i="3"/>
  <c r="CT46" i="3"/>
  <c r="G46" i="2" s="1"/>
  <c r="CT53" i="3"/>
  <c r="G53" i="2" s="1"/>
  <c r="F53" i="3"/>
  <c r="AY36" i="3"/>
  <c r="BE36" i="3"/>
  <c r="R37" i="3"/>
  <c r="X37" i="3"/>
  <c r="CF37" i="3"/>
  <c r="AA38" i="3"/>
  <c r="BE38" i="3"/>
  <c r="BK38" i="3"/>
  <c r="X39" i="3"/>
  <c r="AD39" i="3"/>
  <c r="CL39" i="3"/>
  <c r="BE40" i="3"/>
  <c r="CI40" i="3"/>
  <c r="CO40" i="3"/>
  <c r="AD41" i="3"/>
  <c r="AJ41" i="3"/>
  <c r="BW41" i="3"/>
  <c r="AA42" i="3"/>
  <c r="CO42" i="3"/>
  <c r="CT43" i="3"/>
  <c r="G43" i="2" s="1"/>
  <c r="CT45" i="3"/>
  <c r="G45" i="2" s="1"/>
  <c r="AY45" i="3"/>
  <c r="BT45" i="3"/>
  <c r="BZ45" i="3"/>
  <c r="AA46" i="3"/>
  <c r="AG46" i="3"/>
  <c r="BW46" i="3"/>
  <c r="CC46" i="3"/>
  <c r="BE47" i="3"/>
  <c r="X48" i="3"/>
  <c r="BE48" i="3"/>
  <c r="BN48" i="3"/>
  <c r="BT48" i="3"/>
  <c r="L49" i="3"/>
  <c r="U49" i="3"/>
  <c r="AA49" i="3"/>
  <c r="BH49" i="3"/>
  <c r="BQ49" i="3"/>
  <c r="BW49" i="3"/>
  <c r="O50" i="3"/>
  <c r="X50" i="3"/>
  <c r="AD50" i="3"/>
  <c r="BK50" i="3"/>
  <c r="BT50" i="3"/>
  <c r="BZ50" i="3"/>
  <c r="L51" i="3"/>
  <c r="AD51" i="3"/>
  <c r="AM51" i="3"/>
  <c r="AS51" i="3"/>
  <c r="BZ51" i="3"/>
  <c r="CI51" i="3"/>
  <c r="CO51" i="3"/>
  <c r="AG52" i="3"/>
  <c r="AP52" i="3"/>
  <c r="AV52" i="3"/>
  <c r="CC52" i="3"/>
  <c r="CL52" i="3"/>
  <c r="CR52" i="3"/>
  <c r="AJ53" i="3"/>
  <c r="AS53" i="3"/>
  <c r="AY53" i="3"/>
  <c r="CF53" i="3"/>
  <c r="CO53" i="3"/>
  <c r="BK54" i="3"/>
  <c r="CF54" i="3"/>
  <c r="CL54" i="3"/>
  <c r="R55" i="3"/>
  <c r="AM55" i="3"/>
  <c r="AS55" i="3"/>
  <c r="BN55" i="3"/>
  <c r="CT58" i="3"/>
  <c r="G58" i="2" s="1"/>
  <c r="BT58" i="3"/>
  <c r="CR58" i="3"/>
  <c r="BB60" i="3"/>
  <c r="BZ60" i="3"/>
  <c r="I61" i="3"/>
  <c r="AG61" i="3"/>
  <c r="BE61" i="3"/>
  <c r="CC61" i="3"/>
  <c r="F62" i="3"/>
  <c r="L62" i="3"/>
  <c r="AJ62" i="3"/>
  <c r="BH62" i="3"/>
  <c r="CF62" i="3"/>
  <c r="BB51" i="3"/>
  <c r="BK51" i="3"/>
  <c r="BQ51" i="3"/>
  <c r="I52" i="3"/>
  <c r="R52" i="3"/>
  <c r="X52" i="3"/>
  <c r="BE52" i="3"/>
  <c r="BN52" i="3"/>
  <c r="BT52" i="3"/>
  <c r="L53" i="3"/>
  <c r="U53" i="3"/>
  <c r="AA53" i="3"/>
  <c r="BH53" i="3"/>
  <c r="BQ53" i="3"/>
  <c r="BW53" i="3"/>
  <c r="O54" i="3"/>
  <c r="X54" i="3"/>
  <c r="AD54" i="3"/>
  <c r="BB54" i="3"/>
  <c r="BH54" i="3"/>
  <c r="BN54" i="3"/>
  <c r="CI54" i="3"/>
  <c r="CT55" i="3"/>
  <c r="G55" i="2" s="1"/>
  <c r="O55" i="3"/>
  <c r="U55" i="3"/>
  <c r="AP55" i="3"/>
  <c r="BK55" i="3"/>
  <c r="BQ55" i="3"/>
  <c r="CT56" i="3"/>
  <c r="G56" i="2" s="1"/>
  <c r="CF58" i="3"/>
  <c r="O59" i="3"/>
  <c r="CI59" i="3"/>
  <c r="R60" i="3"/>
  <c r="CL60" i="3"/>
  <c r="U61" i="3"/>
  <c r="AS61" i="3"/>
  <c r="BQ61" i="3"/>
  <c r="CO61" i="3"/>
  <c r="X62" i="3"/>
  <c r="AV62" i="3"/>
  <c r="BT62" i="3"/>
  <c r="CR62" i="3"/>
  <c r="CT57" i="3"/>
  <c r="G57" i="2" s="1"/>
  <c r="CT7" i="3"/>
  <c r="G7" i="2" s="1"/>
  <c r="CX8" i="3"/>
  <c r="CU8" i="3" s="1"/>
  <c r="F20" i="3"/>
  <c r="F7" i="3"/>
  <c r="CT8" i="3"/>
  <c r="G8" i="2" s="1"/>
  <c r="F11" i="3"/>
  <c r="AY11" i="3"/>
  <c r="BW11" i="3"/>
  <c r="R12" i="3"/>
  <c r="AA12" i="3"/>
  <c r="AP12" i="3"/>
  <c r="AY12" i="3"/>
  <c r="BN12" i="3"/>
  <c r="BW12" i="3"/>
  <c r="CL12" i="3"/>
  <c r="CX12" i="3"/>
  <c r="CU12" i="3" s="1"/>
  <c r="I13" i="3"/>
  <c r="R13" i="3"/>
  <c r="AG13" i="3"/>
  <c r="AP13" i="3"/>
  <c r="BE13" i="3"/>
  <c r="BN13" i="3"/>
  <c r="CL13" i="3"/>
  <c r="L15" i="3"/>
  <c r="AJ15" i="3"/>
  <c r="BH15" i="3"/>
  <c r="CF15" i="3"/>
  <c r="F17" i="3"/>
  <c r="AD17" i="3"/>
  <c r="BB17" i="3"/>
  <c r="BZ17" i="3"/>
  <c r="CX17" i="3"/>
  <c r="CU17" i="3" s="1"/>
  <c r="CX19" i="3"/>
  <c r="CU19" i="3" s="1"/>
  <c r="X19" i="3"/>
  <c r="AV19" i="3"/>
  <c r="BT19" i="3"/>
  <c r="CR19" i="3"/>
  <c r="R21" i="3"/>
  <c r="AP21" i="3"/>
  <c r="BN21" i="3"/>
  <c r="CL21" i="3"/>
  <c r="L23" i="3"/>
  <c r="AJ23" i="3"/>
  <c r="BH23" i="3"/>
  <c r="CF23" i="3"/>
  <c r="F25" i="3"/>
  <c r="AD25" i="3"/>
  <c r="BB25" i="3"/>
  <c r="BZ25" i="3"/>
  <c r="CX25" i="3"/>
  <c r="CU25" i="3" s="1"/>
  <c r="F27" i="1" s="1"/>
  <c r="CX27" i="3"/>
  <c r="CU27" i="3" s="1"/>
  <c r="X27" i="3"/>
  <c r="AV27" i="3"/>
  <c r="BT27" i="3"/>
  <c r="CR27" i="3"/>
  <c r="CX30" i="3"/>
  <c r="CU30" i="3" s="1"/>
  <c r="F30" i="3"/>
  <c r="CT11" i="3"/>
  <c r="G11" i="2" s="1"/>
  <c r="I9" i="3"/>
  <c r="CT13" i="3"/>
  <c r="G13" i="2" s="1"/>
  <c r="CX16" i="3"/>
  <c r="CU16" i="3" s="1"/>
  <c r="F16" i="3"/>
  <c r="CT18" i="3"/>
  <c r="G18" i="2" s="1"/>
  <c r="CT19" i="3"/>
  <c r="G19" i="2" s="1"/>
  <c r="CT21" i="3"/>
  <c r="G21" i="2" s="1"/>
  <c r="CX24" i="3"/>
  <c r="CU24" i="3" s="1"/>
  <c r="F24" i="3"/>
  <c r="CT26" i="3"/>
  <c r="G26" i="2" s="1"/>
  <c r="AY28" i="3"/>
  <c r="CX28" i="3"/>
  <c r="CU28" i="3" s="1"/>
  <c r="F30" i="1" s="1"/>
  <c r="CT37" i="3"/>
  <c r="G37" i="2" s="1"/>
  <c r="CX18" i="3"/>
  <c r="CU18" i="3" s="1"/>
  <c r="CX26" i="3"/>
  <c r="CU26" i="3" s="1"/>
  <c r="F28" i="1" s="1"/>
  <c r="CT27" i="3"/>
  <c r="G27" i="2" s="1"/>
  <c r="CT29" i="3"/>
  <c r="G29" i="2" s="1"/>
  <c r="I29" i="3"/>
  <c r="AJ29" i="3"/>
  <c r="AY29" i="3"/>
  <c r="O30" i="3"/>
  <c r="CT31" i="3"/>
  <c r="G31" i="2" s="1"/>
  <c r="CT40" i="3"/>
  <c r="G40" i="2" s="1"/>
  <c r="I40" i="3"/>
  <c r="CT42" i="3"/>
  <c r="CF29" i="3"/>
  <c r="BK30" i="3"/>
  <c r="CX31" i="3"/>
  <c r="CU31" i="3" s="1"/>
  <c r="F35" i="3"/>
  <c r="CT35" i="3"/>
  <c r="G35" i="2" s="1"/>
  <c r="CT47" i="3"/>
  <c r="G47" i="2" s="1"/>
  <c r="BW30" i="3"/>
  <c r="R31" i="3"/>
  <c r="BN31" i="3"/>
  <c r="CT32" i="3"/>
  <c r="G32" i="2" s="1"/>
  <c r="I32" i="3"/>
  <c r="X32" i="3"/>
  <c r="AV32" i="3"/>
  <c r="BT32" i="3"/>
  <c r="CR32" i="3"/>
  <c r="O33" i="3"/>
  <c r="AM33" i="3"/>
  <c r="BK33" i="3"/>
  <c r="CI33" i="3"/>
  <c r="F34" i="3"/>
  <c r="AD34" i="3"/>
  <c r="BB34" i="3"/>
  <c r="BZ34" i="3"/>
  <c r="U35" i="3"/>
  <c r="AS35" i="3"/>
  <c r="BQ35" i="3"/>
  <c r="CO35" i="3"/>
  <c r="L36" i="3"/>
  <c r="AJ36" i="3"/>
  <c r="BH36" i="3"/>
  <c r="CF36" i="3"/>
  <c r="AA37" i="3"/>
  <c r="AY37" i="3"/>
  <c r="BW37" i="3"/>
  <c r="R38" i="3"/>
  <c r="AP38" i="3"/>
  <c r="BN38" i="3"/>
  <c r="CL38" i="3"/>
  <c r="CX38" i="3"/>
  <c r="CU38" i="3" s="1"/>
  <c r="I39" i="3"/>
  <c r="AG39" i="3"/>
  <c r="BE39" i="3"/>
  <c r="CC39" i="3"/>
  <c r="X40" i="3"/>
  <c r="AV40" i="3"/>
  <c r="BT40" i="3"/>
  <c r="CR40" i="3"/>
  <c r="O41" i="3"/>
  <c r="AM41" i="3"/>
  <c r="BK41" i="3"/>
  <c r="CI41" i="3"/>
  <c r="CR41" i="3"/>
  <c r="F42" i="3"/>
  <c r="O42" i="3"/>
  <c r="AD42" i="3"/>
  <c r="AM42" i="3"/>
  <c r="BB42" i="3"/>
  <c r="BK42" i="3"/>
  <c r="BZ42" i="3"/>
  <c r="CI42" i="3"/>
  <c r="F43" i="3"/>
  <c r="U43" i="3"/>
  <c r="AD43" i="3"/>
  <c r="AS43" i="3"/>
  <c r="BB43" i="3"/>
  <c r="BQ43" i="3"/>
  <c r="BZ43" i="3"/>
  <c r="CO43" i="3"/>
  <c r="L44" i="3"/>
  <c r="U44" i="3"/>
  <c r="AJ44" i="3"/>
  <c r="AS44" i="3"/>
  <c r="BH44" i="3"/>
  <c r="BQ44" i="3"/>
  <c r="CF44" i="3"/>
  <c r="CO44" i="3"/>
  <c r="L45" i="3"/>
  <c r="AA45" i="3"/>
  <c r="BK45" i="3"/>
  <c r="BB46" i="3"/>
  <c r="CT33" i="3"/>
  <c r="G33" i="2" s="1"/>
  <c r="L35" i="3"/>
  <c r="CT36" i="3"/>
  <c r="G36" i="2" s="1"/>
  <c r="I36" i="3"/>
  <c r="F39" i="3"/>
  <c r="CT39" i="3"/>
  <c r="G39" i="2" s="1"/>
  <c r="E39" i="2" s="1"/>
  <c r="CX40" i="3"/>
  <c r="CU40" i="3" s="1"/>
  <c r="F41" i="3"/>
  <c r="CT41" i="3"/>
  <c r="G41" i="2" s="1"/>
  <c r="CX43" i="3"/>
  <c r="CU43" i="3" s="1"/>
  <c r="CX29" i="3"/>
  <c r="CU29" i="3" s="1"/>
  <c r="F31" i="1" s="1"/>
  <c r="BH29" i="3"/>
  <c r="AY30" i="3"/>
  <c r="AP31" i="3"/>
  <c r="CL31" i="3"/>
  <c r="F32" i="3"/>
  <c r="L32" i="3"/>
  <c r="AJ32" i="3"/>
  <c r="BH32" i="3"/>
  <c r="CF32" i="3"/>
  <c r="AA33" i="3"/>
  <c r="AY33" i="3"/>
  <c r="BW33" i="3"/>
  <c r="R34" i="3"/>
  <c r="AP34" i="3"/>
  <c r="BN34" i="3"/>
  <c r="CL34" i="3"/>
  <c r="CX34" i="3"/>
  <c r="CU34" i="3" s="1"/>
  <c r="I35" i="3"/>
  <c r="AG35" i="3"/>
  <c r="BE35" i="3"/>
  <c r="CC35" i="3"/>
  <c r="X36" i="3"/>
  <c r="AV36" i="3"/>
  <c r="BT36" i="3"/>
  <c r="CR36" i="3"/>
  <c r="CX37" i="3"/>
  <c r="CU37" i="3" s="1"/>
  <c r="O37" i="3"/>
  <c r="AM37" i="3"/>
  <c r="BK37" i="3"/>
  <c r="CI37" i="3"/>
  <c r="F38" i="3"/>
  <c r="AD38" i="3"/>
  <c r="BB38" i="3"/>
  <c r="BZ38" i="3"/>
  <c r="U39" i="3"/>
  <c r="AS39" i="3"/>
  <c r="BQ39" i="3"/>
  <c r="CO39" i="3"/>
  <c r="L40" i="3"/>
  <c r="AJ40" i="3"/>
  <c r="BH40" i="3"/>
  <c r="CF40" i="3"/>
  <c r="AA41" i="3"/>
  <c r="AP42" i="3"/>
  <c r="AY42" i="3"/>
  <c r="BN42" i="3"/>
  <c r="CX42" i="3"/>
  <c r="CU42" i="3" s="1"/>
  <c r="AG43" i="3"/>
  <c r="AP43" i="3"/>
  <c r="BE43" i="3"/>
  <c r="BN43" i="3"/>
  <c r="CC43" i="3"/>
  <c r="CL43" i="3"/>
  <c r="CT44" i="3"/>
  <c r="G44" i="2" s="1"/>
  <c r="I44" i="3"/>
  <c r="X44" i="3"/>
  <c r="AG44" i="3"/>
  <c r="AV44" i="3"/>
  <c r="BE44" i="3"/>
  <c r="BT44" i="3"/>
  <c r="CC44" i="3"/>
  <c r="CR44" i="3"/>
  <c r="CX45" i="3"/>
  <c r="CU45" i="3" s="1"/>
  <c r="O45" i="3"/>
  <c r="X45" i="3"/>
  <c r="AM45" i="3"/>
  <c r="CI45" i="3"/>
  <c r="AD46" i="3"/>
  <c r="BZ46" i="3"/>
  <c r="CX47" i="3"/>
  <c r="CU47" i="3" s="1"/>
  <c r="F47" i="3"/>
  <c r="CX54" i="3"/>
  <c r="CU54" i="3" s="1"/>
  <c r="F54" i="3"/>
  <c r="CX59" i="3"/>
  <c r="CU59" i="3" s="1"/>
  <c r="F59" i="3"/>
  <c r="CX46" i="3"/>
  <c r="CU46" i="3" s="1"/>
  <c r="O47" i="3"/>
  <c r="AP47" i="3"/>
  <c r="AY47" i="3"/>
  <c r="BN47" i="3"/>
  <c r="BW47" i="3"/>
  <c r="CL47" i="3"/>
  <c r="I48" i="3"/>
  <c r="R48" i="3"/>
  <c r="CT49" i="3"/>
  <c r="G49" i="2" s="1"/>
  <c r="CX50" i="3"/>
  <c r="CU50" i="3" s="1"/>
  <c r="F50" i="3"/>
  <c r="CX51" i="3"/>
  <c r="CU51" i="3" s="1"/>
  <c r="CX53" i="3"/>
  <c r="CU53" i="3" s="1"/>
  <c r="F46" i="3"/>
  <c r="CT48" i="3"/>
  <c r="G48" i="2" s="1"/>
  <c r="CX49" i="3"/>
  <c r="CU49" i="3" s="1"/>
  <c r="CT50" i="3"/>
  <c r="G50" i="2" s="1"/>
  <c r="CT52" i="3"/>
  <c r="G52" i="2" s="1"/>
  <c r="CR46" i="3"/>
  <c r="AM47" i="3"/>
  <c r="BB47" i="3"/>
  <c r="BK47" i="3"/>
  <c r="BZ47" i="3"/>
  <c r="CI47" i="3"/>
  <c r="F48" i="3"/>
  <c r="U48" i="3"/>
  <c r="F51" i="3"/>
  <c r="CT51" i="3"/>
  <c r="G51" i="2" s="1"/>
  <c r="CT54" i="3"/>
  <c r="G54" i="2" s="1"/>
  <c r="CX48" i="3"/>
  <c r="CU48" i="3" s="1"/>
  <c r="CX52" i="3"/>
  <c r="CU52" i="3" s="1"/>
  <c r="AV54" i="3"/>
  <c r="F56" i="3"/>
  <c r="AD56" i="3"/>
  <c r="BB56" i="3"/>
  <c r="BZ56" i="3"/>
  <c r="CX56" i="3"/>
  <c r="CU56" i="3" s="1"/>
  <c r="CX58" i="3"/>
  <c r="CU58" i="3" s="1"/>
  <c r="X58" i="3"/>
  <c r="AV58" i="3"/>
  <c r="CT59" i="3"/>
  <c r="G59" i="2" s="1"/>
  <c r="AP60" i="3"/>
  <c r="BN60" i="3"/>
  <c r="CX61" i="3"/>
  <c r="CU61" i="3" s="1"/>
  <c r="CX55" i="3"/>
  <c r="CU55" i="3" s="1"/>
  <c r="F55" i="3"/>
  <c r="CT60" i="3"/>
  <c r="G60" i="2" s="1"/>
  <c r="CT62" i="3"/>
  <c r="G62" i="2" s="1"/>
  <c r="E62" i="2" s="1"/>
  <c r="R56" i="3"/>
  <c r="AP56" i="3"/>
  <c r="BN56" i="3"/>
  <c r="CL56" i="3"/>
  <c r="CX57" i="3"/>
  <c r="CU57" i="3" s="1"/>
  <c r="L58" i="3"/>
  <c r="AJ58" i="3"/>
  <c r="BH58" i="3"/>
  <c r="AD60" i="3"/>
  <c r="CX60" i="3"/>
  <c r="CU60" i="3" s="1"/>
  <c r="CV34" i="3" l="1"/>
  <c r="CV46" i="3"/>
  <c r="CV38" i="3"/>
  <c r="CV61" i="3"/>
  <c r="CV56" i="3"/>
  <c r="CV17" i="3"/>
  <c r="CV45" i="3"/>
  <c r="CV12" i="3"/>
  <c r="CV58" i="3"/>
  <c r="CV57" i="3"/>
  <c r="CV53" i="3"/>
  <c r="CV25" i="3"/>
  <c r="CV29" i="3"/>
  <c r="CV30" i="3"/>
  <c r="CV41" i="3"/>
  <c r="CV55" i="3"/>
  <c r="CV28" i="3"/>
  <c r="CV24" i="3"/>
  <c r="F26" i="1"/>
  <c r="CV43" i="3"/>
  <c r="CV39" i="3"/>
  <c r="CV16" i="3"/>
  <c r="CV59" i="3"/>
  <c r="CV40" i="3"/>
  <c r="CV26" i="3"/>
  <c r="CV19" i="3"/>
  <c r="CV8" i="3"/>
  <c r="CV7" i="3"/>
  <c r="CV50" i="3"/>
  <c r="CV44" i="3"/>
  <c r="CV33" i="3"/>
  <c r="CV62" i="3"/>
  <c r="CV48" i="3"/>
  <c r="CV36" i="3"/>
  <c r="CV35" i="3"/>
  <c r="CV31" i="3"/>
  <c r="CV27" i="3"/>
  <c r="CV37" i="3"/>
  <c r="CV18" i="3"/>
  <c r="CV51" i="3"/>
  <c r="CV60" i="3"/>
  <c r="CV54" i="3"/>
  <c r="CV52" i="3"/>
  <c r="CV49" i="3"/>
  <c r="CV32" i="3"/>
  <c r="CV47" i="3"/>
  <c r="CV42" i="3"/>
  <c r="C62" i="3" l="1"/>
  <c r="G28" i="1"/>
  <c r="G25" i="1"/>
  <c r="D65" i="5" l="1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H61" i="2" l="1"/>
  <c r="E61" i="2" s="1"/>
  <c r="H60" i="2"/>
  <c r="E60" i="2" s="1"/>
  <c r="H49" i="2"/>
  <c r="E49" i="2" s="1"/>
  <c r="H56" i="2"/>
  <c r="E56" i="2" s="1"/>
  <c r="H58" i="2"/>
  <c r="E58" i="2" s="1"/>
  <c r="H52" i="2"/>
  <c r="E52" i="2" s="1"/>
  <c r="H54" i="2"/>
  <c r="E54" i="2" s="1"/>
  <c r="H51" i="2"/>
  <c r="E51" i="2" s="1"/>
  <c r="H59" i="2"/>
  <c r="E59" i="2" s="1"/>
  <c r="H55" i="2"/>
  <c r="E55" i="2" s="1"/>
  <c r="H50" i="2"/>
  <c r="E50" i="2" s="1"/>
  <c r="H44" i="2"/>
  <c r="E44" i="2" s="1"/>
  <c r="H46" i="2"/>
  <c r="E46" i="2" s="1"/>
  <c r="H47" i="2"/>
  <c r="E47" i="2" s="1"/>
  <c r="H48" i="2"/>
  <c r="E48" i="2" s="1"/>
  <c r="H43" i="2"/>
  <c r="E43" i="2" s="1"/>
  <c r="H40" i="2"/>
  <c r="E40" i="2" s="1"/>
  <c r="H41" i="2"/>
  <c r="E41" i="2" s="1"/>
  <c r="H57" i="2"/>
  <c r="E57" i="2" s="1"/>
  <c r="F65" i="1"/>
  <c r="H45" i="2"/>
  <c r="E45" i="2" s="1"/>
  <c r="H53" i="2"/>
  <c r="E53" i="2" s="1"/>
  <c r="F53" i="1"/>
  <c r="F62" i="1"/>
  <c r="F66" i="1"/>
  <c r="F51" i="1" l="1"/>
  <c r="F58" i="1"/>
  <c r="F61" i="1"/>
  <c r="F63" i="1"/>
  <c r="F52" i="1"/>
  <c r="F49" i="1"/>
  <c r="F60" i="1"/>
  <c r="F57" i="1"/>
  <c r="F48" i="1"/>
  <c r="F46" i="1"/>
  <c r="F50" i="1"/>
  <c r="F64" i="1"/>
  <c r="F55" i="1"/>
  <c r="F47" i="1"/>
  <c r="F45" i="1"/>
  <c r="F56" i="1"/>
  <c r="F59" i="1"/>
  <c r="F54" i="1"/>
  <c r="CX42" i="5" l="1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I42" i="5"/>
  <c r="AH42" i="5"/>
  <c r="AG42" i="5"/>
  <c r="AF42" i="5"/>
  <c r="AE42" i="5"/>
  <c r="AD42" i="5"/>
  <c r="AC42" i="5"/>
  <c r="AB42" i="5"/>
  <c r="Z42" i="5"/>
  <c r="Y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D42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I41" i="5"/>
  <c r="AH41" i="5"/>
  <c r="AG41" i="5"/>
  <c r="AF41" i="5"/>
  <c r="AE41" i="5"/>
  <c r="AC41" i="5"/>
  <c r="AB41" i="5"/>
  <c r="Z41" i="5"/>
  <c r="Y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D41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C40" i="5"/>
  <c r="AB40" i="5"/>
  <c r="Z40" i="5"/>
  <c r="Y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D40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I39" i="5"/>
  <c r="AH39" i="5"/>
  <c r="AG39" i="5"/>
  <c r="AF39" i="5"/>
  <c r="AE39" i="5"/>
  <c r="AC39" i="5"/>
  <c r="AB39" i="5"/>
  <c r="Z39" i="5"/>
  <c r="Y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D39" i="5"/>
  <c r="F42" i="5" l="1"/>
  <c r="E41" i="5"/>
  <c r="H37" i="2" s="1"/>
  <c r="E37" i="2" s="1"/>
  <c r="F39" i="5"/>
  <c r="F41" i="5"/>
  <c r="F40" i="5"/>
  <c r="E40" i="5"/>
  <c r="H36" i="2" s="1"/>
  <c r="E36" i="2" s="1"/>
  <c r="E39" i="5"/>
  <c r="H35" i="2" s="1"/>
  <c r="E35" i="2" s="1"/>
  <c r="E42" i="5"/>
  <c r="H38" i="2" s="1"/>
  <c r="E38" i="2" s="1"/>
  <c r="G15" i="1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G17" i="1" l="1"/>
  <c r="G16" i="1"/>
  <c r="G14" i="1"/>
  <c r="G13" i="1"/>
  <c r="CX38" i="5" l="1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I38" i="5"/>
  <c r="AH38" i="5"/>
  <c r="AG38" i="5"/>
  <c r="AF38" i="5"/>
  <c r="AE38" i="5"/>
  <c r="AC38" i="5"/>
  <c r="AB38" i="5"/>
  <c r="Z38" i="5"/>
  <c r="Y38" i="5"/>
  <c r="W38" i="5"/>
  <c r="V38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I37" i="5"/>
  <c r="AH37" i="5"/>
  <c r="AG37" i="5"/>
  <c r="AF37" i="5"/>
  <c r="AE37" i="5"/>
  <c r="AC37" i="5"/>
  <c r="AB37" i="5"/>
  <c r="Z37" i="5"/>
  <c r="Y37" i="5"/>
  <c r="W37" i="5"/>
  <c r="V37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I36" i="5"/>
  <c r="AH36" i="5"/>
  <c r="AG36" i="5"/>
  <c r="AF36" i="5"/>
  <c r="AE36" i="5"/>
  <c r="AC36" i="5"/>
  <c r="AB36" i="5"/>
  <c r="Z36" i="5"/>
  <c r="Y36" i="5"/>
  <c r="W36" i="5"/>
  <c r="V36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I35" i="5"/>
  <c r="AH35" i="5"/>
  <c r="AG35" i="5"/>
  <c r="AF35" i="5"/>
  <c r="AE35" i="5"/>
  <c r="AC35" i="5"/>
  <c r="AB35" i="5"/>
  <c r="Z35" i="5"/>
  <c r="Y35" i="5"/>
  <c r="W35" i="5"/>
  <c r="V35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C34" i="5"/>
  <c r="AB34" i="5"/>
  <c r="Z34" i="5"/>
  <c r="Y34" i="5"/>
  <c r="W34" i="5"/>
  <c r="V34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C33" i="5"/>
  <c r="AB33" i="5"/>
  <c r="Z33" i="5"/>
  <c r="Y33" i="5"/>
  <c r="W33" i="5"/>
  <c r="V33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C32" i="5"/>
  <c r="AB32" i="5"/>
  <c r="Z32" i="5"/>
  <c r="Y32" i="5"/>
  <c r="W32" i="5"/>
  <c r="V32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C30" i="5"/>
  <c r="AB30" i="5"/>
  <c r="AA30" i="5"/>
  <c r="Z30" i="5"/>
  <c r="Y30" i="5"/>
  <c r="X30" i="5"/>
  <c r="W30" i="5"/>
  <c r="V30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C29" i="5"/>
  <c r="AB29" i="5"/>
  <c r="Z29" i="5"/>
  <c r="Y29" i="5"/>
  <c r="W29" i="5"/>
  <c r="V29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C28" i="5"/>
  <c r="AB28" i="5"/>
  <c r="Z28" i="5"/>
  <c r="Y28" i="5"/>
  <c r="V28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I27" i="5"/>
  <c r="AH27" i="5"/>
  <c r="AG27" i="5"/>
  <c r="AF27" i="5"/>
  <c r="AE27" i="5"/>
  <c r="AC27" i="5"/>
  <c r="AB27" i="5"/>
  <c r="Z27" i="5"/>
  <c r="Y27" i="5"/>
  <c r="V27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I26" i="5"/>
  <c r="AH26" i="5"/>
  <c r="AG26" i="5"/>
  <c r="AF26" i="5"/>
  <c r="AE26" i="5"/>
  <c r="AC26" i="5"/>
  <c r="AB26" i="5"/>
  <c r="Z26" i="5"/>
  <c r="Y26" i="5"/>
  <c r="V26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I25" i="5"/>
  <c r="AH25" i="5"/>
  <c r="AG25" i="5"/>
  <c r="AF25" i="5"/>
  <c r="AE25" i="5"/>
  <c r="AC25" i="5"/>
  <c r="AB25" i="5"/>
  <c r="AA25" i="5"/>
  <c r="Z25" i="5"/>
  <c r="Y25" i="5"/>
  <c r="X25" i="5"/>
  <c r="W25" i="5"/>
  <c r="V25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I24" i="5"/>
  <c r="AH24" i="5"/>
  <c r="AG24" i="5"/>
  <c r="AF24" i="5"/>
  <c r="AE24" i="5"/>
  <c r="AC24" i="5"/>
  <c r="AB24" i="5"/>
  <c r="AA24" i="5"/>
  <c r="Z24" i="5"/>
  <c r="Y24" i="5"/>
  <c r="X24" i="5"/>
  <c r="W24" i="5"/>
  <c r="V24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I23" i="5"/>
  <c r="AH23" i="5"/>
  <c r="AG23" i="5"/>
  <c r="AF23" i="5"/>
  <c r="AE23" i="5"/>
  <c r="AC23" i="5"/>
  <c r="AB23" i="5"/>
  <c r="Z23" i="5"/>
  <c r="Y23" i="5"/>
  <c r="V23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I22" i="5"/>
  <c r="AH22" i="5"/>
  <c r="AG22" i="5"/>
  <c r="AF22" i="5"/>
  <c r="AE22" i="5"/>
  <c r="AD22" i="5"/>
  <c r="AC22" i="5"/>
  <c r="AB22" i="5"/>
  <c r="AA22" i="5"/>
  <c r="Z22" i="5"/>
  <c r="Y22" i="5"/>
  <c r="W22" i="5"/>
  <c r="V22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I21" i="5"/>
  <c r="AH21" i="5"/>
  <c r="AG21" i="5"/>
  <c r="AF21" i="5"/>
  <c r="AE21" i="5"/>
  <c r="AC21" i="5"/>
  <c r="AB21" i="5"/>
  <c r="Z21" i="5"/>
  <c r="Y21" i="5"/>
  <c r="W21" i="5"/>
  <c r="V21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I20" i="5"/>
  <c r="AH20" i="5"/>
  <c r="AG20" i="5"/>
  <c r="AF20" i="5"/>
  <c r="AE20" i="5"/>
  <c r="AC20" i="5"/>
  <c r="AB20" i="5"/>
  <c r="Z20" i="5"/>
  <c r="Y20" i="5"/>
  <c r="W20" i="5"/>
  <c r="V20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I19" i="5"/>
  <c r="AH19" i="5"/>
  <c r="AG19" i="5"/>
  <c r="AF19" i="5"/>
  <c r="AE19" i="5"/>
  <c r="AC19" i="5"/>
  <c r="AB19" i="5"/>
  <c r="Z19" i="5"/>
  <c r="Y19" i="5"/>
  <c r="W19" i="5"/>
  <c r="V19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I18" i="5"/>
  <c r="AH18" i="5"/>
  <c r="AG18" i="5"/>
  <c r="AF18" i="5"/>
  <c r="AE18" i="5"/>
  <c r="AC18" i="5"/>
  <c r="AB18" i="5"/>
  <c r="Z18" i="5"/>
  <c r="Y18" i="5"/>
  <c r="W18" i="5"/>
  <c r="V18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I17" i="5"/>
  <c r="AH17" i="5"/>
  <c r="AG17" i="5"/>
  <c r="AF17" i="5"/>
  <c r="AE17" i="5"/>
  <c r="AC17" i="5"/>
  <c r="AB17" i="5"/>
  <c r="Z17" i="5"/>
  <c r="Y17" i="5"/>
  <c r="W17" i="5"/>
  <c r="V17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I16" i="5"/>
  <c r="AH16" i="5"/>
  <c r="AG16" i="5"/>
  <c r="AF16" i="5"/>
  <c r="AE16" i="5"/>
  <c r="AD16" i="5"/>
  <c r="AC16" i="5"/>
  <c r="AB16" i="5"/>
  <c r="Z16" i="5"/>
  <c r="Y16" i="5"/>
  <c r="W16" i="5"/>
  <c r="V16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I15" i="5"/>
  <c r="AH15" i="5"/>
  <c r="AG15" i="5"/>
  <c r="AF15" i="5"/>
  <c r="AE15" i="5"/>
  <c r="AD15" i="5"/>
  <c r="AC15" i="5"/>
  <c r="AB15" i="5"/>
  <c r="Z15" i="5"/>
  <c r="Y15" i="5"/>
  <c r="W15" i="5"/>
  <c r="V15" i="5"/>
  <c r="T31" i="5" l="1"/>
  <c r="S31" i="5"/>
  <c r="R38" i="5" l="1"/>
  <c r="Q38" i="5"/>
  <c r="P38" i="5"/>
  <c r="O38" i="5"/>
  <c r="N38" i="5"/>
  <c r="M38" i="5"/>
  <c r="L38" i="5"/>
  <c r="K38" i="5"/>
  <c r="J38" i="5"/>
  <c r="R37" i="5"/>
  <c r="Q37" i="5"/>
  <c r="P37" i="5"/>
  <c r="O37" i="5"/>
  <c r="N37" i="5"/>
  <c r="M37" i="5"/>
  <c r="L37" i="5"/>
  <c r="K37" i="5"/>
  <c r="J37" i="5"/>
  <c r="R36" i="5"/>
  <c r="Q36" i="5"/>
  <c r="P36" i="5"/>
  <c r="O36" i="5"/>
  <c r="N36" i="5"/>
  <c r="M36" i="5"/>
  <c r="L36" i="5"/>
  <c r="K36" i="5"/>
  <c r="J36" i="5"/>
  <c r="R35" i="5"/>
  <c r="Q35" i="5"/>
  <c r="P35" i="5"/>
  <c r="O35" i="5"/>
  <c r="N35" i="5"/>
  <c r="M35" i="5"/>
  <c r="L35" i="5"/>
  <c r="K35" i="5"/>
  <c r="J35" i="5"/>
  <c r="R34" i="5"/>
  <c r="Q34" i="5"/>
  <c r="P34" i="5"/>
  <c r="O34" i="5"/>
  <c r="N34" i="5"/>
  <c r="M34" i="5"/>
  <c r="L34" i="5"/>
  <c r="K34" i="5"/>
  <c r="J34" i="5"/>
  <c r="R33" i="5"/>
  <c r="Q33" i="5"/>
  <c r="P33" i="5"/>
  <c r="O33" i="5"/>
  <c r="N33" i="5"/>
  <c r="M33" i="5"/>
  <c r="L33" i="5"/>
  <c r="K33" i="5"/>
  <c r="J33" i="5"/>
  <c r="R32" i="5"/>
  <c r="Q32" i="5"/>
  <c r="P32" i="5"/>
  <c r="O32" i="5"/>
  <c r="N32" i="5"/>
  <c r="M32" i="5"/>
  <c r="L32" i="5"/>
  <c r="K32" i="5"/>
  <c r="J32" i="5"/>
  <c r="R31" i="5"/>
  <c r="Q31" i="5"/>
  <c r="P31" i="5"/>
  <c r="O31" i="5"/>
  <c r="N31" i="5"/>
  <c r="M31" i="5"/>
  <c r="L31" i="5"/>
  <c r="K31" i="5"/>
  <c r="J31" i="5"/>
  <c r="R30" i="5"/>
  <c r="Q30" i="5"/>
  <c r="P30" i="5"/>
  <c r="O30" i="5"/>
  <c r="N30" i="5"/>
  <c r="M30" i="5"/>
  <c r="L30" i="5"/>
  <c r="K30" i="5"/>
  <c r="J30" i="5"/>
  <c r="R29" i="5"/>
  <c r="Q29" i="5"/>
  <c r="P29" i="5"/>
  <c r="O29" i="5"/>
  <c r="N29" i="5"/>
  <c r="M29" i="5"/>
  <c r="L29" i="5"/>
  <c r="K29" i="5"/>
  <c r="J29" i="5"/>
  <c r="R28" i="5"/>
  <c r="Q28" i="5"/>
  <c r="P28" i="5"/>
  <c r="O28" i="5"/>
  <c r="N28" i="5"/>
  <c r="M28" i="5"/>
  <c r="L28" i="5"/>
  <c r="K28" i="5"/>
  <c r="J28" i="5"/>
  <c r="R27" i="5"/>
  <c r="Q27" i="5"/>
  <c r="P27" i="5"/>
  <c r="O27" i="5"/>
  <c r="N27" i="5"/>
  <c r="M27" i="5"/>
  <c r="L27" i="5"/>
  <c r="K27" i="5"/>
  <c r="J27" i="5"/>
  <c r="R26" i="5"/>
  <c r="Q26" i="5"/>
  <c r="P26" i="5"/>
  <c r="O26" i="5"/>
  <c r="N26" i="5"/>
  <c r="M26" i="5"/>
  <c r="L26" i="5"/>
  <c r="K26" i="5"/>
  <c r="J26" i="5"/>
  <c r="R25" i="5"/>
  <c r="Q25" i="5"/>
  <c r="P25" i="5"/>
  <c r="O25" i="5"/>
  <c r="N25" i="5"/>
  <c r="M25" i="5"/>
  <c r="L25" i="5"/>
  <c r="K25" i="5"/>
  <c r="J25" i="5"/>
  <c r="R24" i="5"/>
  <c r="Q24" i="5"/>
  <c r="P24" i="5"/>
  <c r="O24" i="5"/>
  <c r="N24" i="5"/>
  <c r="M24" i="5"/>
  <c r="L24" i="5"/>
  <c r="K24" i="5"/>
  <c r="J24" i="5"/>
  <c r="R23" i="5"/>
  <c r="Q23" i="5"/>
  <c r="P23" i="5"/>
  <c r="O23" i="5"/>
  <c r="N23" i="5"/>
  <c r="M23" i="5"/>
  <c r="L23" i="5"/>
  <c r="K23" i="5"/>
  <c r="J23" i="5"/>
  <c r="R22" i="5"/>
  <c r="Q22" i="5"/>
  <c r="P22" i="5"/>
  <c r="O22" i="5"/>
  <c r="N22" i="5"/>
  <c r="M22" i="5"/>
  <c r="L22" i="5"/>
  <c r="K22" i="5"/>
  <c r="J22" i="5"/>
  <c r="R21" i="5"/>
  <c r="Q21" i="5"/>
  <c r="P21" i="5"/>
  <c r="O21" i="5"/>
  <c r="N21" i="5"/>
  <c r="M21" i="5"/>
  <c r="L21" i="5"/>
  <c r="K21" i="5"/>
  <c r="J21" i="5"/>
  <c r="R20" i="5"/>
  <c r="Q20" i="5"/>
  <c r="P20" i="5"/>
  <c r="O20" i="5"/>
  <c r="N20" i="5"/>
  <c r="M20" i="5"/>
  <c r="L20" i="5"/>
  <c r="K20" i="5"/>
  <c r="J20" i="5"/>
  <c r="R19" i="5"/>
  <c r="Q19" i="5"/>
  <c r="P19" i="5"/>
  <c r="O19" i="5"/>
  <c r="N19" i="5"/>
  <c r="M19" i="5"/>
  <c r="L19" i="5"/>
  <c r="K19" i="5"/>
  <c r="J19" i="5"/>
  <c r="R18" i="5"/>
  <c r="Q18" i="5"/>
  <c r="P18" i="5"/>
  <c r="O18" i="5"/>
  <c r="N18" i="5"/>
  <c r="M18" i="5"/>
  <c r="L18" i="5"/>
  <c r="K18" i="5"/>
  <c r="J18" i="5"/>
  <c r="R17" i="5"/>
  <c r="Q17" i="5"/>
  <c r="P17" i="5"/>
  <c r="O17" i="5"/>
  <c r="N17" i="5"/>
  <c r="M17" i="5"/>
  <c r="L17" i="5"/>
  <c r="K17" i="5"/>
  <c r="J17" i="5"/>
  <c r="R16" i="5"/>
  <c r="Q16" i="5"/>
  <c r="P16" i="5"/>
  <c r="O16" i="5"/>
  <c r="N16" i="5"/>
  <c r="M16" i="5"/>
  <c r="L16" i="5"/>
  <c r="K16" i="5"/>
  <c r="J16" i="5"/>
  <c r="R15" i="5"/>
  <c r="Q15" i="5"/>
  <c r="P15" i="5"/>
  <c r="O15" i="5"/>
  <c r="N15" i="5"/>
  <c r="M15" i="5"/>
  <c r="L15" i="5"/>
  <c r="K15" i="5"/>
  <c r="J15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R14" i="5"/>
  <c r="Q14" i="5"/>
  <c r="P14" i="5"/>
  <c r="O14" i="5"/>
  <c r="N14" i="5"/>
  <c r="M14" i="5"/>
  <c r="L14" i="5"/>
  <c r="K14" i="5"/>
  <c r="J14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I13" i="5"/>
  <c r="AH13" i="5"/>
  <c r="AF13" i="5"/>
  <c r="AE13" i="5"/>
  <c r="AC13" i="5"/>
  <c r="AB13" i="5"/>
  <c r="AA13" i="5"/>
  <c r="Z13" i="5"/>
  <c r="Y13" i="5"/>
  <c r="V13" i="5"/>
  <c r="R13" i="5"/>
  <c r="Q13" i="5"/>
  <c r="P13" i="5"/>
  <c r="O13" i="5"/>
  <c r="N13" i="5"/>
  <c r="M13" i="5"/>
  <c r="L13" i="5"/>
  <c r="K13" i="5"/>
  <c r="J13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I12" i="5"/>
  <c r="AH12" i="5"/>
  <c r="AG12" i="5"/>
  <c r="AF12" i="5"/>
  <c r="AE12" i="5"/>
  <c r="AC12" i="5"/>
  <c r="AB12" i="5"/>
  <c r="AA12" i="5"/>
  <c r="Z12" i="5"/>
  <c r="Y12" i="5"/>
  <c r="X12" i="5"/>
  <c r="W12" i="5"/>
  <c r="V12" i="5"/>
  <c r="R12" i="5"/>
  <c r="Q12" i="5"/>
  <c r="P12" i="5"/>
  <c r="O12" i="5"/>
  <c r="N12" i="5"/>
  <c r="M12" i="5"/>
  <c r="L12" i="5"/>
  <c r="K12" i="5"/>
  <c r="J12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R11" i="5"/>
  <c r="Q11" i="5"/>
  <c r="P11" i="5"/>
  <c r="O11" i="5"/>
  <c r="N11" i="5"/>
  <c r="M11" i="5"/>
  <c r="L11" i="5"/>
  <c r="K11" i="5"/>
  <c r="J11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I10" i="5"/>
  <c r="AH10" i="5"/>
  <c r="AG10" i="5"/>
  <c r="AF10" i="5"/>
  <c r="AE10" i="5"/>
  <c r="AC10" i="5"/>
  <c r="AB10" i="5"/>
  <c r="AA10" i="5"/>
  <c r="Z10" i="5"/>
  <c r="Y10" i="5"/>
  <c r="V10" i="5"/>
  <c r="R10" i="5"/>
  <c r="Q10" i="5"/>
  <c r="P10" i="5"/>
  <c r="O10" i="5"/>
  <c r="N10" i="5"/>
  <c r="M10" i="5"/>
  <c r="L10" i="5"/>
  <c r="K10" i="5"/>
  <c r="J10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I9" i="5"/>
  <c r="AH9" i="5"/>
  <c r="AF9" i="5"/>
  <c r="AE9" i="5"/>
  <c r="AC9" i="5"/>
  <c r="AB9" i="5"/>
  <c r="Z9" i="5"/>
  <c r="Y9" i="5"/>
  <c r="V9" i="5"/>
  <c r="R9" i="5"/>
  <c r="Q9" i="5"/>
  <c r="P9" i="5"/>
  <c r="O9" i="5"/>
  <c r="N9" i="5"/>
  <c r="M9" i="5"/>
  <c r="L9" i="5" l="1"/>
  <c r="K9" i="5"/>
  <c r="J9" i="5"/>
  <c r="F31" i="5"/>
  <c r="E31" i="5"/>
  <c r="H27" i="2" s="1"/>
  <c r="E27" i="2" s="1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 l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I35" i="1" l="1"/>
  <c r="I29" i="1"/>
  <c r="I27" i="1"/>
  <c r="I26" i="1"/>
  <c r="I24" i="1"/>
  <c r="I21" i="1"/>
  <c r="I8" i="1"/>
  <c r="I7" i="1"/>
  <c r="H27" i="1"/>
  <c r="H26" i="1"/>
  <c r="H24" i="1"/>
  <c r="H21" i="1"/>
  <c r="H8" i="1"/>
  <c r="H7" i="1"/>
  <c r="W9" i="5" s="1"/>
  <c r="G43" i="1"/>
  <c r="G42" i="1"/>
  <c r="G41" i="1"/>
  <c r="G40" i="1"/>
  <c r="G39" i="1"/>
  <c r="G38" i="1"/>
  <c r="G37" i="1"/>
  <c r="G36" i="1"/>
  <c r="G35" i="1"/>
  <c r="G34" i="1"/>
  <c r="G33" i="1"/>
  <c r="G32" i="1"/>
  <c r="G29" i="1"/>
  <c r="G27" i="1"/>
  <c r="G26" i="1"/>
  <c r="G24" i="1"/>
  <c r="G23" i="1"/>
  <c r="G22" i="1"/>
  <c r="G21" i="1"/>
  <c r="G20" i="1"/>
  <c r="G19" i="1"/>
  <c r="G18" i="1"/>
  <c r="G12" i="1"/>
  <c r="G11" i="1"/>
  <c r="G10" i="1"/>
  <c r="G9" i="1"/>
  <c r="G8" i="1"/>
  <c r="G7" i="1"/>
  <c r="F32" i="1"/>
  <c r="CP5" i="3"/>
  <c r="W23" i="5" l="1"/>
  <c r="W26" i="5"/>
  <c r="W27" i="5"/>
  <c r="W28" i="5"/>
  <c r="CM5" i="3" l="1"/>
  <c r="CJ5" i="3"/>
  <c r="CG5" i="3"/>
  <c r="CD5" i="3"/>
  <c r="CA5" i="3"/>
  <c r="BX5" i="3"/>
  <c r="BU5" i="3"/>
  <c r="BR5" i="3"/>
  <c r="BO5" i="3"/>
  <c r="BL5" i="3"/>
  <c r="BI5" i="3"/>
  <c r="BF5" i="3"/>
  <c r="BC5" i="3"/>
  <c r="AZ5" i="3"/>
  <c r="AW5" i="3"/>
  <c r="AT5" i="3"/>
  <c r="AQ5" i="3"/>
  <c r="AN5" i="3"/>
  <c r="AK5" i="3"/>
  <c r="AH5" i="3"/>
  <c r="AE5" i="3"/>
  <c r="AB5" i="3"/>
  <c r="Y5" i="3"/>
  <c r="V5" i="3"/>
  <c r="S5" i="3"/>
  <c r="P5" i="3"/>
  <c r="M5" i="3"/>
  <c r="J5" i="3"/>
  <c r="G5" i="3"/>
  <c r="D5" i="3"/>
  <c r="CQ5" i="3"/>
  <c r="H5" i="3"/>
  <c r="K5" i="3"/>
  <c r="N5" i="3"/>
  <c r="Q5" i="3"/>
  <c r="Z5" i="3"/>
  <c r="AC5" i="3"/>
  <c r="AF5" i="3"/>
  <c r="AI5" i="3"/>
  <c r="AL5" i="3"/>
  <c r="AO5" i="3"/>
  <c r="AR5" i="3"/>
  <c r="AU5" i="3"/>
  <c r="AX5" i="3"/>
  <c r="BA5" i="3"/>
  <c r="BD5" i="3"/>
  <c r="BG5" i="3"/>
  <c r="BJ5" i="3"/>
  <c r="BM5" i="3"/>
  <c r="BP5" i="3"/>
  <c r="BS5" i="3"/>
  <c r="BV5" i="3"/>
  <c r="BY5" i="3"/>
  <c r="CB5" i="3"/>
  <c r="CE5" i="3"/>
  <c r="CH5" i="3"/>
  <c r="CK5" i="3"/>
  <c r="CN5" i="3"/>
  <c r="W10" i="5" l="1"/>
  <c r="CT5" i="3"/>
  <c r="G5" i="2" s="1"/>
  <c r="F43" i="1"/>
  <c r="F14" i="1"/>
  <c r="F41" i="1"/>
  <c r="F42" i="1"/>
  <c r="CR5" i="3"/>
  <c r="CO5" i="3"/>
  <c r="CL5" i="3"/>
  <c r="CI5" i="3"/>
  <c r="CF5" i="3"/>
  <c r="CC5" i="3"/>
  <c r="BZ5" i="3"/>
  <c r="BW5" i="3"/>
  <c r="BT5" i="3"/>
  <c r="BQ5" i="3"/>
  <c r="BN5" i="3"/>
  <c r="BK5" i="3"/>
  <c r="BH5" i="3"/>
  <c r="BE5" i="3"/>
  <c r="BB5" i="3"/>
  <c r="AY5" i="3"/>
  <c r="AV5" i="3"/>
  <c r="AS5" i="3"/>
  <c r="AP5" i="3"/>
  <c r="AM5" i="3"/>
  <c r="AJ5" i="3"/>
  <c r="AG5" i="3"/>
  <c r="AD5" i="3"/>
  <c r="AA5" i="3"/>
  <c r="R5" i="3"/>
  <c r="O5" i="3"/>
  <c r="L5" i="3"/>
  <c r="I5" i="3"/>
  <c r="AD41" i="5" l="1"/>
  <c r="AD40" i="5"/>
  <c r="X42" i="5"/>
  <c r="AA42" i="5"/>
  <c r="X16" i="5"/>
  <c r="X15" i="5"/>
  <c r="X41" i="5"/>
  <c r="F35" i="1"/>
  <c r="F38" i="1"/>
  <c r="F34" i="1"/>
  <c r="F33" i="1"/>
  <c r="F39" i="1"/>
  <c r="F37" i="1"/>
  <c r="F40" i="1"/>
  <c r="F36" i="1"/>
  <c r="AD39" i="5" l="1"/>
  <c r="AD36" i="5"/>
  <c r="AJ39" i="5"/>
  <c r="AD38" i="5"/>
  <c r="AD33" i="5"/>
  <c r="AD32" i="5"/>
  <c r="AJ35" i="5"/>
  <c r="AD37" i="5"/>
  <c r="AD35" i="5"/>
  <c r="AD34" i="5"/>
  <c r="AA19" i="5"/>
  <c r="X37" i="5"/>
  <c r="AA41" i="5"/>
  <c r="X36" i="5"/>
  <c r="X32" i="5"/>
  <c r="X34" i="5"/>
  <c r="X35" i="5"/>
  <c r="X38" i="5"/>
  <c r="X33" i="5"/>
  <c r="X19" i="5"/>
  <c r="X40" i="5"/>
  <c r="U31" i="5"/>
  <c r="AJ36" i="5" l="1"/>
  <c r="AJ37" i="5"/>
  <c r="AJ38" i="5"/>
  <c r="AJ41" i="5"/>
  <c r="H41" i="5" s="1"/>
  <c r="AJ42" i="5"/>
  <c r="H42" i="5" s="1"/>
  <c r="AA40" i="5"/>
  <c r="H40" i="5" s="1"/>
  <c r="AA34" i="5"/>
  <c r="AA16" i="5"/>
  <c r="AA33" i="5"/>
  <c r="AA37" i="5"/>
  <c r="AA18" i="5"/>
  <c r="AA39" i="5"/>
  <c r="AA38" i="5"/>
  <c r="AA35" i="5"/>
  <c r="AA15" i="5"/>
  <c r="AA32" i="5"/>
  <c r="AA36" i="5"/>
  <c r="X18" i="5"/>
  <c r="X39" i="5"/>
  <c r="H39" i="5" l="1"/>
  <c r="C99" i="3" l="1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D5" i="2" l="1"/>
  <c r="S17" i="5" l="1"/>
  <c r="E17" i="5" s="1"/>
  <c r="H13" i="2" s="1"/>
  <c r="E13" i="2" s="1"/>
  <c r="S35" i="5"/>
  <c r="E35" i="5" s="1"/>
  <c r="H31" i="2" s="1"/>
  <c r="E31" i="2" s="1"/>
  <c r="S32" i="5"/>
  <c r="E32" i="5" s="1"/>
  <c r="H28" i="2" s="1"/>
  <c r="E28" i="2" s="1"/>
  <c r="S26" i="5"/>
  <c r="E26" i="5" s="1"/>
  <c r="H22" i="2" s="1"/>
  <c r="E22" i="2" s="1"/>
  <c r="U14" i="5"/>
  <c r="T24" i="5"/>
  <c r="F24" i="5" s="1"/>
  <c r="S30" i="5"/>
  <c r="E30" i="5" s="1"/>
  <c r="H26" i="2" s="1"/>
  <c r="E26" i="2" s="1"/>
  <c r="S34" i="5"/>
  <c r="E34" i="5" s="1"/>
  <c r="S38" i="5"/>
  <c r="E38" i="5" s="1"/>
  <c r="H34" i="2" s="1"/>
  <c r="E34" i="2" s="1"/>
  <c r="S28" i="5"/>
  <c r="E28" i="5" s="1"/>
  <c r="H24" i="2" s="1"/>
  <c r="E24" i="2" s="1"/>
  <c r="S36" i="5"/>
  <c r="E36" i="5" s="1"/>
  <c r="H32" i="2" s="1"/>
  <c r="E32" i="2" s="1"/>
  <c r="S10" i="5"/>
  <c r="E10" i="5" s="1"/>
  <c r="H6" i="2" s="1"/>
  <c r="E6" i="2" s="1"/>
  <c r="S12" i="5"/>
  <c r="E12" i="5" s="1"/>
  <c r="H8" i="2" s="1"/>
  <c r="E8" i="2" s="1"/>
  <c r="S13" i="5"/>
  <c r="E13" i="5" s="1"/>
  <c r="H9" i="2" s="1"/>
  <c r="E9" i="2" s="1"/>
  <c r="S14" i="5"/>
  <c r="E14" i="5" s="1"/>
  <c r="H10" i="2" s="1"/>
  <c r="E10" i="2" s="1"/>
  <c r="S15" i="5"/>
  <c r="E15" i="5" s="1"/>
  <c r="H11" i="2" s="1"/>
  <c r="E11" i="2" s="1"/>
  <c r="S16" i="5"/>
  <c r="E16" i="5" s="1"/>
  <c r="H12" i="2" s="1"/>
  <c r="E12" i="2" s="1"/>
  <c r="S18" i="5"/>
  <c r="E18" i="5" s="1"/>
  <c r="H14" i="2" s="1"/>
  <c r="E14" i="2" s="1"/>
  <c r="S19" i="5"/>
  <c r="E19" i="5" s="1"/>
  <c r="H15" i="2" s="1"/>
  <c r="E15" i="2" s="1"/>
  <c r="S20" i="5"/>
  <c r="E20" i="5" s="1"/>
  <c r="H16" i="2" s="1"/>
  <c r="E16" i="2" s="1"/>
  <c r="S21" i="5"/>
  <c r="E21" i="5" s="1"/>
  <c r="H17" i="2" s="1"/>
  <c r="E17" i="2" s="1"/>
  <c r="S22" i="5"/>
  <c r="E22" i="5" s="1"/>
  <c r="H18" i="2" s="1"/>
  <c r="E18" i="2" s="1"/>
  <c r="S23" i="5"/>
  <c r="E23" i="5" s="1"/>
  <c r="H19" i="2" s="1"/>
  <c r="E19" i="2" s="1"/>
  <c r="S24" i="5"/>
  <c r="E24" i="5" s="1"/>
  <c r="H20" i="2" s="1"/>
  <c r="E20" i="2" s="1"/>
  <c r="S27" i="5"/>
  <c r="E27" i="5" s="1"/>
  <c r="H23" i="2" s="1"/>
  <c r="E23" i="2" s="1"/>
  <c r="S25" i="5"/>
  <c r="E25" i="5" s="1"/>
  <c r="H21" i="2" s="1"/>
  <c r="E21" i="2" s="1"/>
  <c r="S29" i="5"/>
  <c r="E29" i="5" s="1"/>
  <c r="H25" i="2" s="1"/>
  <c r="E25" i="2" s="1"/>
  <c r="S33" i="5"/>
  <c r="E33" i="5" s="1"/>
  <c r="H29" i="2" s="1"/>
  <c r="E29" i="2" s="1"/>
  <c r="S37" i="5"/>
  <c r="E37" i="5" s="1"/>
  <c r="H33" i="2" s="1"/>
  <c r="E33" i="2" s="1"/>
  <c r="U18" i="5" l="1"/>
  <c r="T14" i="5"/>
  <c r="F14" i="5" s="1"/>
  <c r="T12" i="5"/>
  <c r="F12" i="5" s="1"/>
  <c r="T23" i="5"/>
  <c r="F23" i="5" s="1"/>
  <c r="T21" i="5"/>
  <c r="F21" i="5" s="1"/>
  <c r="T20" i="5"/>
  <c r="F20" i="5" s="1"/>
  <c r="T27" i="5"/>
  <c r="F27" i="5" s="1"/>
  <c r="T16" i="5"/>
  <c r="F16" i="5" s="1"/>
  <c r="T30" i="5"/>
  <c r="F30" i="5" s="1"/>
  <c r="T19" i="5" l="1"/>
  <c r="F19" i="5" s="1"/>
  <c r="T28" i="5"/>
  <c r="F28" i="5" s="1"/>
  <c r="T36" i="5"/>
  <c r="F36" i="5" s="1"/>
  <c r="T18" i="5"/>
  <c r="F18" i="5" s="1"/>
  <c r="T35" i="5"/>
  <c r="F35" i="5" s="1"/>
  <c r="T29" i="5"/>
  <c r="F29" i="5" s="1"/>
  <c r="T26" i="5"/>
  <c r="F26" i="5" s="1"/>
  <c r="T25" i="5"/>
  <c r="F25" i="5" s="1"/>
  <c r="T22" i="5"/>
  <c r="F22" i="5" s="1"/>
  <c r="T10" i="5"/>
  <c r="F10" i="5" s="1"/>
  <c r="T34" i="5"/>
  <c r="F34" i="5" s="1"/>
  <c r="T32" i="5"/>
  <c r="F32" i="5" s="1"/>
  <c r="S9" i="5"/>
  <c r="E9" i="5" s="1"/>
  <c r="H5" i="2" s="1"/>
  <c r="E5" i="2" s="1"/>
  <c r="S11" i="5"/>
  <c r="E11" i="5" s="1"/>
  <c r="H7" i="2" s="1"/>
  <c r="E7" i="2" s="1"/>
  <c r="T33" i="5" l="1"/>
  <c r="F33" i="5" s="1"/>
  <c r="T37" i="5"/>
  <c r="F37" i="5" s="1"/>
  <c r="T38" i="5" l="1"/>
  <c r="F38" i="5" s="1"/>
  <c r="T11" i="5"/>
  <c r="F11" i="5" s="1"/>
  <c r="T13" i="5"/>
  <c r="T9" i="5"/>
  <c r="F9" i="5" s="1"/>
  <c r="T17" i="5" l="1"/>
  <c r="F17" i="5" s="1"/>
  <c r="T15" i="5"/>
  <c r="F15" i="5" s="1"/>
  <c r="U19" i="5" l="1"/>
  <c r="U30" i="5" l="1"/>
  <c r="U36" i="5"/>
  <c r="H36" i="5" s="1"/>
  <c r="U21" i="5"/>
  <c r="U34" i="5" l="1"/>
  <c r="H34" i="5" s="1"/>
  <c r="U32" i="5"/>
  <c r="H32" i="5" s="1"/>
  <c r="U35" i="5"/>
  <c r="H35" i="5" s="1"/>
  <c r="U33" i="5"/>
  <c r="H33" i="5" s="1"/>
  <c r="U37" i="5"/>
  <c r="H37" i="5" s="1"/>
  <c r="U38" i="5"/>
  <c r="H38" i="5" s="1"/>
  <c r="U15" i="5" l="1"/>
  <c r="U11" i="5"/>
  <c r="H11" i="5" s="1"/>
  <c r="U12" i="5"/>
  <c r="U16" i="5"/>
  <c r="E5" i="3" l="1"/>
  <c r="F5" i="3" l="1"/>
  <c r="AD27" i="5" l="1"/>
  <c r="F9" i="1"/>
  <c r="F20" i="1"/>
  <c r="X10" i="5" l="1"/>
  <c r="AD10" i="5"/>
  <c r="AD9" i="5"/>
  <c r="AD30" i="5"/>
  <c r="H30" i="5" s="1"/>
  <c r="AD23" i="5"/>
  <c r="X20" i="5"/>
  <c r="AA20" i="5"/>
  <c r="X21" i="5"/>
  <c r="AA21" i="5"/>
  <c r="X27" i="5"/>
  <c r="X29" i="5"/>
  <c r="X28" i="5"/>
  <c r="X23" i="5"/>
  <c r="X26" i="5"/>
  <c r="X9" i="5"/>
  <c r="X22" i="5"/>
  <c r="U20" i="5"/>
  <c r="U25" i="5"/>
  <c r="U24" i="5"/>
  <c r="U17" i="5"/>
  <c r="U29" i="5"/>
  <c r="U26" i="5"/>
  <c r="AD28" i="5" l="1"/>
  <c r="AA23" i="5"/>
  <c r="AA17" i="5"/>
  <c r="AA26" i="5"/>
  <c r="AA27" i="5"/>
  <c r="AA29" i="5"/>
  <c r="AA28" i="5"/>
  <c r="X17" i="5"/>
  <c r="U22" i="5"/>
  <c r="U28" i="5"/>
  <c r="U23" i="5"/>
  <c r="U27" i="5"/>
  <c r="U10" i="5"/>
  <c r="H28" i="5" l="1"/>
  <c r="U13" i="5"/>
  <c r="U9" i="5"/>
  <c r="AA9" i="5" l="1"/>
  <c r="W13" i="5"/>
  <c r="F13" i="5" s="1"/>
  <c r="X13" i="5" l="1"/>
  <c r="AD20" i="5"/>
  <c r="AD26" i="5"/>
  <c r="AD25" i="5"/>
  <c r="AD21" i="5"/>
  <c r="AD29" i="5"/>
  <c r="H29" i="5" s="1"/>
  <c r="AD17" i="5"/>
  <c r="AD13" i="5"/>
  <c r="AD24" i="5"/>
  <c r="AD12" i="5"/>
  <c r="AD18" i="5"/>
  <c r="AD19" i="5"/>
  <c r="T5" i="3" l="1"/>
  <c r="U5" i="3" l="1"/>
  <c r="F18" i="1" l="1"/>
  <c r="F10" i="1"/>
  <c r="F29" i="1"/>
  <c r="AJ31" i="5" s="1"/>
  <c r="H31" i="5" s="1"/>
  <c r="F19" i="1"/>
  <c r="F21" i="1"/>
  <c r="F12" i="1"/>
  <c r="AG9" i="5" l="1"/>
  <c r="AG13" i="5"/>
  <c r="AJ22" i="5" l="1"/>
  <c r="H22" i="5" s="1"/>
  <c r="AJ20" i="5"/>
  <c r="H20" i="5" s="1"/>
  <c r="AJ21" i="5"/>
  <c r="H21" i="5" s="1"/>
  <c r="W5" i="3"/>
  <c r="W23" i="3"/>
  <c r="W22" i="3"/>
  <c r="W20" i="3"/>
  <c r="W9" i="3"/>
  <c r="W21" i="3"/>
  <c r="W6" i="3"/>
  <c r="W11" i="3"/>
  <c r="W13" i="3"/>
  <c r="W15" i="3"/>
  <c r="W14" i="3"/>
  <c r="CX21" i="3" l="1"/>
  <c r="CU21" i="3" s="1"/>
  <c r="X21" i="3"/>
  <c r="CX20" i="3"/>
  <c r="CU20" i="3" s="1"/>
  <c r="X20" i="3"/>
  <c r="CX23" i="3"/>
  <c r="CU23" i="3" s="1"/>
  <c r="X23" i="3"/>
  <c r="X11" i="3"/>
  <c r="CX11" i="3"/>
  <c r="CU11" i="3" s="1"/>
  <c r="CX6" i="3"/>
  <c r="CU6" i="3" s="1"/>
  <c r="X6" i="3"/>
  <c r="X15" i="3"/>
  <c r="CX15" i="3"/>
  <c r="CU15" i="3" s="1"/>
  <c r="X13" i="3"/>
  <c r="CX13" i="3"/>
  <c r="CU13" i="3" s="1"/>
  <c r="X14" i="3"/>
  <c r="CX14" i="3"/>
  <c r="CU14" i="3" s="1"/>
  <c r="CX9" i="3"/>
  <c r="CU9" i="3" s="1"/>
  <c r="X9" i="3"/>
  <c r="X22" i="3"/>
  <c r="CX22" i="3"/>
  <c r="CU22" i="3" s="1"/>
  <c r="CX5" i="3"/>
  <c r="CU5" i="3" s="1"/>
  <c r="X5" i="3"/>
  <c r="CV11" i="3" l="1"/>
  <c r="F13" i="1"/>
  <c r="F15" i="1"/>
  <c r="CV13" i="3"/>
  <c r="F22" i="1"/>
  <c r="CV20" i="3"/>
  <c r="CV9" i="3"/>
  <c r="F11" i="1"/>
  <c r="F16" i="1"/>
  <c r="CV14" i="3"/>
  <c r="F25" i="1"/>
  <c r="CV23" i="3"/>
  <c r="F24" i="1"/>
  <c r="CV22" i="3"/>
  <c r="F7" i="1"/>
  <c r="CV5" i="3"/>
  <c r="CV15" i="3"/>
  <c r="F17" i="1"/>
  <c r="CV6" i="3"/>
  <c r="F8" i="1"/>
  <c r="F23" i="1"/>
  <c r="CV21" i="3"/>
  <c r="AJ27" i="5" l="1"/>
  <c r="H27" i="5" s="1"/>
  <c r="AJ14" i="5"/>
  <c r="H14" i="5" s="1"/>
  <c r="AJ15" i="5"/>
  <c r="H15" i="5" s="1"/>
  <c r="AJ16" i="5" l="1"/>
  <c r="H16" i="5" s="1"/>
  <c r="AJ23" i="5"/>
  <c r="H23" i="5" s="1"/>
  <c r="AJ19" i="5"/>
  <c r="H19" i="5" s="1"/>
  <c r="AJ26" i="5"/>
  <c r="H26" i="5" s="1"/>
  <c r="AJ25" i="5" l="1"/>
  <c r="H25" i="5" s="1"/>
  <c r="AJ24" i="5"/>
  <c r="H24" i="5" s="1"/>
  <c r="AJ13" i="5"/>
  <c r="H13" i="5" s="1"/>
  <c r="AJ12" i="5"/>
  <c r="H12" i="5" s="1"/>
  <c r="AJ9" i="5"/>
  <c r="H9" i="5" s="1"/>
  <c r="AJ17" i="5"/>
  <c r="H17" i="5" s="1"/>
  <c r="AJ10" i="5"/>
  <c r="H10" i="5" s="1"/>
  <c r="AJ18" i="5"/>
  <c r="H18" i="5" s="1"/>
</calcChain>
</file>

<file path=xl/sharedStrings.xml><?xml version="1.0" encoding="utf-8"?>
<sst xmlns="http://schemas.openxmlformats.org/spreadsheetml/2006/main" count="530" uniqueCount="146">
  <si>
    <t>DATABASE ITEM</t>
  </si>
  <si>
    <t>KD ITEM</t>
  </si>
  <si>
    <t>NAMA ITEM</t>
  </si>
  <si>
    <t>HARGA JUAL TOKO</t>
  </si>
  <si>
    <t>HARGA JUAL MOTORIS</t>
  </si>
  <si>
    <t>NABATI WAFER KEJU 52GR</t>
  </si>
  <si>
    <t>NABATI WAFER KEJU 8GR</t>
  </si>
  <si>
    <t>NABATI WAFER COKLAT 8GR</t>
  </si>
  <si>
    <t>NABATI WAFER COKLAT 52GR</t>
  </si>
  <si>
    <t>NWK500</t>
  </si>
  <si>
    <t>NWC500</t>
  </si>
  <si>
    <t>NWK2K</t>
  </si>
  <si>
    <t>NWC2K</t>
  </si>
  <si>
    <t>HARGA JUAL KANVAS</t>
  </si>
  <si>
    <t>FORM TERIMA BARANG</t>
  </si>
  <si>
    <t>TOTAL JAN</t>
  </si>
  <si>
    <t>QTY (KRT)</t>
  </si>
  <si>
    <t>HARGA / KRT</t>
  </si>
  <si>
    <t>TTL RP</t>
  </si>
  <si>
    <t>FORM STOCK TOKO</t>
  </si>
  <si>
    <t>STOCK</t>
  </si>
  <si>
    <t>TERIMA BARANG</t>
  </si>
  <si>
    <t>PENJUALAN</t>
  </si>
  <si>
    <t>HARGA RT2 /KRT</t>
  </si>
  <si>
    <t>TOTAL</t>
  </si>
  <si>
    <t>QTY</t>
  </si>
  <si>
    <t>RUPIAH</t>
  </si>
  <si>
    <t>MARGIN</t>
  </si>
  <si>
    <t>SIIP KEJU 500</t>
  </si>
  <si>
    <t>SIIP KEJU 2000</t>
  </si>
  <si>
    <t>SIIP JAGUNG 2000</t>
  </si>
  <si>
    <t>SIIP COKLAT 2000</t>
  </si>
  <si>
    <t>ROLL KEJU 500</t>
  </si>
  <si>
    <t>ROLL KEJU 2000</t>
  </si>
  <si>
    <t>ROLL COKLAT 2000</t>
  </si>
  <si>
    <t>NABATI WAFER KEJU 19GR</t>
  </si>
  <si>
    <t>NABATI WAFER COKLAT 19GR</t>
  </si>
  <si>
    <t>AHH KEJU 500</t>
  </si>
  <si>
    <t>SELIMUT KEJU 500</t>
  </si>
  <si>
    <t>SELIMUT COKLAT 500</t>
  </si>
  <si>
    <t>PASTA</t>
  </si>
  <si>
    <t>MINTZ PEPPERMINT</t>
  </si>
  <si>
    <t>MINTZ DOUBLEMINT</t>
  </si>
  <si>
    <t>BLASTER NEOPOLITAN</t>
  </si>
  <si>
    <t>BLASTER POP FRUITFULL</t>
  </si>
  <si>
    <t>WAFER TANGGO LONG COKLAT 8GR</t>
  </si>
  <si>
    <t>WAFER TANGGO LONG VANILA 8GR</t>
  </si>
  <si>
    <t>WAFER TANGGO LONG KEJU 8GR</t>
  </si>
  <si>
    <t>WAFER TANGGO LONG COKLAT 52GR</t>
  </si>
  <si>
    <t>WAFER TANGGO LONG VANILA 52GR</t>
  </si>
  <si>
    <t>WAFER TANGGO LONG KEJU 52GR</t>
  </si>
  <si>
    <t>WAFFLE CRUNCHOX 8GR</t>
  </si>
  <si>
    <t>NWK1K</t>
  </si>
  <si>
    <t>NWC1K</t>
  </si>
  <si>
    <t>WFTC500</t>
  </si>
  <si>
    <t>WFTV500</t>
  </si>
  <si>
    <t>WFTK500</t>
  </si>
  <si>
    <t>WFTC2K</t>
  </si>
  <si>
    <t>WFTV2K</t>
  </si>
  <si>
    <t>WFTK2K</t>
  </si>
  <si>
    <t>WFLC500</t>
  </si>
  <si>
    <t>MINTZP</t>
  </si>
  <si>
    <t>MINTZD</t>
  </si>
  <si>
    <t>BSR</t>
  </si>
  <si>
    <t>BPOP</t>
  </si>
  <si>
    <t>SIPK500</t>
  </si>
  <si>
    <t>ROLK500</t>
  </si>
  <si>
    <t>SIPK2K</t>
  </si>
  <si>
    <t>SIPJ2K</t>
  </si>
  <si>
    <t>SIPC2K</t>
  </si>
  <si>
    <t>ROLK2K</t>
  </si>
  <si>
    <t>ROLC2K</t>
  </si>
  <si>
    <t>AHH500</t>
  </si>
  <si>
    <t>SK500</t>
  </si>
  <si>
    <t>SC500</t>
  </si>
  <si>
    <t>HARGA BRUTO</t>
  </si>
  <si>
    <t>TOKO</t>
  </si>
  <si>
    <t>KANVAS</t>
  </si>
  <si>
    <t>MOTORIS</t>
  </si>
  <si>
    <t>REKAP PENJUALAN</t>
  </si>
  <si>
    <t>BULAN :</t>
  </si>
  <si>
    <t>JANUARI 2015</t>
  </si>
  <si>
    <t>NABATI WAFER KEJU 145GR</t>
  </si>
  <si>
    <t>NABATI WAFER COKLAT 145GR</t>
  </si>
  <si>
    <t>NWK5K</t>
  </si>
  <si>
    <t>NWC5K</t>
  </si>
  <si>
    <t>SIIP JGG 500</t>
  </si>
  <si>
    <t>SIIP COKLAT 500</t>
  </si>
  <si>
    <t>SIPJ500</t>
  </si>
  <si>
    <t>SIPC500</t>
  </si>
  <si>
    <t>INUL</t>
  </si>
  <si>
    <t>PUDING</t>
  </si>
  <si>
    <t>INUL JELLY</t>
  </si>
  <si>
    <t>DONALD PUDING CUP</t>
  </si>
  <si>
    <t>DONALD BIG STICK TUPPERWARE</t>
  </si>
  <si>
    <t>DONALD BIG STICK TOPLES</t>
  </si>
  <si>
    <t>DONALD BIG STICK PAK</t>
  </si>
  <si>
    <t>LPK ICE CREAM</t>
  </si>
  <si>
    <t>LPK JELLY BOX DUS</t>
  </si>
  <si>
    <t>WASUKA NITCHI PASTA</t>
  </si>
  <si>
    <t>WASUKA CHOKU</t>
  </si>
  <si>
    <t>LAZERY</t>
  </si>
  <si>
    <t>CHIKORY</t>
  </si>
  <si>
    <t>BABALOON</t>
  </si>
  <si>
    <t>KUACI REBO</t>
  </si>
  <si>
    <t>WAFER JUMBO KITA</t>
  </si>
  <si>
    <t>PANGPANG KOREA</t>
  </si>
  <si>
    <t>NGETOP</t>
  </si>
  <si>
    <t>MAGNUS</t>
  </si>
  <si>
    <t>ASTAGA</t>
  </si>
  <si>
    <t>NORISOBA</t>
  </si>
  <si>
    <t>YAKISOBA</t>
  </si>
  <si>
    <t>ASYIK</t>
  </si>
  <si>
    <t>BABALON</t>
  </si>
  <si>
    <t>REBO</t>
  </si>
  <si>
    <t>CHOKU</t>
  </si>
  <si>
    <t>KITA</t>
  </si>
  <si>
    <t>PANG</t>
  </si>
  <si>
    <t>NORI</t>
  </si>
  <si>
    <t>YAKI</t>
  </si>
  <si>
    <t>MEISES</t>
  </si>
  <si>
    <t>NITCHI</t>
  </si>
  <si>
    <t>ICE</t>
  </si>
  <si>
    <t>JELLY</t>
  </si>
  <si>
    <t>PAK</t>
  </si>
  <si>
    <t>TOPLES</t>
  </si>
  <si>
    <t>TUPER</t>
  </si>
  <si>
    <t>BOX/PCS</t>
  </si>
  <si>
    <t>NITCHI MEISES</t>
  </si>
  <si>
    <t>SELIMUT KEJU 2000</t>
  </si>
  <si>
    <t>SK2K</t>
  </si>
  <si>
    <t>AHH2K</t>
  </si>
  <si>
    <t>AHH KEJU 2000</t>
  </si>
  <si>
    <t>5-15KRT</t>
  </si>
  <si>
    <t>16-30KRT</t>
  </si>
  <si>
    <t>31KRT UP</t>
  </si>
  <si>
    <t>NEX2K</t>
  </si>
  <si>
    <t>NEX5K</t>
  </si>
  <si>
    <t>NEXTAR 42GR</t>
  </si>
  <si>
    <t>NEXTAR 112GR</t>
  </si>
  <si>
    <t>TDUO</t>
  </si>
  <si>
    <t>TCREAM</t>
  </si>
  <si>
    <t>TSUSU</t>
  </si>
  <si>
    <t>TORA BIKA DUO</t>
  </si>
  <si>
    <t>TORA BIKA CREAMY</t>
  </si>
  <si>
    <t>TORA BIKA SUSU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</si>
</sst>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6" fontId="0" fillId="3" borderId="0" xfId="0" applyNumberFormat="1" applyFill="1" applyAlignment="1">
      <alignment horizontal="centerContinuous"/>
    </xf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16" fontId="2" fillId="3" borderId="2" xfId="0" applyNumberFormat="1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0" xfId="0" applyFont="1" applyFill="1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1" quotePrefix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TO%20MAM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ERIMAAN%20BARANG/JANUAR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HNY/FORM%20TERIMA%20BARAN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7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3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3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ENJUALAN/PENJUALAN%20TGL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A11" t="str">
            <v>NWK500</v>
          </cell>
          <cell r="B11" t="str">
            <v>NABATI WAFER KEJU 8GR</v>
          </cell>
          <cell r="C11">
            <v>80000</v>
          </cell>
          <cell r="D11">
            <v>78400</v>
          </cell>
          <cell r="E11">
            <v>76824</v>
          </cell>
          <cell r="F11">
            <v>76055.759999999995</v>
          </cell>
        </row>
        <row r="12">
          <cell r="A12" t="str">
            <v>NWC500</v>
          </cell>
          <cell r="B12" t="str">
            <v>NABATI WAFER COKLAT 8GR</v>
          </cell>
          <cell r="C12">
            <v>80000</v>
          </cell>
          <cell r="D12">
            <v>78400</v>
          </cell>
          <cell r="E12">
            <v>76824</v>
          </cell>
          <cell r="F12">
            <v>76055.759999999995</v>
          </cell>
        </row>
        <row r="13">
          <cell r="A13" t="str">
            <v>NWK1K</v>
          </cell>
          <cell r="B13" t="str">
            <v>NABATI WAFER KEJU 19GR</v>
          </cell>
          <cell r="C13">
            <v>92500</v>
          </cell>
          <cell r="D13">
            <v>90650</v>
          </cell>
          <cell r="E13">
            <v>88827.75</v>
          </cell>
          <cell r="F13">
            <v>87939.472500000003</v>
          </cell>
        </row>
        <row r="14">
          <cell r="A14" t="str">
            <v>NWC1K</v>
          </cell>
          <cell r="B14" t="str">
            <v>NABATI WAFER COKLAT 19GR</v>
          </cell>
          <cell r="C14">
            <v>92500</v>
          </cell>
          <cell r="D14">
            <v>90650</v>
          </cell>
          <cell r="E14">
            <v>88827.75</v>
          </cell>
          <cell r="F14">
            <v>87939.472500000003</v>
          </cell>
        </row>
        <row r="15">
          <cell r="A15" t="str">
            <v>NWK2K</v>
          </cell>
          <cell r="B15" t="str">
            <v>NABATI WAFER KEJU 52GR</v>
          </cell>
          <cell r="C15">
            <v>96000</v>
          </cell>
          <cell r="D15">
            <v>94080</v>
          </cell>
          <cell r="E15">
            <v>92188.800000000003</v>
          </cell>
          <cell r="F15">
            <v>91266.911999999997</v>
          </cell>
        </row>
        <row r="16">
          <cell r="A16" t="str">
            <v>NWC2K</v>
          </cell>
          <cell r="B16" t="str">
            <v>NABATI WAFER COKLAT 52GR</v>
          </cell>
          <cell r="C16">
            <v>96000</v>
          </cell>
          <cell r="D16">
            <v>94080</v>
          </cell>
          <cell r="E16">
            <v>92188.800000000003</v>
          </cell>
          <cell r="F16">
            <v>91266.911999999997</v>
          </cell>
        </row>
        <row r="17">
          <cell r="A17" t="str">
            <v>NWK5K</v>
          </cell>
          <cell r="B17" t="str">
            <v>NABATI WAFER KEJU 145GR</v>
          </cell>
          <cell r="C17">
            <v>99000</v>
          </cell>
          <cell r="D17">
            <v>97020</v>
          </cell>
          <cell r="E17">
            <v>95069.7</v>
          </cell>
          <cell r="F17">
            <v>94119.002999999997</v>
          </cell>
        </row>
        <row r="18">
          <cell r="A18" t="str">
            <v>NWC5K</v>
          </cell>
          <cell r="B18" t="str">
            <v>NABATI WAFER COKLAT 145GR</v>
          </cell>
          <cell r="C18">
            <v>99000</v>
          </cell>
          <cell r="D18">
            <v>97020</v>
          </cell>
          <cell r="E18">
            <v>95069.7</v>
          </cell>
          <cell r="F18">
            <v>94119.002999999997</v>
          </cell>
        </row>
        <row r="19">
          <cell r="A19" t="str">
            <v>SIPK500</v>
          </cell>
          <cell r="B19" t="str">
            <v>SIIP KEJU 500</v>
          </cell>
          <cell r="C19">
            <v>47000</v>
          </cell>
          <cell r="D19">
            <v>46060</v>
          </cell>
          <cell r="E19">
            <v>45134.1</v>
          </cell>
          <cell r="F19">
            <v>44682.758999999998</v>
          </cell>
        </row>
        <row r="20">
          <cell r="A20" t="str">
            <v>SIPJ500</v>
          </cell>
          <cell r="B20" t="str">
            <v>SIIP JGG 500</v>
          </cell>
          <cell r="C20">
            <v>47000</v>
          </cell>
          <cell r="D20">
            <v>46060</v>
          </cell>
          <cell r="E20">
            <v>45134.1</v>
          </cell>
          <cell r="F20">
            <v>44682.758999999998</v>
          </cell>
        </row>
        <row r="21">
          <cell r="A21" t="str">
            <v>SIPC500</v>
          </cell>
          <cell r="B21" t="str">
            <v>SIIP COKLAT 500</v>
          </cell>
          <cell r="C21">
            <v>47000</v>
          </cell>
          <cell r="D21">
            <v>46060</v>
          </cell>
          <cell r="E21">
            <v>45134.1</v>
          </cell>
          <cell r="F21">
            <v>44682.758999999998</v>
          </cell>
        </row>
        <row r="22">
          <cell r="A22" t="str">
            <v>SIPK2K</v>
          </cell>
          <cell r="B22" t="str">
            <v>SIIP KEJU 2000</v>
          </cell>
          <cell r="C22">
            <v>48000</v>
          </cell>
          <cell r="D22">
            <v>47040</v>
          </cell>
          <cell r="E22">
            <v>46094.400000000001</v>
          </cell>
          <cell r="F22">
            <v>45633.455999999998</v>
          </cell>
        </row>
        <row r="23">
          <cell r="A23" t="str">
            <v>SIPJ2K</v>
          </cell>
          <cell r="B23" t="str">
            <v>SIIP JAGUNG 2000</v>
          </cell>
          <cell r="C23">
            <v>48000</v>
          </cell>
          <cell r="D23">
            <v>47040</v>
          </cell>
          <cell r="E23">
            <v>46094.400000000001</v>
          </cell>
          <cell r="F23">
            <v>45633.455999999998</v>
          </cell>
        </row>
        <row r="24">
          <cell r="A24" t="str">
            <v>SIPC2K</v>
          </cell>
          <cell r="B24" t="str">
            <v>SIIP COKLAT 2000</v>
          </cell>
          <cell r="C24">
            <v>48000</v>
          </cell>
          <cell r="D24">
            <v>47040</v>
          </cell>
          <cell r="E24">
            <v>46094.400000000001</v>
          </cell>
          <cell r="F24">
            <v>45633.455999999998</v>
          </cell>
        </row>
        <row r="25">
          <cell r="A25" t="str">
            <v>ROLK500</v>
          </cell>
          <cell r="B25" t="str">
            <v>ROLL KEJU 500</v>
          </cell>
          <cell r="C25">
            <v>49000</v>
          </cell>
          <cell r="D25">
            <v>48020</v>
          </cell>
          <cell r="E25">
            <v>47054.7</v>
          </cell>
          <cell r="F25">
            <v>46584.152999999998</v>
          </cell>
        </row>
        <row r="26">
          <cell r="A26" t="str">
            <v>ROLK2K</v>
          </cell>
          <cell r="B26" t="str">
            <v>ROLL KEJU 2000</v>
          </cell>
          <cell r="C26">
            <v>96000</v>
          </cell>
          <cell r="D26">
            <v>94080</v>
          </cell>
          <cell r="E26">
            <v>92188.800000000003</v>
          </cell>
          <cell r="F26">
            <v>91266.911999999997</v>
          </cell>
        </row>
        <row r="27">
          <cell r="A27" t="str">
            <v>ROLC2K</v>
          </cell>
          <cell r="B27" t="str">
            <v>ROLL COKLAT 2000</v>
          </cell>
          <cell r="C27">
            <v>96000</v>
          </cell>
          <cell r="D27">
            <v>94080</v>
          </cell>
          <cell r="E27">
            <v>92188.800000000003</v>
          </cell>
          <cell r="F27">
            <v>91266.911999999997</v>
          </cell>
        </row>
        <row r="28">
          <cell r="A28" t="str">
            <v>AHH500</v>
          </cell>
          <cell r="B28" t="str">
            <v>AHH KEJU 500</v>
          </cell>
          <cell r="C28">
            <v>80000</v>
          </cell>
          <cell r="D28">
            <v>78400</v>
          </cell>
          <cell r="E28">
            <v>76824</v>
          </cell>
          <cell r="F28">
            <v>76055.759999999995</v>
          </cell>
        </row>
        <row r="29">
          <cell r="A29" t="str">
            <v>AHH2K</v>
          </cell>
          <cell r="B29" t="str">
            <v>AHH KEJU 2000</v>
          </cell>
          <cell r="C29">
            <v>96000</v>
          </cell>
          <cell r="D29">
            <v>94080</v>
          </cell>
          <cell r="E29">
            <v>92188.800000000003</v>
          </cell>
          <cell r="F29">
            <v>91266.911999999997</v>
          </cell>
        </row>
        <row r="30">
          <cell r="A30" t="str">
            <v>SK500</v>
          </cell>
          <cell r="B30" t="str">
            <v>SELIMUT KEJU 500</v>
          </cell>
          <cell r="C30">
            <v>80000</v>
          </cell>
          <cell r="D30">
            <v>78400</v>
          </cell>
          <cell r="E30">
            <v>76824</v>
          </cell>
          <cell r="F30">
            <v>76055.759999999995</v>
          </cell>
        </row>
        <row r="31">
          <cell r="A31" t="str">
            <v>SC500</v>
          </cell>
          <cell r="B31" t="str">
            <v>SELIMUT COKLAT 500</v>
          </cell>
          <cell r="C31">
            <v>80000</v>
          </cell>
          <cell r="D31">
            <v>78400</v>
          </cell>
          <cell r="E31">
            <v>76824</v>
          </cell>
          <cell r="F31">
            <v>76055.759999999995</v>
          </cell>
        </row>
        <row r="32">
          <cell r="A32" t="str">
            <v>SK2K</v>
          </cell>
          <cell r="B32" t="str">
            <v>SELIMUT KEJU 2000</v>
          </cell>
          <cell r="C32">
            <v>96000</v>
          </cell>
          <cell r="D32">
            <v>94080</v>
          </cell>
          <cell r="E32">
            <v>92188.800000000003</v>
          </cell>
          <cell r="F32">
            <v>91266.911999999997</v>
          </cell>
        </row>
        <row r="33">
          <cell r="A33" t="str">
            <v>SC2K</v>
          </cell>
          <cell r="B33" t="str">
            <v>SELIMUT COKLAT 2000</v>
          </cell>
          <cell r="C33">
            <v>96000</v>
          </cell>
          <cell r="D33">
            <v>94080</v>
          </cell>
          <cell r="E33">
            <v>92188.800000000003</v>
          </cell>
          <cell r="F33">
            <v>91266.911999999997</v>
          </cell>
        </row>
        <row r="34">
          <cell r="A34" t="str">
            <v>PASTA</v>
          </cell>
          <cell r="B34" t="str">
            <v>PASTA</v>
          </cell>
          <cell r="C34">
            <v>110000</v>
          </cell>
          <cell r="D34">
            <v>107800</v>
          </cell>
          <cell r="E34">
            <v>105633</v>
          </cell>
          <cell r="F34">
            <v>104576.67</v>
          </cell>
        </row>
        <row r="35">
          <cell r="A35" t="str">
            <v>NEX2K</v>
          </cell>
          <cell r="B35" t="str">
            <v>NEXTAR 42GR</v>
          </cell>
          <cell r="C35">
            <v>97000</v>
          </cell>
          <cell r="D35">
            <v>95060</v>
          </cell>
          <cell r="E35">
            <v>93149.1</v>
          </cell>
          <cell r="F35">
            <v>92217.609000000011</v>
          </cell>
        </row>
        <row r="36">
          <cell r="A36" t="str">
            <v>NEX5K</v>
          </cell>
          <cell r="B36" t="str">
            <v>NEXTAR 112GR</v>
          </cell>
          <cell r="C36">
            <v>124000</v>
          </cell>
          <cell r="D36">
            <v>121520</v>
          </cell>
          <cell r="E36">
            <v>119077.2</v>
          </cell>
          <cell r="F36">
            <v>117905.63399999999</v>
          </cell>
        </row>
        <row r="37">
          <cell r="D37">
            <v>0</v>
          </cell>
        </row>
        <row r="38">
          <cell r="A38" t="str">
            <v>MINTZP</v>
          </cell>
          <cell r="B38" t="str">
            <v>MINTZ PEPPERMINT</v>
          </cell>
          <cell r="C38">
            <v>78000</v>
          </cell>
          <cell r="D38">
            <v>76440</v>
          </cell>
          <cell r="E38">
            <v>74903.399999999994</v>
          </cell>
          <cell r="F38">
            <v>74154.365999999995</v>
          </cell>
        </row>
        <row r="39">
          <cell r="A39" t="str">
            <v>MINTZD</v>
          </cell>
          <cell r="B39" t="str">
            <v>MINTZ DOUBLEMINT</v>
          </cell>
          <cell r="C39">
            <v>78000</v>
          </cell>
          <cell r="D39">
            <v>76440</v>
          </cell>
          <cell r="E39">
            <v>74903.399999999994</v>
          </cell>
          <cell r="F39">
            <v>74154.365999999995</v>
          </cell>
        </row>
        <row r="40">
          <cell r="A40" t="str">
            <v>BSR</v>
          </cell>
          <cell r="B40" t="str">
            <v>BLASTER NEOPOLITAN</v>
          </cell>
          <cell r="C40">
            <v>103000</v>
          </cell>
          <cell r="D40">
            <v>100940</v>
          </cell>
          <cell r="E40">
            <v>98910.9</v>
          </cell>
          <cell r="F40">
            <v>97921.790999999997</v>
          </cell>
        </row>
        <row r="41">
          <cell r="A41" t="str">
            <v>BPOP</v>
          </cell>
          <cell r="B41" t="str">
            <v>BLASTER POP FRUITFULL</v>
          </cell>
          <cell r="C41">
            <v>47500</v>
          </cell>
          <cell r="D41">
            <v>46550</v>
          </cell>
          <cell r="E41">
            <v>45614.25</v>
          </cell>
          <cell r="F41">
            <v>45158.107499999998</v>
          </cell>
        </row>
        <row r="42">
          <cell r="A42" t="str">
            <v>WFTC500</v>
          </cell>
          <cell r="B42" t="str">
            <v>WAFER TANGGO LONG COKLAT 8GR</v>
          </cell>
          <cell r="C42">
            <v>80000</v>
          </cell>
          <cell r="D42">
            <v>78400</v>
          </cell>
          <cell r="E42">
            <v>76824</v>
          </cell>
          <cell r="F42">
            <v>76055.759999999995</v>
          </cell>
        </row>
        <row r="43">
          <cell r="A43" t="str">
            <v>WFTV500</v>
          </cell>
          <cell r="B43" t="str">
            <v>WAFER TANGGO LONG VANILA 8GR</v>
          </cell>
          <cell r="C43">
            <v>80000</v>
          </cell>
          <cell r="D43">
            <v>78400</v>
          </cell>
          <cell r="E43">
            <v>76824</v>
          </cell>
          <cell r="F43">
            <v>76055.759999999995</v>
          </cell>
        </row>
        <row r="44">
          <cell r="A44" t="str">
            <v>WFTK500</v>
          </cell>
          <cell r="B44" t="str">
            <v>WAFER TANGGO LONG KEJU 8GR</v>
          </cell>
          <cell r="C44">
            <v>80000</v>
          </cell>
          <cell r="D44">
            <v>78400</v>
          </cell>
          <cell r="E44">
            <v>76824</v>
          </cell>
          <cell r="F44">
            <v>76055.759999999995</v>
          </cell>
        </row>
        <row r="45">
          <cell r="A45" t="str">
            <v>WFTC2K</v>
          </cell>
          <cell r="B45" t="str">
            <v>WAFER TANGGO LONG COKLAT 52GR</v>
          </cell>
          <cell r="C45">
            <v>96000</v>
          </cell>
          <cell r="D45">
            <v>94080</v>
          </cell>
          <cell r="E45">
            <v>92188.800000000003</v>
          </cell>
          <cell r="F45">
            <v>91266.911999999997</v>
          </cell>
        </row>
        <row r="46">
          <cell r="A46" t="str">
            <v>WFTV2K</v>
          </cell>
          <cell r="B46" t="str">
            <v>WAFER TANGGO LONG VANILA 52GR</v>
          </cell>
          <cell r="C46">
            <v>96000</v>
          </cell>
          <cell r="D46">
            <v>94080</v>
          </cell>
          <cell r="E46">
            <v>92188.800000000003</v>
          </cell>
          <cell r="F46">
            <v>91266.911999999997</v>
          </cell>
        </row>
        <row r="47">
          <cell r="A47" t="str">
            <v>WFTK2K</v>
          </cell>
          <cell r="B47" t="str">
            <v>WAFER TANGGO LONG KEJU 52GR</v>
          </cell>
          <cell r="C47">
            <v>96000</v>
          </cell>
          <cell r="D47">
            <v>94080</v>
          </cell>
          <cell r="E47">
            <v>92188.800000000003</v>
          </cell>
          <cell r="F47">
            <v>91266.911999999997</v>
          </cell>
        </row>
        <row r="48">
          <cell r="A48" t="str">
            <v>WFLC500</v>
          </cell>
          <cell r="B48" t="str">
            <v>WAFFLE CRUNCHOX 8GR</v>
          </cell>
          <cell r="C48">
            <v>49000</v>
          </cell>
          <cell r="D48">
            <v>48020</v>
          </cell>
          <cell r="E48">
            <v>47054.7</v>
          </cell>
          <cell r="F48">
            <v>46584.152999999998</v>
          </cell>
        </row>
        <row r="49">
          <cell r="D49">
            <v>0</v>
          </cell>
        </row>
        <row r="50">
          <cell r="A50" t="str">
            <v>INUL</v>
          </cell>
          <cell r="B50" t="str">
            <v>INUL JELLY</v>
          </cell>
          <cell r="C50">
            <v>18250</v>
          </cell>
          <cell r="D50">
            <v>17885</v>
          </cell>
          <cell r="E50">
            <v>17525.474999999999</v>
          </cell>
          <cell r="F50">
            <v>17350.220249999998</v>
          </cell>
        </row>
        <row r="51">
          <cell r="A51" t="str">
            <v>PUDING</v>
          </cell>
          <cell r="B51" t="str">
            <v>DONALD PUDING CUP</v>
          </cell>
          <cell r="C51">
            <v>19000</v>
          </cell>
          <cell r="D51">
            <v>18620</v>
          </cell>
          <cell r="E51">
            <v>18245.7</v>
          </cell>
          <cell r="F51">
            <v>18063.243000000002</v>
          </cell>
        </row>
        <row r="52">
          <cell r="A52" t="str">
            <v>TUPER</v>
          </cell>
          <cell r="B52" t="str">
            <v>DONALD BIG STICK TUPPERWARE</v>
          </cell>
          <cell r="C52">
            <v>56500</v>
          </cell>
          <cell r="D52">
            <v>55370</v>
          </cell>
          <cell r="E52">
            <v>54256.95</v>
          </cell>
          <cell r="F52">
            <v>53714.380499999999</v>
          </cell>
        </row>
        <row r="53">
          <cell r="A53" t="str">
            <v>TOPLES</v>
          </cell>
          <cell r="B53" t="str">
            <v>DONALD BIG STICK TOPLES</v>
          </cell>
          <cell r="C53">
            <v>49000</v>
          </cell>
          <cell r="D53">
            <v>48020</v>
          </cell>
          <cell r="E53">
            <v>47054.7</v>
          </cell>
          <cell r="F53">
            <v>46584.152999999998</v>
          </cell>
        </row>
        <row r="54">
          <cell r="A54" t="str">
            <v>PAK</v>
          </cell>
          <cell r="B54" t="str">
            <v>DONALD BIG STICK PAK</v>
          </cell>
          <cell r="C54">
            <v>43000</v>
          </cell>
          <cell r="D54">
            <v>42140</v>
          </cell>
          <cell r="E54">
            <v>41292.9</v>
          </cell>
          <cell r="F54">
            <v>40879.971000000005</v>
          </cell>
        </row>
        <row r="55">
          <cell r="A55" t="str">
            <v>REBO</v>
          </cell>
          <cell r="B55" t="str">
            <v>KUACI REBO</v>
          </cell>
          <cell r="C55">
            <v>79000</v>
          </cell>
          <cell r="D55">
            <v>77420</v>
          </cell>
          <cell r="E55">
            <v>75863.7</v>
          </cell>
          <cell r="F55">
            <v>75105.062999999995</v>
          </cell>
        </row>
        <row r="56">
          <cell r="A56" t="str">
            <v>NORI</v>
          </cell>
          <cell r="B56" t="str">
            <v>NORISOBA</v>
          </cell>
          <cell r="C56">
            <v>17500</v>
          </cell>
          <cell r="D56">
            <v>17150</v>
          </cell>
          <cell r="E56">
            <v>16805.25</v>
          </cell>
          <cell r="F56">
            <v>16637.197499999998</v>
          </cell>
        </row>
        <row r="57">
          <cell r="A57" t="str">
            <v>YAKI</v>
          </cell>
          <cell r="B57" t="str">
            <v>YAKISOBA</v>
          </cell>
          <cell r="C57">
            <v>17500</v>
          </cell>
          <cell r="D57">
            <v>17150</v>
          </cell>
          <cell r="E57">
            <v>16805.25</v>
          </cell>
          <cell r="F57">
            <v>16637.197499999998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4</v>
          </cell>
          <cell r="E9">
            <v>312000</v>
          </cell>
          <cell r="G9">
            <v>12037.490276233875</v>
          </cell>
        </row>
        <row r="10">
          <cell r="B10" t="str">
            <v>NWC500</v>
          </cell>
          <cell r="C10" t="str">
            <v>NABATI WAFER COKLAT 8GR</v>
          </cell>
          <cell r="D10">
            <v>1</v>
          </cell>
          <cell r="E10">
            <v>78000</v>
          </cell>
          <cell r="G10">
            <v>3158.5550122376299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17</v>
          </cell>
          <cell r="E13">
            <v>1568800</v>
          </cell>
          <cell r="G13">
            <v>42359.33367399397</v>
          </cell>
        </row>
        <row r="14">
          <cell r="B14" t="str">
            <v>NWC2K</v>
          </cell>
          <cell r="C14" t="str">
            <v>NABATI WAFER COKLAT 52GR</v>
          </cell>
          <cell r="D14">
            <v>3</v>
          </cell>
          <cell r="E14">
            <v>276000</v>
          </cell>
          <cell r="G14">
            <v>6154.6503428571305</v>
          </cell>
        </row>
        <row r="15">
          <cell r="B15" t="str">
            <v>NWK5K</v>
          </cell>
          <cell r="C15" t="str">
            <v>NABATI WAFER KEJU 145GR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NWC5K</v>
          </cell>
          <cell r="C16" t="str">
            <v>NABATI WAFER COKLAT 145GR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SIPK500</v>
          </cell>
          <cell r="C17" t="str">
            <v>SIIP KEJU 500</v>
          </cell>
          <cell r="D17">
            <v>1</v>
          </cell>
          <cell r="E17">
            <v>45500</v>
          </cell>
          <cell r="G17">
            <v>4309.3725690584688</v>
          </cell>
        </row>
        <row r="18">
          <cell r="B18" t="str">
            <v>SIPJ500</v>
          </cell>
          <cell r="C18" t="str">
            <v>SIIP JGG 500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SIPC500</v>
          </cell>
          <cell r="C19" t="str">
            <v>SIIP COKLAT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SIPK2K</v>
          </cell>
          <cell r="C20" t="str">
            <v>SIIP KEJU 2000</v>
          </cell>
          <cell r="D20">
            <v>1</v>
          </cell>
          <cell r="E20">
            <v>46000</v>
          </cell>
          <cell r="G20">
            <v>3306.6876769033406</v>
          </cell>
        </row>
        <row r="21">
          <cell r="B21" t="str">
            <v>SIPJ2K</v>
          </cell>
          <cell r="C21" t="str">
            <v>SIIP JAGUNG 2000</v>
          </cell>
          <cell r="D21">
            <v>1</v>
          </cell>
          <cell r="E21">
            <v>46000</v>
          </cell>
          <cell r="G21">
            <v>3306.6876769033406</v>
          </cell>
        </row>
        <row r="22">
          <cell r="B22" t="str">
            <v>SIPC2K</v>
          </cell>
          <cell r="C22" t="str">
            <v>SIIP COKLAT 2000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ROLK500</v>
          </cell>
          <cell r="C23" t="str">
            <v>ROLL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ROLK2K</v>
          </cell>
          <cell r="C24" t="str">
            <v>ROLL KEJU 2000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ROLC2K</v>
          </cell>
          <cell r="C25" t="str">
            <v>ROLL COKLAT 2000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AHH500</v>
          </cell>
          <cell r="C26" t="str">
            <v>AHH KEJU 500</v>
          </cell>
          <cell r="D26">
            <v>1</v>
          </cell>
          <cell r="E26">
            <v>78000</v>
          </cell>
          <cell r="G26">
            <v>3009.3725690584688</v>
          </cell>
        </row>
        <row r="27">
          <cell r="B27" t="str">
            <v>AHH2K</v>
          </cell>
          <cell r="C27" t="str">
            <v>AHH KEJU 2000</v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SK500</v>
          </cell>
          <cell r="C28" t="str">
            <v>SELIMUT KEJU 500</v>
          </cell>
          <cell r="D28">
            <v>6</v>
          </cell>
          <cell r="E28">
            <v>469500</v>
          </cell>
          <cell r="G28">
            <v>19862.025195680559</v>
          </cell>
        </row>
        <row r="29">
          <cell r="B29" t="str">
            <v>SK2K</v>
          </cell>
          <cell r="C29" t="str">
            <v>SELIMUT KEJU 2000</v>
          </cell>
          <cell r="D29">
            <v>2</v>
          </cell>
          <cell r="E29">
            <v>185500</v>
          </cell>
          <cell r="G29">
            <v>5603.1002285714203</v>
          </cell>
        </row>
        <row r="30">
          <cell r="B30" t="str">
            <v>SC500</v>
          </cell>
          <cell r="C30" t="str">
            <v>SELIMUT COKLAT 500</v>
          </cell>
          <cell r="D30">
            <v>4</v>
          </cell>
          <cell r="E30">
            <v>313000</v>
          </cell>
          <cell r="G30">
            <v>13241.350130453706</v>
          </cell>
        </row>
        <row r="31">
          <cell r="B31" t="str">
            <v>PASTA</v>
          </cell>
          <cell r="C31" t="str">
            <v>PASTA</v>
          </cell>
          <cell r="D31">
            <v>1</v>
          </cell>
          <cell r="E31">
            <v>106000</v>
          </cell>
          <cell r="G31">
            <v>2706.6876769033261</v>
          </cell>
        </row>
        <row r="32">
          <cell r="B32" t="str">
            <v>NEX</v>
          </cell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MINTZP</v>
          </cell>
          <cell r="C34" t="str">
            <v>MINTZ PEPPERMINT</v>
          </cell>
          <cell r="D34">
            <v>2</v>
          </cell>
          <cell r="E34">
            <v>148000</v>
          </cell>
          <cell r="G34">
            <v>1750.0003999999899</v>
          </cell>
        </row>
        <row r="35">
          <cell r="B35" t="str">
            <v>MINTZD</v>
          </cell>
          <cell r="C35" t="str">
            <v>MINTZ DOUBLEMINT</v>
          </cell>
          <cell r="D35">
            <v>2</v>
          </cell>
          <cell r="E35">
            <v>148000</v>
          </cell>
          <cell r="G35">
            <v>1749.9996000000101</v>
          </cell>
        </row>
        <row r="36">
          <cell r="B36" t="str">
            <v>BSR</v>
          </cell>
          <cell r="C36" t="str">
            <v>BLASTER NEOPOLITAN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BPOP</v>
          </cell>
          <cell r="C37" t="str">
            <v>BLASTER POP FRUITFULL</v>
          </cell>
          <cell r="D37">
            <v>1</v>
          </cell>
          <cell r="E37">
            <v>45000</v>
          </cell>
          <cell r="G37">
            <v>637.50033333333704</v>
          </cell>
        </row>
        <row r="38">
          <cell r="B38" t="str">
            <v>WFTC500</v>
          </cell>
          <cell r="C38" t="str">
            <v>WAFER TANGGO LONG COKLAT 8GR</v>
          </cell>
          <cell r="D38">
            <v>0</v>
          </cell>
          <cell r="E38">
            <v>0</v>
          </cell>
          <cell r="G38">
            <v>0</v>
          </cell>
        </row>
        <row r="39">
          <cell r="B39" t="str">
            <v>WFTV500</v>
          </cell>
          <cell r="C39" t="str">
            <v>WAFER TANGGO LONG VANILA 8GR</v>
          </cell>
          <cell r="D39">
            <v>0</v>
          </cell>
          <cell r="E39">
            <v>0</v>
          </cell>
          <cell r="G39">
            <v>0</v>
          </cell>
        </row>
        <row r="40">
          <cell r="B40" t="str">
            <v>WFTK500</v>
          </cell>
          <cell r="C40" t="str">
            <v>WAFER TANGGO LONG KEJU 8GR</v>
          </cell>
          <cell r="D40">
            <v>2</v>
          </cell>
          <cell r="E40">
            <v>154000</v>
          </cell>
          <cell r="G40">
            <v>4648</v>
          </cell>
        </row>
        <row r="41">
          <cell r="B41" t="str">
            <v>WFTC2K</v>
          </cell>
          <cell r="C41" t="str">
            <v>WAFER TANGGO LONG COKLAT 52GR</v>
          </cell>
          <cell r="D41">
            <v>2</v>
          </cell>
          <cell r="E41">
            <v>180000</v>
          </cell>
          <cell r="G41">
            <v>3458.6510000000126</v>
          </cell>
        </row>
        <row r="42">
          <cell r="B42" t="str">
            <v>WFTV2K</v>
          </cell>
          <cell r="C42" t="str">
            <v>WAFER TANGGO LONG VANILA 52GR</v>
          </cell>
          <cell r="D42">
            <v>0</v>
          </cell>
          <cell r="E42">
            <v>0</v>
          </cell>
          <cell r="G42">
            <v>0</v>
          </cell>
        </row>
        <row r="43">
          <cell r="B43" t="str">
            <v>WFTK2K</v>
          </cell>
          <cell r="C43" t="str">
            <v>WAFER TANGGO LONG KEJU 52GR</v>
          </cell>
          <cell r="D43">
            <v>1</v>
          </cell>
          <cell r="E43">
            <v>90000</v>
          </cell>
          <cell r="G43">
            <v>2721.1999999999971</v>
          </cell>
        </row>
        <row r="44">
          <cell r="B44" t="str">
            <v>WFLC500</v>
          </cell>
          <cell r="C44" t="str">
            <v>WAFFLE CRUNCHOX 8GR</v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 t="str">
            <v>INUL</v>
          </cell>
          <cell r="C46" t="str">
            <v>INUL JELLY</v>
          </cell>
          <cell r="D46">
            <v>2</v>
          </cell>
          <cell r="E46">
            <v>35000</v>
          </cell>
          <cell r="G46">
            <v>2000</v>
          </cell>
        </row>
        <row r="47">
          <cell r="B47" t="str">
            <v>PUDING</v>
          </cell>
          <cell r="C47" t="str">
            <v>DONALD PUDING CUP</v>
          </cell>
          <cell r="D47">
            <v>0</v>
          </cell>
          <cell r="E47">
            <v>0</v>
          </cell>
          <cell r="G47">
            <v>0</v>
          </cell>
        </row>
        <row r="48">
          <cell r="B48" t="str">
            <v>TUPER</v>
          </cell>
          <cell r="C48" t="str">
            <v>DONALD BIG STICK TUPPERWARE</v>
          </cell>
          <cell r="D48">
            <v>1</v>
          </cell>
          <cell r="E48">
            <v>54000</v>
          </cell>
          <cell r="G48">
            <v>1000</v>
          </cell>
        </row>
        <row r="49">
          <cell r="B49" t="str">
            <v>TOPLES</v>
          </cell>
          <cell r="C49" t="str">
            <v>DONALD BIG STICK TOPLES</v>
          </cell>
          <cell r="D49">
            <v>0</v>
          </cell>
          <cell r="E49">
            <v>0</v>
          </cell>
          <cell r="G49">
            <v>0</v>
          </cell>
        </row>
        <row r="50">
          <cell r="B50" t="str">
            <v>PAK</v>
          </cell>
          <cell r="C50" t="str">
            <v>DONALD BIG STICK PAK</v>
          </cell>
          <cell r="D50">
            <v>1</v>
          </cell>
          <cell r="E50">
            <v>41000</v>
          </cell>
          <cell r="G50">
            <v>1000</v>
          </cell>
        </row>
        <row r="51">
          <cell r="B51" t="str">
            <v>ICE</v>
          </cell>
          <cell r="C51" t="str">
            <v>LPK ICE CREAM</v>
          </cell>
          <cell r="D51">
            <v>0</v>
          </cell>
          <cell r="E51">
            <v>0</v>
          </cell>
          <cell r="G51">
            <v>0</v>
          </cell>
        </row>
        <row r="52">
          <cell r="B52" t="str">
            <v>JELLY</v>
          </cell>
          <cell r="C52" t="str">
            <v>LPK JELLY BOX DUS</v>
          </cell>
          <cell r="D52">
            <v>0</v>
          </cell>
          <cell r="E52">
            <v>0</v>
          </cell>
          <cell r="G52">
            <v>0</v>
          </cell>
        </row>
        <row r="53">
          <cell r="B53" t="str">
            <v>MEISES</v>
          </cell>
          <cell r="C53" t="str">
            <v>NITCHI MEISES</v>
          </cell>
          <cell r="D53">
            <v>0</v>
          </cell>
          <cell r="E53">
            <v>0</v>
          </cell>
          <cell r="G53">
            <v>0</v>
          </cell>
        </row>
        <row r="54">
          <cell r="B54" t="str">
            <v>NITCHI</v>
          </cell>
          <cell r="C54" t="str">
            <v>WASUKA NITCHI PASTA</v>
          </cell>
          <cell r="D54">
            <v>0</v>
          </cell>
          <cell r="E54">
            <v>0</v>
          </cell>
          <cell r="G54">
            <v>0</v>
          </cell>
        </row>
        <row r="55">
          <cell r="B55" t="str">
            <v>LAZERY</v>
          </cell>
          <cell r="C55" t="str">
            <v>LAZERY</v>
          </cell>
          <cell r="D55">
            <v>0</v>
          </cell>
          <cell r="E55">
            <v>0</v>
          </cell>
          <cell r="G55">
            <v>0</v>
          </cell>
        </row>
        <row r="56">
          <cell r="B56" t="str">
            <v>CHIKORY</v>
          </cell>
          <cell r="C56" t="str">
            <v>CHIKORY</v>
          </cell>
          <cell r="D56">
            <v>0</v>
          </cell>
          <cell r="E56">
            <v>0</v>
          </cell>
          <cell r="G56">
            <v>0</v>
          </cell>
        </row>
        <row r="57">
          <cell r="B57" t="str">
            <v>BABALON</v>
          </cell>
          <cell r="C57" t="str">
            <v>BABALOON</v>
          </cell>
          <cell r="D57">
            <v>0</v>
          </cell>
          <cell r="E57">
            <v>0</v>
          </cell>
          <cell r="G57">
            <v>0</v>
          </cell>
        </row>
        <row r="58">
          <cell r="B58" t="str">
            <v>MAGNUS</v>
          </cell>
          <cell r="C58" t="str">
            <v>MAGNUS</v>
          </cell>
          <cell r="D58">
            <v>0</v>
          </cell>
          <cell r="E58">
            <v>0</v>
          </cell>
          <cell r="G58">
            <v>0</v>
          </cell>
        </row>
        <row r="59">
          <cell r="B59" t="str">
            <v>REBO</v>
          </cell>
          <cell r="C59" t="str">
            <v>KUACI REBO</v>
          </cell>
          <cell r="D59">
            <v>1</v>
          </cell>
          <cell r="E59">
            <v>76000</v>
          </cell>
          <cell r="G59">
            <v>1000</v>
          </cell>
        </row>
        <row r="60">
          <cell r="B60" t="str">
            <v>CHOKU</v>
          </cell>
          <cell r="C60" t="str">
            <v>WASUKA CHOKU</v>
          </cell>
          <cell r="D60">
            <v>0</v>
          </cell>
          <cell r="E60">
            <v>0</v>
          </cell>
          <cell r="G60">
            <v>0</v>
          </cell>
        </row>
        <row r="61">
          <cell r="B61" t="str">
            <v>KITA</v>
          </cell>
          <cell r="C61" t="str">
            <v>WAFER JUMBO KITA</v>
          </cell>
          <cell r="D61">
            <v>0</v>
          </cell>
          <cell r="E61">
            <v>0</v>
          </cell>
          <cell r="G61">
            <v>0</v>
          </cell>
        </row>
        <row r="62">
          <cell r="B62" t="str">
            <v>PANG</v>
          </cell>
          <cell r="C62" t="str">
            <v>PANGPANG KOREA</v>
          </cell>
          <cell r="D62">
            <v>0</v>
          </cell>
          <cell r="E62">
            <v>0</v>
          </cell>
          <cell r="G62">
            <v>0</v>
          </cell>
        </row>
        <row r="63">
          <cell r="B63" t="str">
            <v>NGETOP</v>
          </cell>
          <cell r="C63" t="str">
            <v>NGETOP</v>
          </cell>
          <cell r="D63">
            <v>0</v>
          </cell>
          <cell r="E63">
            <v>0</v>
          </cell>
          <cell r="G63">
            <v>0</v>
          </cell>
        </row>
        <row r="64">
          <cell r="B64" t="str">
            <v>ASTAGA</v>
          </cell>
          <cell r="C64" t="str">
            <v>ASTAGA</v>
          </cell>
          <cell r="D64">
            <v>0</v>
          </cell>
          <cell r="E64">
            <v>0</v>
          </cell>
          <cell r="G64">
            <v>0</v>
          </cell>
        </row>
        <row r="65">
          <cell r="B65" t="str">
            <v>NORI</v>
          </cell>
          <cell r="C65" t="str">
            <v>NORISOBA</v>
          </cell>
          <cell r="D65">
            <v>0</v>
          </cell>
          <cell r="E65">
            <v>0</v>
          </cell>
          <cell r="G65">
            <v>0</v>
          </cell>
        </row>
        <row r="66">
          <cell r="B66" t="str">
            <v>YAKI</v>
          </cell>
          <cell r="C66" t="str">
            <v>YAKISOBA</v>
          </cell>
          <cell r="D66">
            <v>0</v>
          </cell>
          <cell r="E66">
            <v>0</v>
          </cell>
          <cell r="G66">
            <v>0</v>
          </cell>
        </row>
        <row r="67">
          <cell r="B67" t="str">
            <v>ASYIK</v>
          </cell>
          <cell r="C67" t="str">
            <v>ASYIK</v>
          </cell>
          <cell r="D67">
            <v>0</v>
          </cell>
          <cell r="E67">
            <v>0</v>
          </cell>
          <cell r="G6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NWC500</v>
          </cell>
          <cell r="C9" t="str">
            <v>NABATI WAFER COKLAT 8GR</v>
          </cell>
          <cell r="D9">
            <v>1</v>
          </cell>
          <cell r="E9">
            <v>76824</v>
          </cell>
          <cell r="G9">
            <v>1982.5550122376299</v>
          </cell>
        </row>
        <row r="10">
          <cell r="B10" t="str">
            <v>NWK1K</v>
          </cell>
          <cell r="C10" t="str">
            <v>NABATI WAFER KEJU 19GR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NWC1K</v>
          </cell>
          <cell r="C11" t="str">
            <v>NABATI WAFER COKLAT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NWK2K</v>
          </cell>
          <cell r="C12" t="str">
            <v>NABATI WAFER KEJU 52GR</v>
          </cell>
          <cell r="D12">
            <v>12</v>
          </cell>
          <cell r="E12">
            <v>1106100</v>
          </cell>
          <cell r="G12">
            <v>28612.470828701626</v>
          </cell>
        </row>
        <row r="13">
          <cell r="B13" t="str">
            <v>NWC2K</v>
          </cell>
          <cell r="C13" t="str">
            <v>NABATI WAFER COKLAT 52GR</v>
          </cell>
          <cell r="D13">
            <v>7</v>
          </cell>
          <cell r="E13">
            <v>648400</v>
          </cell>
          <cell r="G13">
            <v>18760.850799999971</v>
          </cell>
        </row>
        <row r="14">
          <cell r="B14" t="str">
            <v>NWK5K</v>
          </cell>
          <cell r="C14" t="str">
            <v>NABATI WAFER KEJU 145GR</v>
          </cell>
          <cell r="D14">
            <v>1</v>
          </cell>
          <cell r="E14">
            <v>95000</v>
          </cell>
          <cell r="G14">
            <v>2613.5451681211416</v>
          </cell>
        </row>
        <row r="15">
          <cell r="B15" t="str">
            <v>NWC5K</v>
          </cell>
          <cell r="C15" t="str">
            <v>NABATI WAFER COKLAT 145GR</v>
          </cell>
          <cell r="D15">
            <v>1</v>
          </cell>
          <cell r="E15">
            <v>95000</v>
          </cell>
          <cell r="G15">
            <v>2361.8252395209565</v>
          </cell>
        </row>
        <row r="16">
          <cell r="B16" t="str">
            <v>SIPK500</v>
          </cell>
          <cell r="C16" t="str">
            <v>SIIP KEJU 500</v>
          </cell>
          <cell r="D16">
            <v>3</v>
          </cell>
          <cell r="E16">
            <v>135268.20000000001</v>
          </cell>
          <cell r="G16">
            <v>11696.317707175403</v>
          </cell>
        </row>
        <row r="17">
          <cell r="B17" t="str">
            <v>SIPJ500</v>
          </cell>
          <cell r="C17" t="str">
            <v>SIIP JGG 500</v>
          </cell>
          <cell r="D17">
            <v>3</v>
          </cell>
          <cell r="E17">
            <v>135268.20000000001</v>
          </cell>
          <cell r="G17">
            <v>11146.84045052799</v>
          </cell>
        </row>
        <row r="18">
          <cell r="B18" t="str">
            <v>SIPC500</v>
          </cell>
          <cell r="C18" t="str">
            <v>SIIP COKLAT 500</v>
          </cell>
          <cell r="D18">
            <v>3</v>
          </cell>
          <cell r="E18">
            <v>135268.20000000001</v>
          </cell>
          <cell r="G18">
            <v>11146.84045052799</v>
          </cell>
        </row>
        <row r="19">
          <cell r="B19" t="str">
            <v>SIPK2K</v>
          </cell>
          <cell r="C19" t="str">
            <v>SIIP KEJU 2000</v>
          </cell>
          <cell r="D19">
            <v>3</v>
          </cell>
          <cell r="E19">
            <v>138500</v>
          </cell>
          <cell r="G19">
            <v>10420.063030710022</v>
          </cell>
        </row>
        <row r="20">
          <cell r="B20" t="str">
            <v>SIPJ2K</v>
          </cell>
          <cell r="C20" t="str">
            <v>SIIP JAGUNG 2000</v>
          </cell>
          <cell r="D20">
            <v>1</v>
          </cell>
          <cell r="E20">
            <v>46000</v>
          </cell>
          <cell r="G20">
            <v>3306.6876769033406</v>
          </cell>
        </row>
        <row r="21">
          <cell r="B21" t="str">
            <v>SIPC2K</v>
          </cell>
          <cell r="C21" t="str">
            <v>SIIP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ROLK500</v>
          </cell>
          <cell r="C22" t="str">
            <v>ROLL KEJU 500</v>
          </cell>
          <cell r="D22">
            <v>3</v>
          </cell>
          <cell r="E22">
            <v>140609.4</v>
          </cell>
          <cell r="G22">
            <v>11581.625179512535</v>
          </cell>
        </row>
        <row r="23">
          <cell r="B23" t="str">
            <v>ROLK2K</v>
          </cell>
          <cell r="C23" t="str">
            <v>ROLL KEJU 2000</v>
          </cell>
          <cell r="D23">
            <v>1</v>
          </cell>
          <cell r="E23">
            <v>92200</v>
          </cell>
          <cell r="G23">
            <v>2558.5550122376299</v>
          </cell>
        </row>
        <row r="24">
          <cell r="B24" t="str">
            <v>ROLC2K</v>
          </cell>
          <cell r="C24" t="str">
            <v>ROLL COKLAT 2000</v>
          </cell>
          <cell r="D24">
            <v>1</v>
          </cell>
          <cell r="E24">
            <v>92200</v>
          </cell>
          <cell r="G24">
            <v>2558.5550122376299</v>
          </cell>
        </row>
        <row r="25">
          <cell r="B25" t="str">
            <v>AHH500</v>
          </cell>
          <cell r="C25" t="str">
            <v>AHH KEJU 500</v>
          </cell>
          <cell r="D25">
            <v>5</v>
          </cell>
          <cell r="E25">
            <v>388148</v>
          </cell>
          <cell r="G25">
            <v>13194.862845292344</v>
          </cell>
        </row>
        <row r="26">
          <cell r="B26" t="str">
            <v>AHH2K</v>
          </cell>
          <cell r="C26" t="str">
            <v>AHH KEJU 2000</v>
          </cell>
          <cell r="D26">
            <v>1</v>
          </cell>
          <cell r="E26">
            <v>92200</v>
          </cell>
          <cell r="G26">
            <v>2358.4076055035111</v>
          </cell>
        </row>
        <row r="27">
          <cell r="B27" t="str">
            <v>SK500</v>
          </cell>
          <cell r="C27" t="str">
            <v>SELIMUT KEJU 500</v>
          </cell>
          <cell r="D27">
            <v>1</v>
          </cell>
          <cell r="E27">
            <v>76824</v>
          </cell>
          <cell r="G27">
            <v>1884.3375326134264</v>
          </cell>
        </row>
        <row r="28">
          <cell r="B28" t="str">
            <v>SC500</v>
          </cell>
          <cell r="C28" t="str">
            <v>SELIMUT COKLAT 500</v>
          </cell>
          <cell r="D28">
            <v>1</v>
          </cell>
          <cell r="E28">
            <v>76824</v>
          </cell>
          <cell r="G28">
            <v>1884.3375326134264</v>
          </cell>
        </row>
        <row r="29">
          <cell r="B29" t="str">
            <v>SK2K</v>
          </cell>
          <cell r="C29" t="str">
            <v>SELIMUT KEJU 2000</v>
          </cell>
          <cell r="D29">
            <v>2</v>
          </cell>
          <cell r="E29">
            <v>185200</v>
          </cell>
          <cell r="G29">
            <v>5303.1002285714203</v>
          </cell>
        </row>
        <row r="30">
          <cell r="B30" t="str">
            <v>PASTA</v>
          </cell>
          <cell r="C30" t="str">
            <v>PASTA</v>
          </cell>
          <cell r="D30">
            <v>1</v>
          </cell>
          <cell r="E30">
            <v>107000</v>
          </cell>
          <cell r="G30">
            <v>3706.6876769033261</v>
          </cell>
        </row>
        <row r="31">
          <cell r="B31" t="str">
            <v>NEX2K</v>
          </cell>
          <cell r="C31" t="str">
            <v>NEXTAR 42GR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NEX5K</v>
          </cell>
          <cell r="C32" t="str">
            <v>NEXTAR 112GR</v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MINTZP</v>
          </cell>
          <cell r="C34" t="str">
            <v>MINTZ PEPPERMINT</v>
          </cell>
          <cell r="D34">
            <v>2</v>
          </cell>
          <cell r="E34">
            <v>150903.4</v>
          </cell>
          <cell r="G34">
            <v>4653.4003999999841</v>
          </cell>
        </row>
        <row r="35">
          <cell r="B35" t="str">
            <v>MINTZD</v>
          </cell>
          <cell r="C35" t="str">
            <v>MINTZ DOUBLEMINT</v>
          </cell>
          <cell r="D35">
            <v>1</v>
          </cell>
          <cell r="E35">
            <v>74903.399999999994</v>
          </cell>
          <cell r="G35">
            <v>1778.3997999999992</v>
          </cell>
        </row>
        <row r="36">
          <cell r="B36" t="str">
            <v>BSR</v>
          </cell>
          <cell r="C36" t="str">
            <v>BLASTER NEOPOLITAN</v>
          </cell>
          <cell r="D36">
            <v>1</v>
          </cell>
          <cell r="E36">
            <v>100000</v>
          </cell>
          <cell r="G36">
            <v>2500.0780000000086</v>
          </cell>
        </row>
        <row r="37">
          <cell r="B37" t="str">
            <v>BPOP</v>
          </cell>
          <cell r="C37" t="str">
            <v>BLASTER POP FRUITFULL</v>
          </cell>
          <cell r="D37">
            <v>2</v>
          </cell>
          <cell r="E37">
            <v>91000</v>
          </cell>
          <cell r="G37">
            <v>2275.0006666666741</v>
          </cell>
        </row>
        <row r="38">
          <cell r="B38" t="str">
            <v>WFTC500</v>
          </cell>
          <cell r="C38" t="str">
            <v>WAFER TANGGO LONG COKLAT 8GR</v>
          </cell>
          <cell r="D38">
            <v>2</v>
          </cell>
          <cell r="E38">
            <v>154000</v>
          </cell>
          <cell r="G38">
            <v>3460</v>
          </cell>
        </row>
        <row r="39">
          <cell r="B39" t="str">
            <v>WFTV500</v>
          </cell>
          <cell r="C39" t="str">
            <v>WAFER TANGGO LONG VANILA 8GR</v>
          </cell>
          <cell r="D39">
            <v>2</v>
          </cell>
          <cell r="E39">
            <v>154000</v>
          </cell>
          <cell r="G39">
            <v>3460</v>
          </cell>
        </row>
        <row r="40">
          <cell r="B40" t="str">
            <v>WFTK500</v>
          </cell>
          <cell r="C40" t="str">
            <v>WAFER TANGGO LONG KEJU 8GR</v>
          </cell>
          <cell r="D40">
            <v>3</v>
          </cell>
          <cell r="E40">
            <v>231000</v>
          </cell>
          <cell r="G40">
            <v>6972</v>
          </cell>
        </row>
        <row r="41">
          <cell r="B41" t="str">
            <v>WFTC2K</v>
          </cell>
          <cell r="C41" t="str">
            <v>WAFER TANGGO LONG COKLAT 52GR</v>
          </cell>
          <cell r="D41">
            <v>10</v>
          </cell>
          <cell r="E41">
            <v>902000</v>
          </cell>
          <cell r="G41">
            <v>19293.255000000063</v>
          </cell>
        </row>
        <row r="42">
          <cell r="B42" t="str">
            <v>WFTV2K</v>
          </cell>
          <cell r="C42" t="str">
            <v>WAFER TANGGO LONG VANILA 52GR</v>
          </cell>
          <cell r="D42">
            <v>5</v>
          </cell>
          <cell r="E42">
            <v>450000</v>
          </cell>
          <cell r="G42">
            <v>8646.7474999999831</v>
          </cell>
        </row>
        <row r="43">
          <cell r="B43" t="str">
            <v>WFTK2K</v>
          </cell>
          <cell r="C43" t="str">
            <v>WAFER TANGGO LONG KEJU 52GR</v>
          </cell>
          <cell r="D43">
            <v>4</v>
          </cell>
          <cell r="E43">
            <v>360000</v>
          </cell>
          <cell r="G43">
            <v>10884.799999999988</v>
          </cell>
        </row>
        <row r="44">
          <cell r="B44" t="str">
            <v>WFLC500</v>
          </cell>
          <cell r="C44" t="str">
            <v>WAFFLE CRUNCHOX 8GR</v>
          </cell>
          <cell r="D44">
            <v>1</v>
          </cell>
          <cell r="E44">
            <v>47000</v>
          </cell>
          <cell r="G44">
            <v>687.5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 t="str">
            <v>INUL</v>
          </cell>
          <cell r="C46" t="str">
            <v>INUL JELLY</v>
          </cell>
          <cell r="D46">
            <v>1</v>
          </cell>
          <cell r="E46">
            <v>17500</v>
          </cell>
          <cell r="G46">
            <v>1000</v>
          </cell>
        </row>
        <row r="47">
          <cell r="B47" t="str">
            <v>PUDING</v>
          </cell>
          <cell r="C47" t="str">
            <v>DONALD PUDING CUP</v>
          </cell>
          <cell r="D47">
            <v>5</v>
          </cell>
          <cell r="E47">
            <v>92500</v>
          </cell>
          <cell r="G47">
            <v>6612.9032258064581</v>
          </cell>
        </row>
        <row r="48">
          <cell r="B48" t="str">
            <v>TUPER</v>
          </cell>
          <cell r="C48" t="str">
            <v>DONALD BIG STICK TUPPERWARE</v>
          </cell>
          <cell r="D48">
            <v>1</v>
          </cell>
          <cell r="E48">
            <v>54000</v>
          </cell>
          <cell r="G48">
            <v>1000</v>
          </cell>
        </row>
        <row r="49">
          <cell r="B49" t="str">
            <v>TOPLES</v>
          </cell>
          <cell r="C49" t="str">
            <v>DONALD BIG STICK TOPLES</v>
          </cell>
          <cell r="D49">
            <v>0</v>
          </cell>
          <cell r="E49">
            <v>0</v>
          </cell>
          <cell r="G49">
            <v>0</v>
          </cell>
        </row>
        <row r="50">
          <cell r="B50" t="str">
            <v>PAK</v>
          </cell>
          <cell r="C50" t="str">
            <v>DONALD BIG STICK PAK</v>
          </cell>
          <cell r="D50">
            <v>2</v>
          </cell>
          <cell r="E50">
            <v>82000</v>
          </cell>
          <cell r="G50">
            <v>2000</v>
          </cell>
        </row>
        <row r="51">
          <cell r="B51" t="str">
            <v>ICE</v>
          </cell>
          <cell r="C51" t="str">
            <v>LPK ICE CREAM</v>
          </cell>
          <cell r="D51">
            <v>0</v>
          </cell>
          <cell r="E51">
            <v>0</v>
          </cell>
          <cell r="G51">
            <v>0</v>
          </cell>
        </row>
        <row r="52">
          <cell r="B52" t="str">
            <v>JELLY</v>
          </cell>
          <cell r="C52" t="str">
            <v>LPK JELLY BOX DUS</v>
          </cell>
          <cell r="D52">
            <v>0</v>
          </cell>
          <cell r="E52">
            <v>0</v>
          </cell>
          <cell r="G52">
            <v>0</v>
          </cell>
        </row>
        <row r="53">
          <cell r="B53" t="str">
            <v>MEISES</v>
          </cell>
          <cell r="C53" t="str">
            <v>NITCHI MEISES</v>
          </cell>
          <cell r="D53">
            <v>0</v>
          </cell>
          <cell r="E53">
            <v>0</v>
          </cell>
          <cell r="G53">
            <v>0</v>
          </cell>
        </row>
        <row r="54">
          <cell r="B54" t="str">
            <v>NITCHI</v>
          </cell>
          <cell r="C54" t="str">
            <v>WASUKA NITCHI PASTA</v>
          </cell>
          <cell r="D54">
            <v>0</v>
          </cell>
          <cell r="E54">
            <v>0</v>
          </cell>
          <cell r="G54">
            <v>0</v>
          </cell>
        </row>
        <row r="55">
          <cell r="B55" t="str">
            <v>LAZERY</v>
          </cell>
          <cell r="C55" t="str">
            <v>LAZERY</v>
          </cell>
          <cell r="D55">
            <v>0</v>
          </cell>
          <cell r="E55">
            <v>0</v>
          </cell>
          <cell r="G55">
            <v>0</v>
          </cell>
        </row>
        <row r="56">
          <cell r="B56" t="str">
            <v>CHIKORY</v>
          </cell>
          <cell r="C56" t="str">
            <v>CHIKORY</v>
          </cell>
          <cell r="D56">
            <v>0</v>
          </cell>
          <cell r="E56">
            <v>0</v>
          </cell>
          <cell r="G56">
            <v>0</v>
          </cell>
        </row>
        <row r="57">
          <cell r="B57" t="str">
            <v>BABALON</v>
          </cell>
          <cell r="C57" t="str">
            <v>BABALOON</v>
          </cell>
          <cell r="D57">
            <v>0</v>
          </cell>
          <cell r="E57">
            <v>0</v>
          </cell>
          <cell r="G57">
            <v>0</v>
          </cell>
        </row>
        <row r="58">
          <cell r="B58" t="str">
            <v>MAGNUS</v>
          </cell>
          <cell r="C58" t="str">
            <v>MAGNUS</v>
          </cell>
          <cell r="D58">
            <v>0</v>
          </cell>
          <cell r="E58">
            <v>0</v>
          </cell>
          <cell r="G58">
            <v>0</v>
          </cell>
        </row>
        <row r="59">
          <cell r="B59" t="str">
            <v>REBO</v>
          </cell>
          <cell r="C59" t="str">
            <v>KUACI REBO</v>
          </cell>
          <cell r="D59">
            <v>1</v>
          </cell>
          <cell r="E59">
            <v>76000</v>
          </cell>
          <cell r="G59">
            <v>1000</v>
          </cell>
        </row>
        <row r="60">
          <cell r="B60" t="str">
            <v>CHOKU</v>
          </cell>
          <cell r="C60" t="str">
            <v>WASUKA CHOKU</v>
          </cell>
          <cell r="D60">
            <v>1</v>
          </cell>
          <cell r="E60">
            <v>54000</v>
          </cell>
          <cell r="G60">
            <v>2060</v>
          </cell>
        </row>
        <row r="61">
          <cell r="B61" t="str">
            <v>KITA</v>
          </cell>
          <cell r="C61" t="str">
            <v>WAFER JUMBO KITA</v>
          </cell>
          <cell r="D61">
            <v>0</v>
          </cell>
          <cell r="E61">
            <v>0</v>
          </cell>
          <cell r="G61">
            <v>0</v>
          </cell>
        </row>
        <row r="62">
          <cell r="B62" t="str">
            <v>PANG</v>
          </cell>
          <cell r="C62" t="str">
            <v>PANGPANG KOREA</v>
          </cell>
          <cell r="D62">
            <v>0</v>
          </cell>
          <cell r="E62">
            <v>0</v>
          </cell>
          <cell r="G62">
            <v>0</v>
          </cell>
        </row>
        <row r="63">
          <cell r="B63" t="str">
            <v>NGETOP</v>
          </cell>
          <cell r="C63" t="str">
            <v>NGETOP</v>
          </cell>
          <cell r="D63">
            <v>1</v>
          </cell>
          <cell r="E63">
            <v>24500</v>
          </cell>
          <cell r="G63">
            <v>1250</v>
          </cell>
        </row>
        <row r="64">
          <cell r="B64" t="str">
            <v>ASTAGA</v>
          </cell>
          <cell r="C64" t="str">
            <v>ASTAGA</v>
          </cell>
          <cell r="D64">
            <v>1</v>
          </cell>
          <cell r="E64">
            <v>24500</v>
          </cell>
          <cell r="G64">
            <v>1250</v>
          </cell>
        </row>
        <row r="65">
          <cell r="B65" t="str">
            <v>NORI</v>
          </cell>
          <cell r="C65" t="str">
            <v>NORISOBA</v>
          </cell>
          <cell r="D65">
            <v>1</v>
          </cell>
          <cell r="E65">
            <v>16000</v>
          </cell>
          <cell r="G65">
            <v>500</v>
          </cell>
        </row>
        <row r="66">
          <cell r="B66" t="str">
            <v>YAKI</v>
          </cell>
          <cell r="C66" t="str">
            <v>YAKISOBA</v>
          </cell>
          <cell r="D66">
            <v>2</v>
          </cell>
          <cell r="E66">
            <v>32000</v>
          </cell>
          <cell r="G66">
            <v>1000</v>
          </cell>
        </row>
        <row r="67">
          <cell r="B67" t="str">
            <v>ASYIK</v>
          </cell>
          <cell r="C67" t="str">
            <v>ASYIK</v>
          </cell>
          <cell r="D67">
            <v>2</v>
          </cell>
          <cell r="E67">
            <v>49000</v>
          </cell>
          <cell r="G67">
            <v>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9</v>
          </cell>
          <cell r="E9">
            <v>689158.55999999994</v>
          </cell>
          <cell r="G9">
            <v>14242.913121526188</v>
          </cell>
        </row>
        <row r="10">
          <cell r="B10" t="str">
            <v>NWC500</v>
          </cell>
          <cell r="C10" t="str">
            <v>NABATI WAFER COKLAT 8GR</v>
          </cell>
          <cell r="D10">
            <v>6</v>
          </cell>
          <cell r="E10">
            <v>461391.27999999997</v>
          </cell>
          <cell r="G10">
            <v>12342.610073425763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1</v>
          </cell>
          <cell r="E12">
            <v>90650</v>
          </cell>
          <cell r="G12">
            <v>4301.5501142857102</v>
          </cell>
        </row>
        <row r="13">
          <cell r="B13" t="str">
            <v>NWK2K</v>
          </cell>
          <cell r="C13" t="str">
            <v>NABATI WAFER KEJU 52GR</v>
          </cell>
          <cell r="D13">
            <v>26</v>
          </cell>
          <cell r="E13">
            <v>2383767.04</v>
          </cell>
          <cell r="G13">
            <v>49210.726795520124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NWK5K</v>
          </cell>
          <cell r="C15" t="str">
            <v>NABATI WAFER KEJU 145GR</v>
          </cell>
          <cell r="D15">
            <v>0.5</v>
          </cell>
          <cell r="E15">
            <v>48510</v>
          </cell>
          <cell r="G15">
            <v>2316.7725840605708</v>
          </cell>
        </row>
        <row r="16">
          <cell r="B16" t="str">
            <v>NWC5K</v>
          </cell>
          <cell r="C16" t="str">
            <v>NABATI WAFER COKLAT 145GR</v>
          </cell>
          <cell r="D16">
            <v>0.5</v>
          </cell>
          <cell r="E16">
            <v>48510</v>
          </cell>
          <cell r="G16">
            <v>2190.9126197604783</v>
          </cell>
        </row>
        <row r="17">
          <cell r="B17" t="str">
            <v>SIPK500</v>
          </cell>
          <cell r="C17" t="str">
            <v>SIIP KEJU 500</v>
          </cell>
          <cell r="D17">
            <v>7.333333333333333</v>
          </cell>
          <cell r="E17">
            <v>328901.22833333333</v>
          </cell>
          <cell r="G17">
            <v>26836.627173095429</v>
          </cell>
        </row>
        <row r="18">
          <cell r="B18" t="str">
            <v>SIPJ500</v>
          </cell>
          <cell r="C18" t="str">
            <v>SIIP JGG 500</v>
          </cell>
          <cell r="D18">
            <v>5.3333333333333339</v>
          </cell>
          <cell r="E18">
            <v>239535.71033333335</v>
          </cell>
          <cell r="G18">
            <v>18875.515578716426</v>
          </cell>
        </row>
        <row r="19">
          <cell r="B19" t="str">
            <v>SIPC500</v>
          </cell>
          <cell r="C19" t="str">
            <v>SIIP COKLAT 500</v>
          </cell>
          <cell r="D19">
            <v>1.3333333333333333</v>
          </cell>
          <cell r="E19">
            <v>60353.333333333328</v>
          </cell>
          <cell r="G19">
            <v>5188.2846446791082</v>
          </cell>
        </row>
        <row r="20">
          <cell r="B20" t="str">
            <v>SIPK2K</v>
          </cell>
          <cell r="C20" t="str">
            <v>SIIP KEJU 2000</v>
          </cell>
          <cell r="D20">
            <v>3</v>
          </cell>
          <cell r="E20">
            <v>140174.39999999999</v>
          </cell>
          <cell r="G20">
            <v>12094.463030710023</v>
          </cell>
        </row>
        <row r="21">
          <cell r="B21" t="str">
            <v>SIPJ2K</v>
          </cell>
          <cell r="C21" t="str">
            <v>SIIP JAGUNG 2000</v>
          </cell>
          <cell r="D21">
            <v>3</v>
          </cell>
          <cell r="E21">
            <v>141120</v>
          </cell>
          <cell r="G21">
            <v>13040.063030710022</v>
          </cell>
        </row>
        <row r="22">
          <cell r="B22" t="str">
            <v>SIPC2K</v>
          </cell>
          <cell r="C22" t="str">
            <v>SIIP COKLAT 2000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ROLK500</v>
          </cell>
          <cell r="C23" t="str">
            <v>ROLL KEJU 500</v>
          </cell>
          <cell r="D23">
            <v>8</v>
          </cell>
          <cell r="E23">
            <v>376867.15899999999</v>
          </cell>
          <cell r="G23">
            <v>32793.092812033436</v>
          </cell>
        </row>
        <row r="24">
          <cell r="B24" t="str">
            <v>ROLK2K</v>
          </cell>
          <cell r="C24" t="str">
            <v>ROLL KEJU 2000</v>
          </cell>
          <cell r="D24">
            <v>3.333333333333333</v>
          </cell>
          <cell r="E24">
            <v>309206.91200000001</v>
          </cell>
          <cell r="G24">
            <v>10402.095374125429</v>
          </cell>
        </row>
        <row r="25">
          <cell r="B25" t="str">
            <v>ROLC2K</v>
          </cell>
          <cell r="C25" t="str">
            <v>ROLL COKLAT 2000</v>
          </cell>
          <cell r="D25">
            <v>1.3333333333333333</v>
          </cell>
          <cell r="E25">
            <v>123860</v>
          </cell>
          <cell r="G25">
            <v>4338.0733496501725</v>
          </cell>
        </row>
        <row r="26">
          <cell r="B26" t="str">
            <v>AHH500</v>
          </cell>
          <cell r="C26" t="str">
            <v>AHH KEJU 500</v>
          </cell>
          <cell r="D26">
            <v>2</v>
          </cell>
          <cell r="E26">
            <v>152879.76</v>
          </cell>
          <cell r="G26">
            <v>2898.5051381169324</v>
          </cell>
        </row>
        <row r="27">
          <cell r="B27" t="str">
            <v>AHH2K</v>
          </cell>
          <cell r="C27" t="str">
            <v>AHH KEJU 2000</v>
          </cell>
          <cell r="D27">
            <v>0.33333333333333331</v>
          </cell>
          <cell r="E27">
            <v>31360</v>
          </cell>
          <cell r="G27">
            <v>1412.802535167837</v>
          </cell>
        </row>
        <row r="28">
          <cell r="B28" t="str">
            <v>SK500</v>
          </cell>
          <cell r="C28" t="str">
            <v>SELIMUT KEJU 500</v>
          </cell>
          <cell r="D28">
            <v>4.2</v>
          </cell>
          <cell r="E28">
            <v>321847.27999999997</v>
          </cell>
          <cell r="G28">
            <v>7100.6976369763752</v>
          </cell>
        </row>
        <row r="29">
          <cell r="B29" t="str">
            <v>SC500</v>
          </cell>
          <cell r="C29" t="str">
            <v>SELIMUT COKLAT 500</v>
          </cell>
          <cell r="D29">
            <v>2.2000000000000002</v>
          </cell>
          <cell r="E29">
            <v>169735.76</v>
          </cell>
          <cell r="G29">
            <v>4868.5025717495328</v>
          </cell>
        </row>
        <row r="30">
          <cell r="B30" t="str">
            <v>SK2K</v>
          </cell>
          <cell r="C30" t="str">
            <v>SELIMUT KEJU 2000</v>
          </cell>
          <cell r="D30">
            <v>1</v>
          </cell>
          <cell r="E30">
            <v>94080</v>
          </cell>
          <cell r="G30">
            <v>4131.5501142857102</v>
          </cell>
        </row>
        <row r="31">
          <cell r="B31" t="str">
            <v>PASTA</v>
          </cell>
          <cell r="C31" t="str">
            <v>PASTA</v>
          </cell>
          <cell r="D31">
            <v>1</v>
          </cell>
          <cell r="E31">
            <v>106000</v>
          </cell>
          <cell r="G31">
            <v>2706.6876769033261</v>
          </cell>
        </row>
        <row r="32">
          <cell r="B32" t="str">
            <v>NEX2K</v>
          </cell>
          <cell r="C32" t="str">
            <v>NEXTAR 42GR</v>
          </cell>
          <cell r="D32">
            <v>0.5</v>
          </cell>
          <cell r="E32">
            <v>47530</v>
          </cell>
          <cell r="G32">
            <v>2062.6325483606561</v>
          </cell>
        </row>
        <row r="33">
          <cell r="B33" t="str">
            <v>NEX5K</v>
          </cell>
          <cell r="C33" t="str">
            <v>NEXTAR 112GR</v>
          </cell>
          <cell r="D33">
            <v>0</v>
          </cell>
          <cell r="E33">
            <v>0</v>
          </cell>
          <cell r="G33">
            <v>0</v>
          </cell>
        </row>
        <row r="34"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MINTZP</v>
          </cell>
          <cell r="C35" t="str">
            <v>MINTZ PEPPERMINT</v>
          </cell>
          <cell r="D35">
            <v>2</v>
          </cell>
          <cell r="E35">
            <v>152880</v>
          </cell>
          <cell r="G35">
            <v>6630.0003999999899</v>
          </cell>
        </row>
        <row r="36">
          <cell r="B36" t="str">
            <v>MINTZD</v>
          </cell>
          <cell r="C36" t="str">
            <v>MINTZ DOUBLEMINT</v>
          </cell>
          <cell r="D36">
            <v>3</v>
          </cell>
          <cell r="E36">
            <v>226880</v>
          </cell>
          <cell r="G36">
            <v>7504.9994000000152</v>
          </cell>
        </row>
        <row r="37">
          <cell r="B37" t="str">
            <v>BSR</v>
          </cell>
          <cell r="C37" t="str">
            <v>BLASTER NEOPOLITAN</v>
          </cell>
          <cell r="D37">
            <v>3</v>
          </cell>
          <cell r="E37">
            <v>300880</v>
          </cell>
          <cell r="G37">
            <v>8380.2340000000258</v>
          </cell>
        </row>
        <row r="38">
          <cell r="B38" t="str">
            <v>BPOP</v>
          </cell>
          <cell r="C38" t="str">
            <v>BLASTER POP FRUITFULL</v>
          </cell>
          <cell r="D38">
            <v>4</v>
          </cell>
          <cell r="E38">
            <v>182708.10749999998</v>
          </cell>
          <cell r="G38">
            <v>5258.1088333333464</v>
          </cell>
        </row>
        <row r="39">
          <cell r="B39" t="str">
            <v>WFTC500</v>
          </cell>
          <cell r="C39" t="str">
            <v>WAFER TANGGO LONG COKLAT 8GR</v>
          </cell>
          <cell r="D39">
            <v>0.5</v>
          </cell>
          <cell r="E39">
            <v>39200</v>
          </cell>
          <cell r="G39">
            <v>1565</v>
          </cell>
        </row>
        <row r="40">
          <cell r="B40" t="str">
            <v>WFTV500</v>
          </cell>
          <cell r="C40" t="str">
            <v>WAFER TANGGO LONG VANILA 8GR</v>
          </cell>
          <cell r="D40">
            <v>0</v>
          </cell>
          <cell r="E40">
            <v>0</v>
          </cell>
          <cell r="G40">
            <v>0</v>
          </cell>
        </row>
        <row r="41">
          <cell r="B41" t="str">
            <v>WFTK500</v>
          </cell>
          <cell r="C41" t="str">
            <v>WAFER TANGGO LONG KEJU 8GR</v>
          </cell>
          <cell r="D41">
            <v>0.5</v>
          </cell>
          <cell r="E41">
            <v>39200</v>
          </cell>
          <cell r="G41">
            <v>1862</v>
          </cell>
        </row>
        <row r="42">
          <cell r="B42" t="str">
            <v>WFTC2K</v>
          </cell>
          <cell r="C42" t="str">
            <v>WAFER TANGGO LONG COKLAT 52GR</v>
          </cell>
          <cell r="D42">
            <v>2.333333333333333</v>
          </cell>
          <cell r="E42">
            <v>212626.91200000001</v>
          </cell>
          <cell r="G42">
            <v>6662.0048333333443</v>
          </cell>
        </row>
        <row r="43">
          <cell r="B43" t="str">
            <v>WFTV2K</v>
          </cell>
          <cell r="C43" t="str">
            <v>WAFER TANGGO LONG VANILA 52GR</v>
          </cell>
          <cell r="D43">
            <v>2.333333333333333</v>
          </cell>
          <cell r="E43">
            <v>212626.91200000001</v>
          </cell>
          <cell r="G43">
            <v>6662.0608333333221</v>
          </cell>
        </row>
        <row r="44">
          <cell r="B44" t="str">
            <v>WFTK2K</v>
          </cell>
          <cell r="C44" t="str">
            <v>WAFER TANGGO LONG KEJU 52GR</v>
          </cell>
          <cell r="D44">
            <v>1.3333333333333333</v>
          </cell>
          <cell r="E44">
            <v>121360</v>
          </cell>
          <cell r="G44">
            <v>4988.2666666666628</v>
          </cell>
        </row>
        <row r="45">
          <cell r="B45" t="str">
            <v>WFLC500</v>
          </cell>
          <cell r="C45" t="str">
            <v>WAFFLE CRUNCHOX 8GR</v>
          </cell>
          <cell r="D45">
            <v>1</v>
          </cell>
          <cell r="E45">
            <v>48020</v>
          </cell>
          <cell r="G45">
            <v>1707.5</v>
          </cell>
        </row>
        <row r="46"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 t="str">
            <v>INUL</v>
          </cell>
          <cell r="C47" t="str">
            <v>INUL JELLY</v>
          </cell>
          <cell r="D47">
            <v>4</v>
          </cell>
          <cell r="E47">
            <v>70770</v>
          </cell>
          <cell r="G47">
            <v>4770</v>
          </cell>
        </row>
        <row r="48">
          <cell r="B48" t="str">
            <v>PUDING</v>
          </cell>
          <cell r="C48" t="str">
            <v>DONALD PUDING CUP</v>
          </cell>
          <cell r="D48">
            <v>0</v>
          </cell>
          <cell r="E48">
            <v>0</v>
          </cell>
          <cell r="G48">
            <v>0</v>
          </cell>
        </row>
        <row r="49">
          <cell r="B49" t="str">
            <v>TUPER</v>
          </cell>
          <cell r="C49" t="str">
            <v>DONALD BIG STICK TUPPERWARE</v>
          </cell>
          <cell r="D49">
            <v>4</v>
          </cell>
          <cell r="E49">
            <v>215143.1415</v>
          </cell>
          <cell r="G49">
            <v>3143.1414999999979</v>
          </cell>
        </row>
        <row r="50">
          <cell r="B50" t="str">
            <v>TOPLES</v>
          </cell>
          <cell r="C50" t="str">
            <v>DONALD BIG STICK TOPLES</v>
          </cell>
          <cell r="D50">
            <v>2</v>
          </cell>
          <cell r="E50">
            <v>94000</v>
          </cell>
          <cell r="G50">
            <v>2000</v>
          </cell>
        </row>
        <row r="51">
          <cell r="B51" t="str">
            <v>PAK</v>
          </cell>
          <cell r="C51" t="str">
            <v>DONALD BIG STICK PAK</v>
          </cell>
          <cell r="D51">
            <v>3</v>
          </cell>
          <cell r="E51">
            <v>122639.91300000002</v>
          </cell>
          <cell r="G51">
            <v>2639.913000000015</v>
          </cell>
        </row>
        <row r="52">
          <cell r="B52" t="str">
            <v>ICE</v>
          </cell>
          <cell r="C52" t="str">
            <v>LPK ICE CREAM</v>
          </cell>
          <cell r="D52">
            <v>0</v>
          </cell>
          <cell r="E52">
            <v>0</v>
          </cell>
          <cell r="G52">
            <v>0</v>
          </cell>
        </row>
        <row r="53">
          <cell r="B53" t="str">
            <v>JELLY</v>
          </cell>
          <cell r="C53" t="str">
            <v>LPK JELLY BOX DUS</v>
          </cell>
          <cell r="D53">
            <v>0</v>
          </cell>
          <cell r="E53">
            <v>0</v>
          </cell>
          <cell r="G53">
            <v>0</v>
          </cell>
        </row>
        <row r="54">
          <cell r="B54" t="str">
            <v>MEISES</v>
          </cell>
          <cell r="C54" t="str">
            <v>NITCHI MEISES</v>
          </cell>
          <cell r="D54">
            <v>0</v>
          </cell>
          <cell r="E54">
            <v>0</v>
          </cell>
          <cell r="G54">
            <v>0</v>
          </cell>
        </row>
        <row r="55">
          <cell r="B55" t="str">
            <v>NITCHI</v>
          </cell>
          <cell r="C55" t="str">
            <v>WASUKA NITCHI PASTA</v>
          </cell>
          <cell r="D55">
            <v>0</v>
          </cell>
          <cell r="E55">
            <v>0</v>
          </cell>
          <cell r="G55">
            <v>0</v>
          </cell>
        </row>
        <row r="56">
          <cell r="B56" t="str">
            <v>LAZERY</v>
          </cell>
          <cell r="C56" t="str">
            <v>LAZERY</v>
          </cell>
          <cell r="D56">
            <v>0</v>
          </cell>
          <cell r="E56">
            <v>0</v>
          </cell>
          <cell r="G56">
            <v>0</v>
          </cell>
        </row>
        <row r="57">
          <cell r="B57" t="str">
            <v>CHIKORY</v>
          </cell>
          <cell r="C57" t="str">
            <v>CHIKORY</v>
          </cell>
          <cell r="D57">
            <v>0</v>
          </cell>
          <cell r="E57">
            <v>0</v>
          </cell>
          <cell r="G57">
            <v>0</v>
          </cell>
        </row>
        <row r="58">
          <cell r="B58" t="str">
            <v>BABALON</v>
          </cell>
          <cell r="C58" t="str">
            <v>BABALOON</v>
          </cell>
          <cell r="D58">
            <v>0</v>
          </cell>
          <cell r="E58">
            <v>0</v>
          </cell>
          <cell r="G58">
            <v>0</v>
          </cell>
        </row>
        <row r="59">
          <cell r="B59" t="str">
            <v>MAGNUS</v>
          </cell>
          <cell r="C59" t="str">
            <v>MAGNUS</v>
          </cell>
          <cell r="D59">
            <v>0</v>
          </cell>
          <cell r="E59">
            <v>0</v>
          </cell>
          <cell r="G59">
            <v>0</v>
          </cell>
        </row>
        <row r="60">
          <cell r="B60" t="str">
            <v>REBO</v>
          </cell>
          <cell r="C60" t="str">
            <v>KUACI REBO</v>
          </cell>
          <cell r="D60">
            <v>2</v>
          </cell>
          <cell r="E60">
            <v>153420</v>
          </cell>
          <cell r="G60">
            <v>3420</v>
          </cell>
        </row>
        <row r="61">
          <cell r="B61" t="str">
            <v>CHOKU</v>
          </cell>
          <cell r="C61" t="str">
            <v>WASUKA CHOKU</v>
          </cell>
          <cell r="D61">
            <v>0</v>
          </cell>
          <cell r="E61">
            <v>0</v>
          </cell>
          <cell r="G61">
            <v>0</v>
          </cell>
        </row>
        <row r="62">
          <cell r="B62" t="str">
            <v>KITA</v>
          </cell>
          <cell r="C62" t="str">
            <v>WAFER JUMBO KITA</v>
          </cell>
          <cell r="D62">
            <v>0</v>
          </cell>
          <cell r="E62">
            <v>0</v>
          </cell>
          <cell r="G62">
            <v>0</v>
          </cell>
        </row>
        <row r="63">
          <cell r="B63" t="str">
            <v>PANG</v>
          </cell>
          <cell r="C63" t="str">
            <v>PANGPANG KOREA</v>
          </cell>
          <cell r="D63">
            <v>2</v>
          </cell>
          <cell r="E63">
            <v>49000</v>
          </cell>
          <cell r="G63">
            <v>2500</v>
          </cell>
        </row>
        <row r="64">
          <cell r="B64" t="str">
            <v>NGETOP</v>
          </cell>
          <cell r="C64" t="str">
            <v>NGETOP</v>
          </cell>
          <cell r="D64">
            <v>3</v>
          </cell>
          <cell r="E64">
            <v>73500</v>
          </cell>
          <cell r="G64">
            <v>3750</v>
          </cell>
        </row>
        <row r="65">
          <cell r="B65" t="str">
            <v>ASTAGA</v>
          </cell>
          <cell r="C65" t="str">
            <v>ASTAGA</v>
          </cell>
          <cell r="D65">
            <v>0</v>
          </cell>
          <cell r="E65">
            <v>0</v>
          </cell>
          <cell r="G65">
            <v>0</v>
          </cell>
        </row>
        <row r="66">
          <cell r="B66" t="str">
            <v>NORI</v>
          </cell>
          <cell r="C66" t="str">
            <v>NORISOBA</v>
          </cell>
          <cell r="D66">
            <v>3</v>
          </cell>
          <cell r="E66">
            <v>49610.5</v>
          </cell>
          <cell r="G66">
            <v>3110.5</v>
          </cell>
        </row>
        <row r="67">
          <cell r="B67" t="str">
            <v>YAKI</v>
          </cell>
          <cell r="C67" t="str">
            <v>YAKISOBA</v>
          </cell>
          <cell r="D67">
            <v>3</v>
          </cell>
          <cell r="E67">
            <v>49610.5</v>
          </cell>
          <cell r="G67">
            <v>3110.5</v>
          </cell>
        </row>
        <row r="68">
          <cell r="B68" t="str">
            <v>ASYIK</v>
          </cell>
          <cell r="C68" t="str">
            <v>ASYIK</v>
          </cell>
          <cell r="D68">
            <v>2</v>
          </cell>
          <cell r="E68">
            <v>49000</v>
          </cell>
          <cell r="G68">
            <v>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>
        <row r="5">
          <cell r="B5" t="str">
            <v>MINTZP</v>
          </cell>
          <cell r="C5" t="str">
            <v>MINTZ PEPPERMINT</v>
          </cell>
          <cell r="D5">
            <v>50</v>
          </cell>
          <cell r="E5">
            <v>3656249.99</v>
          </cell>
          <cell r="F5">
            <v>73124.999800000005</v>
          </cell>
          <cell r="G5">
            <v>73124.999800000005</v>
          </cell>
        </row>
        <row r="6">
          <cell r="B6" t="str">
            <v>MINTZD</v>
          </cell>
          <cell r="C6" t="str">
            <v>MINTZ DOUBLEMINT</v>
          </cell>
          <cell r="D6">
            <v>50</v>
          </cell>
          <cell r="E6">
            <v>3656250.01</v>
          </cell>
          <cell r="F6">
            <v>73125.000199999995</v>
          </cell>
          <cell r="G6">
            <v>73125.000199999995</v>
          </cell>
        </row>
        <row r="7">
          <cell r="B7" t="str">
            <v>BSR</v>
          </cell>
          <cell r="C7" t="str">
            <v>BLASTER NEOPOLITAN</v>
          </cell>
          <cell r="D7">
            <v>10</v>
          </cell>
          <cell r="E7">
            <v>974999.22</v>
          </cell>
          <cell r="F7">
            <v>97499.921999999991</v>
          </cell>
          <cell r="G7">
            <v>97499.921999999991</v>
          </cell>
        </row>
        <row r="8">
          <cell r="B8" t="str">
            <v>BPOP</v>
          </cell>
          <cell r="C8" t="str">
            <v>BLASTER POP FRUITFULL</v>
          </cell>
          <cell r="D8">
            <v>30</v>
          </cell>
          <cell r="E8">
            <v>1330874.99</v>
          </cell>
          <cell r="F8">
            <v>44362.499666666663</v>
          </cell>
          <cell r="G8">
            <v>44362.499666666663</v>
          </cell>
        </row>
        <row r="9">
          <cell r="B9" t="str">
            <v>WFLC500</v>
          </cell>
          <cell r="C9" t="str">
            <v>WAFFLE CRUNCHOX 8GR</v>
          </cell>
          <cell r="D9">
            <v>5</v>
          </cell>
          <cell r="E9">
            <v>231562.5</v>
          </cell>
          <cell r="F9">
            <v>46312.5</v>
          </cell>
          <cell r="G9">
            <v>46312.5</v>
          </cell>
        </row>
        <row r="10">
          <cell r="B10" t="str">
            <v>WFTC2K</v>
          </cell>
          <cell r="C10" t="str">
            <v>WAFER TANGGO LONG COKLAT 52GR</v>
          </cell>
          <cell r="D10">
            <v>40</v>
          </cell>
          <cell r="E10">
            <v>3530826.98</v>
          </cell>
          <cell r="F10">
            <v>88270.674499999994</v>
          </cell>
          <cell r="G10">
            <v>88270.674499999994</v>
          </cell>
        </row>
        <row r="11">
          <cell r="B11" t="str">
            <v>WFTV2K</v>
          </cell>
          <cell r="C11" t="str">
            <v>WAFER TANGGO LONG VANILA 52GR</v>
          </cell>
          <cell r="D11">
            <v>20</v>
          </cell>
          <cell r="E11">
            <v>1765413.01</v>
          </cell>
          <cell r="F11">
            <v>88270.650500000003</v>
          </cell>
          <cell r="G11">
            <v>88270.650500000003</v>
          </cell>
        </row>
        <row r="12">
          <cell r="B12" t="str">
            <v>WFTC500</v>
          </cell>
          <cell r="C12" t="str">
            <v>WAFER TANGGO LONG COKLAT 8GR</v>
          </cell>
          <cell r="D12">
            <v>10</v>
          </cell>
          <cell r="E12">
            <v>752700</v>
          </cell>
          <cell r="F12">
            <v>75270</v>
          </cell>
          <cell r="G12">
            <v>75270</v>
          </cell>
        </row>
        <row r="13">
          <cell r="B13" t="str">
            <v>WFTV500</v>
          </cell>
          <cell r="C13" t="str">
            <v>WAFER TANGGO LONG VANILA 8GR</v>
          </cell>
          <cell r="D13">
            <v>10</v>
          </cell>
          <cell r="E13">
            <v>752700</v>
          </cell>
          <cell r="F13">
            <v>75270</v>
          </cell>
          <cell r="G13">
            <v>75270</v>
          </cell>
        </row>
        <row r="14">
          <cell r="B14" t="str">
            <v>WFTK2K</v>
          </cell>
          <cell r="C14" t="str">
            <v>WAFER TANGGO LONG KEJU 52GR</v>
          </cell>
          <cell r="D14">
            <v>40</v>
          </cell>
          <cell r="E14">
            <v>3491152</v>
          </cell>
          <cell r="F14">
            <v>87278.8</v>
          </cell>
          <cell r="G14">
            <v>87278.8</v>
          </cell>
        </row>
        <row r="15">
          <cell r="B15" t="str">
            <v>WFTK500</v>
          </cell>
          <cell r="C15" t="str">
            <v>WAFER TANGGO LONG KEJU 8GR</v>
          </cell>
          <cell r="D15">
            <v>10</v>
          </cell>
          <cell r="E15">
            <v>746760</v>
          </cell>
          <cell r="F15">
            <v>74676</v>
          </cell>
          <cell r="G15">
            <v>74676</v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275</v>
          </cell>
        </row>
        <row r="33">
          <cell r="B33" t="str">
            <v>PENERIMAAN BARANG</v>
          </cell>
        </row>
        <row r="34">
          <cell r="B34" t="str">
            <v>TGL : 1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B36" t="str">
            <v>SIPK500</v>
          </cell>
          <cell r="C36" t="str">
            <v>SIIP KEJU 500</v>
          </cell>
          <cell r="D36">
            <v>10</v>
          </cell>
          <cell r="F36">
            <v>46200</v>
          </cell>
          <cell r="G36">
            <v>40641.150174294118</v>
          </cell>
        </row>
        <row r="37">
          <cell r="B37" t="str">
            <v>NWK500</v>
          </cell>
          <cell r="C37" t="str">
            <v>NABATI WAFER KEJU 8GR</v>
          </cell>
          <cell r="D37">
            <v>13</v>
          </cell>
          <cell r="F37">
            <v>80000</v>
          </cell>
          <cell r="G37">
            <v>74441.150174294118</v>
          </cell>
        </row>
        <row r="38">
          <cell r="B38" t="str">
            <v>NWC500</v>
          </cell>
          <cell r="C38" t="str">
            <v>NABATI WAFER COKLAT 8GR</v>
          </cell>
          <cell r="D38">
            <v>5</v>
          </cell>
          <cell r="F38">
            <v>80000</v>
          </cell>
          <cell r="G38">
            <v>74441.150174294118</v>
          </cell>
        </row>
        <row r="39">
          <cell r="B39" t="str">
            <v>AHH500</v>
          </cell>
          <cell r="C39" t="str">
            <v>AHH KEJU 500</v>
          </cell>
          <cell r="D39">
            <v>5</v>
          </cell>
          <cell r="F39">
            <v>80000</v>
          </cell>
          <cell r="G39">
            <v>74441.150174294118</v>
          </cell>
        </row>
        <row r="40">
          <cell r="B40" t="str">
            <v>SK500</v>
          </cell>
          <cell r="C40" t="str">
            <v>SELIMUT KEJU 500</v>
          </cell>
          <cell r="D40">
            <v>1</v>
          </cell>
          <cell r="F40">
            <v>80000</v>
          </cell>
          <cell r="G40">
            <v>74441.150174294118</v>
          </cell>
        </row>
        <row r="41">
          <cell r="B41" t="str">
            <v>SC500</v>
          </cell>
          <cell r="C41" t="str">
            <v>SELIMUT COKLAT 500</v>
          </cell>
          <cell r="D41">
            <v>2</v>
          </cell>
          <cell r="F41">
            <v>80000</v>
          </cell>
          <cell r="G41">
            <v>74441.150174294118</v>
          </cell>
        </row>
        <row r="42">
          <cell r="B42" t="str">
            <v>ROLK500</v>
          </cell>
          <cell r="C42" t="str">
            <v>ROLL KEJU 500</v>
          </cell>
          <cell r="D42">
            <v>4</v>
          </cell>
          <cell r="F42">
            <v>48000</v>
          </cell>
          <cell r="G42">
            <v>42441.150174294118</v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B46" t="str">
            <v>NWK2K</v>
          </cell>
          <cell r="C46" t="str">
            <v>NABATI WAFER KEJU 52GR</v>
          </cell>
          <cell r="D46">
            <v>22</v>
          </cell>
          <cell r="F46">
            <v>94800</v>
          </cell>
          <cell r="G46">
            <v>89241.150174294118</v>
          </cell>
        </row>
        <row r="47">
          <cell r="B47" t="str">
            <v>ROLK2K</v>
          </cell>
          <cell r="C47" t="str">
            <v>ROLL KEJU 2000</v>
          </cell>
          <cell r="D47">
            <v>2</v>
          </cell>
          <cell r="F47">
            <v>94800</v>
          </cell>
          <cell r="G47">
            <v>89241.150174294118</v>
          </cell>
        </row>
        <row r="48">
          <cell r="B48" t="str">
            <v>ROLC2K</v>
          </cell>
          <cell r="C48" t="str">
            <v>ROLL COKLAT 2000</v>
          </cell>
          <cell r="D48">
            <v>4</v>
          </cell>
          <cell r="F48">
            <v>94800</v>
          </cell>
          <cell r="G48">
            <v>89241.150174294118</v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68</v>
          </cell>
        </row>
        <row r="63">
          <cell r="B63" t="str">
            <v>PENERIMAAN BARANG</v>
          </cell>
        </row>
        <row r="64">
          <cell r="B64" t="str">
            <v>TGL : 1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>TGL : 1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>TGL : 1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3">
        <row r="5">
          <cell r="B5" t="str">
            <v>NWK500</v>
          </cell>
          <cell r="C5" t="str">
            <v>NABATI WAFER KEJU 8GR</v>
          </cell>
          <cell r="D5">
            <v>45</v>
          </cell>
          <cell r="F5">
            <v>80000</v>
          </cell>
          <cell r="G5">
            <v>75438.174760479043</v>
          </cell>
        </row>
        <row r="6">
          <cell r="B6" t="str">
            <v>NWK5K</v>
          </cell>
          <cell r="C6" t="str">
            <v>NABATI WAFER KEJU 145GR</v>
          </cell>
          <cell r="D6">
            <v>8</v>
          </cell>
          <cell r="F6">
            <v>97200</v>
          </cell>
          <cell r="G6">
            <v>92638.174760479043</v>
          </cell>
        </row>
        <row r="7">
          <cell r="B7" t="str">
            <v>NWC5K</v>
          </cell>
          <cell r="C7" t="str">
            <v>NABATI WAFER COKLAT 145GR</v>
          </cell>
          <cell r="D7">
            <v>5</v>
          </cell>
          <cell r="F7">
            <v>97200</v>
          </cell>
          <cell r="G7">
            <v>92638.174760479043</v>
          </cell>
        </row>
        <row r="8">
          <cell r="B8" t="str">
            <v>ROLK500</v>
          </cell>
          <cell r="C8" t="str">
            <v>ROLL KEJU 500</v>
          </cell>
          <cell r="D8">
            <v>20</v>
          </cell>
          <cell r="F8">
            <v>48000</v>
          </cell>
          <cell r="G8">
            <v>43438.174760479043</v>
          </cell>
        </row>
        <row r="9">
          <cell r="B9" t="str">
            <v>PASTA</v>
          </cell>
          <cell r="C9" t="str">
            <v>PASTA</v>
          </cell>
          <cell r="D9">
            <v>10</v>
          </cell>
          <cell r="F9">
            <v>108000</v>
          </cell>
          <cell r="G9">
            <v>103438.17476047904</v>
          </cell>
        </row>
        <row r="10">
          <cell r="B10" t="str">
            <v>SIPJ500</v>
          </cell>
          <cell r="C10" t="str">
            <v>SIIP JGG 500</v>
          </cell>
          <cell r="D10">
            <v>5</v>
          </cell>
          <cell r="F10">
            <v>46200</v>
          </cell>
          <cell r="G10">
            <v>41638.174760479043</v>
          </cell>
        </row>
        <row r="11">
          <cell r="B11" t="str">
            <v>SIPC500</v>
          </cell>
          <cell r="C11" t="str">
            <v>SIIP COKLAT 500</v>
          </cell>
          <cell r="D11">
            <v>5</v>
          </cell>
          <cell r="F11">
            <v>46200</v>
          </cell>
          <cell r="G11">
            <v>41638.174760479043</v>
          </cell>
        </row>
        <row r="12">
          <cell r="B12" t="str">
            <v>SIPK500</v>
          </cell>
          <cell r="C12" t="str">
            <v>SIIP KEJU 500</v>
          </cell>
          <cell r="D12">
            <v>5</v>
          </cell>
          <cell r="F12">
            <v>46200</v>
          </cell>
          <cell r="G12">
            <v>41638.174760479043</v>
          </cell>
        </row>
        <row r="13">
          <cell r="B13" t="str">
            <v>SK500</v>
          </cell>
          <cell r="C13" t="str">
            <v>SELIMUT KEJU 500</v>
          </cell>
          <cell r="D13">
            <v>25</v>
          </cell>
          <cell r="F13">
            <v>80000</v>
          </cell>
          <cell r="G13">
            <v>75438.174760479043</v>
          </cell>
        </row>
        <row r="14">
          <cell r="B14" t="str">
            <v>SC500</v>
          </cell>
          <cell r="C14" t="str">
            <v>SELIMUT COKLAT 500</v>
          </cell>
          <cell r="D14">
            <v>15</v>
          </cell>
          <cell r="F14">
            <v>80000</v>
          </cell>
          <cell r="G14">
            <v>75438.174760479043</v>
          </cell>
        </row>
        <row r="15">
          <cell r="B15" t="str">
            <v>SIPJ2K</v>
          </cell>
          <cell r="C15" t="str">
            <v>SIIP JAGUNG 2000</v>
          </cell>
          <cell r="D15">
            <v>5</v>
          </cell>
          <cell r="F15">
            <v>47400</v>
          </cell>
          <cell r="G15">
            <v>42838.174760479043</v>
          </cell>
        </row>
        <row r="16">
          <cell r="B16" t="str">
            <v>SIPK2K</v>
          </cell>
          <cell r="C16" t="str">
            <v>SIIP KEJU 2000</v>
          </cell>
          <cell r="D16">
            <v>5</v>
          </cell>
          <cell r="F16">
            <v>47400</v>
          </cell>
          <cell r="G16">
            <v>42838.174760479043</v>
          </cell>
        </row>
        <row r="17">
          <cell r="B17" t="str">
            <v>SIPC2K</v>
          </cell>
          <cell r="C17" t="str">
            <v>SIIP COKLAT 2000</v>
          </cell>
          <cell r="D17">
            <v>2</v>
          </cell>
          <cell r="F17">
            <v>47400</v>
          </cell>
          <cell r="G17">
            <v>42838.174760479043</v>
          </cell>
        </row>
        <row r="18">
          <cell r="B18" t="str">
            <v>NWK2K</v>
          </cell>
          <cell r="C18" t="str">
            <v>NABATI WAFER KEJU 52GR</v>
          </cell>
          <cell r="D18">
            <v>2</v>
          </cell>
          <cell r="F18">
            <v>94800</v>
          </cell>
          <cell r="G18">
            <v>90238.174760479043</v>
          </cell>
        </row>
        <row r="19">
          <cell r="B19" t="str">
            <v>AHH500</v>
          </cell>
          <cell r="C19" t="str">
            <v>AHH KEJU 500</v>
          </cell>
          <cell r="D19">
            <v>10</v>
          </cell>
          <cell r="F19">
            <v>80000</v>
          </cell>
          <cell r="G19">
            <v>75438.174760479043</v>
          </cell>
        </row>
        <row r="20">
          <cell r="C20" t="str">
            <v/>
          </cell>
          <cell r="G20" t="str">
            <v/>
          </cell>
        </row>
        <row r="21">
          <cell r="C21" t="str">
            <v/>
          </cell>
          <cell r="G21" t="str">
            <v/>
          </cell>
        </row>
        <row r="22">
          <cell r="C22" t="str">
            <v/>
          </cell>
          <cell r="G22" t="str">
            <v/>
          </cell>
        </row>
        <row r="23">
          <cell r="C23" t="str">
            <v/>
          </cell>
          <cell r="G23" t="str">
            <v/>
          </cell>
        </row>
        <row r="24">
          <cell r="C24" t="str">
            <v/>
          </cell>
          <cell r="G24" t="str">
            <v/>
          </cell>
        </row>
        <row r="25">
          <cell r="C25" t="str">
            <v/>
          </cell>
          <cell r="G25" t="str">
            <v/>
          </cell>
        </row>
        <row r="26">
          <cell r="C26" t="str">
            <v/>
          </cell>
          <cell r="G26" t="str">
            <v/>
          </cell>
        </row>
        <row r="27">
          <cell r="C27" t="str">
            <v/>
          </cell>
          <cell r="G27" t="str">
            <v/>
          </cell>
        </row>
        <row r="28">
          <cell r="C28" t="str">
            <v/>
          </cell>
          <cell r="G28" t="str">
            <v/>
          </cell>
        </row>
        <row r="29">
          <cell r="C29" t="str">
            <v/>
          </cell>
          <cell r="G29" t="str">
            <v/>
          </cell>
        </row>
        <row r="30">
          <cell r="D30">
            <v>167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4">
        <row r="5">
          <cell r="B5" t="str">
            <v>INUL</v>
          </cell>
          <cell r="C5" t="str">
            <v>INUL JELLY</v>
          </cell>
          <cell r="D5">
            <v>10</v>
          </cell>
          <cell r="E5">
            <v>165000</v>
          </cell>
          <cell r="F5">
            <v>16500</v>
          </cell>
          <cell r="G5">
            <v>16500</v>
          </cell>
        </row>
        <row r="6">
          <cell r="B6" t="str">
            <v>PUDING</v>
          </cell>
          <cell r="C6" t="str">
            <v>DONALD PUDING CUP</v>
          </cell>
          <cell r="D6">
            <v>31</v>
          </cell>
          <cell r="E6">
            <v>532500</v>
          </cell>
          <cell r="F6">
            <v>17177.419354838708</v>
          </cell>
          <cell r="G6">
            <v>17177.419354838708</v>
          </cell>
        </row>
        <row r="7">
          <cell r="B7" t="str">
            <v>TUPER</v>
          </cell>
          <cell r="C7" t="str">
            <v>DONALD BIG STICK TUPPERWARE</v>
          </cell>
          <cell r="D7">
            <v>10</v>
          </cell>
          <cell r="E7">
            <v>530000</v>
          </cell>
          <cell r="F7">
            <v>53000</v>
          </cell>
          <cell r="G7">
            <v>53000</v>
          </cell>
        </row>
        <row r="8">
          <cell r="B8" t="str">
            <v>TOPLES</v>
          </cell>
          <cell r="C8" t="str">
            <v>DONALD BIG STICK TOPLES</v>
          </cell>
          <cell r="D8">
            <v>10</v>
          </cell>
          <cell r="E8">
            <v>460000</v>
          </cell>
          <cell r="F8">
            <v>46000</v>
          </cell>
          <cell r="G8">
            <v>46000</v>
          </cell>
        </row>
        <row r="9">
          <cell r="B9" t="str">
            <v>PAK</v>
          </cell>
          <cell r="C9" t="str">
            <v>DONALD BIG STICK PAK</v>
          </cell>
          <cell r="D9">
            <v>10</v>
          </cell>
          <cell r="E9">
            <v>400000</v>
          </cell>
          <cell r="F9">
            <v>40000</v>
          </cell>
          <cell r="G9">
            <v>40000</v>
          </cell>
        </row>
        <row r="10">
          <cell r="B10" t="str">
            <v>KITA</v>
          </cell>
          <cell r="C10" t="str">
            <v>WAFER JUMBO KITA</v>
          </cell>
          <cell r="D10">
            <v>10</v>
          </cell>
          <cell r="E10">
            <v>550000</v>
          </cell>
          <cell r="F10">
            <v>55000</v>
          </cell>
          <cell r="G10">
            <v>55000</v>
          </cell>
        </row>
        <row r="11">
          <cell r="B11" t="str">
            <v>MEISES</v>
          </cell>
          <cell r="C11" t="str">
            <v>NITCHI MEISES</v>
          </cell>
          <cell r="D11">
            <v>10</v>
          </cell>
          <cell r="E11">
            <v>460600</v>
          </cell>
          <cell r="F11">
            <v>46060</v>
          </cell>
          <cell r="G11">
            <v>46060</v>
          </cell>
        </row>
        <row r="12">
          <cell r="B12" t="str">
            <v>NITCHI</v>
          </cell>
          <cell r="C12" t="str">
            <v>WASUKA NITCHI PASTA</v>
          </cell>
          <cell r="D12">
            <v>10</v>
          </cell>
          <cell r="E12">
            <v>564480</v>
          </cell>
          <cell r="F12">
            <v>56448</v>
          </cell>
          <cell r="G12">
            <v>56448</v>
          </cell>
        </row>
        <row r="13">
          <cell r="B13" t="str">
            <v>CHOKU</v>
          </cell>
          <cell r="C13" t="str">
            <v>WASUKA CHOKU</v>
          </cell>
          <cell r="D13">
            <v>5</v>
          </cell>
          <cell r="E13">
            <v>259700</v>
          </cell>
          <cell r="F13">
            <v>51940</v>
          </cell>
          <cell r="G13">
            <v>51940</v>
          </cell>
        </row>
        <row r="14">
          <cell r="B14" t="str">
            <v>LAZERY</v>
          </cell>
          <cell r="C14" t="str">
            <v>LAZERY</v>
          </cell>
          <cell r="D14">
            <v>2</v>
          </cell>
          <cell r="E14">
            <v>224000</v>
          </cell>
          <cell r="F14">
            <v>112000</v>
          </cell>
          <cell r="G14">
            <v>112000</v>
          </cell>
        </row>
        <row r="15">
          <cell r="B15" t="str">
            <v>CHIKORY</v>
          </cell>
          <cell r="C15" t="str">
            <v>CHIKORY</v>
          </cell>
          <cell r="D15">
            <v>2</v>
          </cell>
          <cell r="E15">
            <v>209000</v>
          </cell>
          <cell r="F15">
            <v>104500</v>
          </cell>
          <cell r="G15">
            <v>104500</v>
          </cell>
        </row>
        <row r="16">
          <cell r="B16" t="str">
            <v>BABALON</v>
          </cell>
          <cell r="C16" t="str">
            <v>BABALOON</v>
          </cell>
          <cell r="D16">
            <v>2</v>
          </cell>
          <cell r="E16">
            <v>370000</v>
          </cell>
          <cell r="F16">
            <v>185000</v>
          </cell>
          <cell r="G16">
            <v>185000</v>
          </cell>
        </row>
        <row r="17">
          <cell r="B17" t="str">
            <v>REBO</v>
          </cell>
          <cell r="C17" t="str">
            <v>KUACI REBO</v>
          </cell>
          <cell r="D17">
            <v>25</v>
          </cell>
          <cell r="E17">
            <v>1875000</v>
          </cell>
          <cell r="F17">
            <v>75000</v>
          </cell>
          <cell r="G17">
            <v>75000</v>
          </cell>
        </row>
        <row r="18">
          <cell r="B18" t="str">
            <v>ICE</v>
          </cell>
          <cell r="C18" t="str">
            <v>LPK ICE CREAM</v>
          </cell>
          <cell r="D18">
            <v>10</v>
          </cell>
          <cell r="E18">
            <v>180000</v>
          </cell>
          <cell r="F18">
            <v>18000</v>
          </cell>
          <cell r="G18">
            <v>18000</v>
          </cell>
        </row>
        <row r="19">
          <cell r="B19" t="str">
            <v>JELLY</v>
          </cell>
          <cell r="C19" t="str">
            <v>LPK JELLY BOX DUS</v>
          </cell>
          <cell r="D19">
            <v>10</v>
          </cell>
          <cell r="E19">
            <v>207500</v>
          </cell>
          <cell r="F19">
            <v>20750</v>
          </cell>
          <cell r="G19">
            <v>20750</v>
          </cell>
        </row>
        <row r="20">
          <cell r="B20" t="str">
            <v>PANG</v>
          </cell>
          <cell r="C20" t="str">
            <v>PANGPANG KOREA</v>
          </cell>
          <cell r="D20">
            <v>10</v>
          </cell>
          <cell r="E20">
            <v>232500</v>
          </cell>
          <cell r="F20">
            <v>23250</v>
          </cell>
          <cell r="G20">
            <v>23250</v>
          </cell>
        </row>
        <row r="21">
          <cell r="B21" t="str">
            <v>NGETOP</v>
          </cell>
          <cell r="C21" t="str">
            <v>NGETOP</v>
          </cell>
          <cell r="D21">
            <v>10</v>
          </cell>
          <cell r="E21">
            <v>232500</v>
          </cell>
          <cell r="F21">
            <v>23250</v>
          </cell>
          <cell r="G21">
            <v>23250</v>
          </cell>
        </row>
        <row r="22">
          <cell r="B22" t="str">
            <v>MAGNUS</v>
          </cell>
          <cell r="C22" t="str">
            <v>MAGNUS</v>
          </cell>
          <cell r="D22">
            <v>10</v>
          </cell>
          <cell r="E22">
            <v>232500</v>
          </cell>
          <cell r="F22">
            <v>23250</v>
          </cell>
          <cell r="G22">
            <v>23250</v>
          </cell>
        </row>
        <row r="23">
          <cell r="B23" t="str">
            <v>ASTAGA</v>
          </cell>
          <cell r="C23" t="str">
            <v>ASTAGA</v>
          </cell>
          <cell r="D23">
            <v>10</v>
          </cell>
          <cell r="E23">
            <v>232500</v>
          </cell>
          <cell r="F23">
            <v>23250</v>
          </cell>
          <cell r="G23">
            <v>23250</v>
          </cell>
        </row>
        <row r="24">
          <cell r="B24" t="str">
            <v>NORI</v>
          </cell>
          <cell r="C24" t="str">
            <v>NORISOBA</v>
          </cell>
          <cell r="D24">
            <v>10</v>
          </cell>
          <cell r="E24">
            <v>155000</v>
          </cell>
          <cell r="F24">
            <v>15500</v>
          </cell>
          <cell r="G24">
            <v>15500</v>
          </cell>
        </row>
        <row r="25">
          <cell r="B25" t="str">
            <v>ASYIK</v>
          </cell>
          <cell r="C25" t="str">
            <v>ASYIK</v>
          </cell>
          <cell r="D25">
            <v>10</v>
          </cell>
          <cell r="E25">
            <v>232500</v>
          </cell>
          <cell r="F25">
            <v>23250</v>
          </cell>
          <cell r="G25">
            <v>23250</v>
          </cell>
        </row>
        <row r="26">
          <cell r="B26" t="str">
            <v>YAKI</v>
          </cell>
          <cell r="C26" t="str">
            <v>YAKISOBA</v>
          </cell>
          <cell r="D26">
            <v>10</v>
          </cell>
          <cell r="E26">
            <v>155000</v>
          </cell>
          <cell r="F26">
            <v>15500</v>
          </cell>
          <cell r="G26">
            <v>15500</v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227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5">
        <row r="5">
          <cell r="B5" t="str">
            <v>NWK2K</v>
          </cell>
          <cell r="C5" t="str">
            <v>NABATI WAFER KEJU 52GR</v>
          </cell>
          <cell r="D5">
            <v>100</v>
          </cell>
          <cell r="F5">
            <v>94800</v>
          </cell>
          <cell r="G5">
            <v>89948.44988571429</v>
          </cell>
        </row>
        <row r="6">
          <cell r="B6" t="str">
            <v>NWC2K</v>
          </cell>
          <cell r="C6" t="str">
            <v>NABATI WAFER COKLAT 52GR</v>
          </cell>
          <cell r="D6">
            <v>10</v>
          </cell>
          <cell r="F6">
            <v>94800</v>
          </cell>
          <cell r="G6">
            <v>89948.44988571429</v>
          </cell>
        </row>
        <row r="7">
          <cell r="B7" t="str">
            <v>NWK500</v>
          </cell>
          <cell r="C7" t="str">
            <v>NABATI WAFER KEJU 8GR</v>
          </cell>
          <cell r="D7">
            <v>10</v>
          </cell>
          <cell r="F7">
            <v>80000</v>
          </cell>
          <cell r="G7">
            <v>75148.44988571429</v>
          </cell>
        </row>
        <row r="8">
          <cell r="B8" t="str">
            <v>NWC500</v>
          </cell>
          <cell r="C8" t="str">
            <v>NABATI WAFER COKLAT 8GR</v>
          </cell>
          <cell r="D8">
            <v>30</v>
          </cell>
          <cell r="F8">
            <v>80000</v>
          </cell>
          <cell r="G8">
            <v>75148.44988571429</v>
          </cell>
        </row>
        <row r="9">
          <cell r="B9" t="str">
            <v>NWC1K</v>
          </cell>
          <cell r="C9" t="str">
            <v>NABATI WAFER COKLAT 19GR</v>
          </cell>
          <cell r="D9">
            <v>20</v>
          </cell>
          <cell r="F9">
            <v>91200</v>
          </cell>
          <cell r="G9">
            <v>86348.44988571429</v>
          </cell>
        </row>
        <row r="10">
          <cell r="B10" t="str">
            <v>SK2K</v>
          </cell>
          <cell r="C10" t="str">
            <v>SELIMUT KEJU 2000</v>
          </cell>
          <cell r="D10">
            <v>20</v>
          </cell>
          <cell r="F10">
            <v>94800</v>
          </cell>
          <cell r="G10">
            <v>89948.44988571429</v>
          </cell>
        </row>
        <row r="11">
          <cell r="B11" t="str">
            <v>ROLK2K</v>
          </cell>
          <cell r="C11" t="str">
            <v>ROLL KEJU 2000</v>
          </cell>
          <cell r="D11">
            <v>15</v>
          </cell>
          <cell r="F11">
            <v>94800</v>
          </cell>
          <cell r="G11">
            <v>89948.44988571429</v>
          </cell>
        </row>
        <row r="12">
          <cell r="B12" t="str">
            <v>ROLC2K</v>
          </cell>
          <cell r="C12" t="str">
            <v>ROLL COKLAT 2000</v>
          </cell>
          <cell r="D12">
            <v>15</v>
          </cell>
          <cell r="F12">
            <v>94800</v>
          </cell>
          <cell r="G12">
            <v>89948.44988571429</v>
          </cell>
        </row>
        <row r="13">
          <cell r="B13" t="str">
            <v>PASTA</v>
          </cell>
          <cell r="C13" t="str">
            <v>PASTA</v>
          </cell>
          <cell r="D13">
            <v>5</v>
          </cell>
          <cell r="F13">
            <v>108000</v>
          </cell>
          <cell r="G13">
            <v>103148.44988571429</v>
          </cell>
        </row>
        <row r="14">
          <cell r="B14" t="str">
            <v>SIPK2K</v>
          </cell>
          <cell r="C14" t="str">
            <v>SIIP KEJU 2000</v>
          </cell>
          <cell r="D14">
            <v>10</v>
          </cell>
          <cell r="F14">
            <v>47400</v>
          </cell>
          <cell r="G14">
            <v>42548.449885714283</v>
          </cell>
        </row>
        <row r="15">
          <cell r="B15" t="str">
            <v>SIPJ2K</v>
          </cell>
          <cell r="C15" t="str">
            <v>SIIP JAGUNG 2000</v>
          </cell>
          <cell r="D15">
            <v>10</v>
          </cell>
          <cell r="F15">
            <v>47400</v>
          </cell>
          <cell r="G15">
            <v>42548.449885714283</v>
          </cell>
        </row>
        <row r="16">
          <cell r="B16" t="str">
            <v>SIPK500</v>
          </cell>
          <cell r="C16" t="str">
            <v>SIIP KEJU 500</v>
          </cell>
          <cell r="D16">
            <v>10</v>
          </cell>
          <cell r="F16">
            <v>46200</v>
          </cell>
          <cell r="G16">
            <v>41348.449885714283</v>
          </cell>
        </row>
        <row r="17">
          <cell r="B17" t="str">
            <v>SIPJ500</v>
          </cell>
          <cell r="C17" t="str">
            <v>SIIP JGG 500</v>
          </cell>
          <cell r="D17">
            <v>15</v>
          </cell>
          <cell r="F17">
            <v>46200</v>
          </cell>
          <cell r="G17">
            <v>41348.449885714283</v>
          </cell>
        </row>
        <row r="18">
          <cell r="B18" t="str">
            <v>AHH500</v>
          </cell>
          <cell r="C18" t="str">
            <v>AHH KEJU 500</v>
          </cell>
          <cell r="D18">
            <v>5</v>
          </cell>
          <cell r="F18">
            <v>80000</v>
          </cell>
          <cell r="G18">
            <v>75148.44988571429</v>
          </cell>
        </row>
        <row r="19">
          <cell r="B19" t="str">
            <v>ROLK500</v>
          </cell>
          <cell r="C19" t="str">
            <v>ROLL KEJU 500</v>
          </cell>
          <cell r="D19">
            <v>20</v>
          </cell>
          <cell r="F19">
            <v>48000</v>
          </cell>
          <cell r="G19">
            <v>43148.449885714283</v>
          </cell>
        </row>
        <row r="20">
          <cell r="B20" t="str">
            <v>AHH2K</v>
          </cell>
          <cell r="C20" t="str">
            <v>AHH KEJU 2000</v>
          </cell>
          <cell r="D20">
            <v>5</v>
          </cell>
          <cell r="F20">
            <v>94800</v>
          </cell>
          <cell r="G20">
            <v>89948.44988571429</v>
          </cell>
        </row>
        <row r="21">
          <cell r="B21" t="str">
            <v>SIPC500</v>
          </cell>
          <cell r="C21" t="str">
            <v>SIIP COKLAT 500</v>
          </cell>
          <cell r="D21">
            <v>15</v>
          </cell>
          <cell r="F21">
            <v>46200</v>
          </cell>
          <cell r="G21">
            <v>41348.449885714283</v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315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6">
        <row r="5">
          <cell r="B5" t="str">
            <v>ahh500</v>
          </cell>
          <cell r="C5" t="str">
            <v>AHH KEJU 500</v>
          </cell>
          <cell r="D5">
            <v>10</v>
          </cell>
          <cell r="F5">
            <v>80000</v>
          </cell>
          <cell r="G5">
            <v>74934.734903278688</v>
          </cell>
        </row>
        <row r="6">
          <cell r="B6" t="str">
            <v>SIPK500</v>
          </cell>
          <cell r="C6" t="str">
            <v>SIIP KEJU 500</v>
          </cell>
          <cell r="D6">
            <v>3</v>
          </cell>
          <cell r="F6">
            <v>46200</v>
          </cell>
          <cell r="G6">
            <v>41134.734903278688</v>
          </cell>
        </row>
        <row r="7">
          <cell r="B7" t="str">
            <v>SIPJ500</v>
          </cell>
          <cell r="C7" t="str">
            <v>SIIP JGG 500</v>
          </cell>
          <cell r="D7">
            <v>3</v>
          </cell>
          <cell r="F7">
            <v>46200</v>
          </cell>
          <cell r="G7">
            <v>41134.734903278688</v>
          </cell>
        </row>
        <row r="8">
          <cell r="B8" t="str">
            <v>SIPC500</v>
          </cell>
          <cell r="C8" t="str">
            <v>SIIP COKLAT 500</v>
          </cell>
          <cell r="D8">
            <v>3</v>
          </cell>
          <cell r="F8">
            <v>46200</v>
          </cell>
          <cell r="G8">
            <v>41134.734903278688</v>
          </cell>
        </row>
        <row r="9">
          <cell r="B9" t="str">
            <v>NWK2K</v>
          </cell>
          <cell r="C9" t="str">
            <v>NABATI WAFER KEJU 52GR</v>
          </cell>
          <cell r="D9">
            <v>25</v>
          </cell>
          <cell r="F9">
            <v>94800</v>
          </cell>
          <cell r="G9">
            <v>89734.734903278688</v>
          </cell>
        </row>
        <row r="10">
          <cell r="B10" t="str">
            <v>NWK500</v>
          </cell>
          <cell r="C10" t="str">
            <v>NABATI WAFER KEJU 8GR</v>
          </cell>
          <cell r="D10">
            <v>1</v>
          </cell>
          <cell r="F10">
            <v>80000</v>
          </cell>
          <cell r="G10">
            <v>74934.734903278688</v>
          </cell>
        </row>
        <row r="11">
          <cell r="B11" t="str">
            <v>NWC500</v>
          </cell>
          <cell r="C11" t="str">
            <v>NABATI WAFER COKLAT 8GR</v>
          </cell>
          <cell r="D11">
            <v>1</v>
          </cell>
          <cell r="F11">
            <v>80000</v>
          </cell>
          <cell r="G11">
            <v>74934.734903278688</v>
          </cell>
        </row>
        <row r="12">
          <cell r="B12" t="str">
            <v>ROLK2K</v>
          </cell>
          <cell r="C12" t="str">
            <v>ROLL KEJU 2000</v>
          </cell>
          <cell r="D12">
            <v>3</v>
          </cell>
          <cell r="F12">
            <v>94800</v>
          </cell>
          <cell r="G12">
            <v>89734.734903278688</v>
          </cell>
        </row>
        <row r="13">
          <cell r="B13" t="str">
            <v>ROLC2K</v>
          </cell>
          <cell r="C13" t="str">
            <v>ROLL COKLAT 2000</v>
          </cell>
          <cell r="D13">
            <v>3</v>
          </cell>
          <cell r="F13">
            <v>94800</v>
          </cell>
          <cell r="G13">
            <v>89734.734903278688</v>
          </cell>
        </row>
        <row r="14">
          <cell r="B14" t="str">
            <v>AHH2K</v>
          </cell>
          <cell r="C14" t="str">
            <v>AHH KEJU 2000</v>
          </cell>
          <cell r="D14">
            <v>1</v>
          </cell>
          <cell r="F14">
            <v>94800</v>
          </cell>
          <cell r="G14">
            <v>89734.734903278688</v>
          </cell>
        </row>
        <row r="15">
          <cell r="B15" t="str">
            <v>NWK5K</v>
          </cell>
          <cell r="C15" t="str">
            <v>NABATI WAFER KEJU 145GR</v>
          </cell>
          <cell r="D15">
            <v>2</v>
          </cell>
          <cell r="F15">
            <v>97200</v>
          </cell>
          <cell r="G15">
            <v>92134.734903278688</v>
          </cell>
        </row>
        <row r="16">
          <cell r="B16" t="str">
            <v>NEX2K</v>
          </cell>
          <cell r="C16" t="str">
            <v>NEXTAR 42GR</v>
          </cell>
          <cell r="D16">
            <v>5</v>
          </cell>
          <cell r="F16">
            <v>96000</v>
          </cell>
          <cell r="G16">
            <v>90934.734903278688</v>
          </cell>
        </row>
        <row r="17">
          <cell r="B17" t="str">
            <v>NEX5K</v>
          </cell>
          <cell r="C17" t="str">
            <v>NEXTAR 112GR</v>
          </cell>
          <cell r="D17">
            <v>1</v>
          </cell>
          <cell r="F17">
            <v>121500</v>
          </cell>
          <cell r="G17">
            <v>116434.73490327869</v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61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B36" t="str">
            <v>TOPLES</v>
          </cell>
          <cell r="C36" t="str">
            <v>DONALD BIG STICK TOPLES</v>
          </cell>
          <cell r="D36">
            <v>10</v>
          </cell>
          <cell r="F36">
            <v>46000</v>
          </cell>
          <cell r="G36">
            <v>46000</v>
          </cell>
        </row>
        <row r="37">
          <cell r="B37" t="str">
            <v>REBO</v>
          </cell>
          <cell r="C37" t="str">
            <v>KUACI REBO</v>
          </cell>
          <cell r="D37">
            <v>25</v>
          </cell>
          <cell r="F37">
            <v>75000</v>
          </cell>
          <cell r="G37">
            <v>75000</v>
          </cell>
        </row>
        <row r="38">
          <cell r="B38" t="str">
            <v>YAKI</v>
          </cell>
          <cell r="C38" t="str">
            <v>YAKISOBA</v>
          </cell>
          <cell r="D38">
            <v>20</v>
          </cell>
          <cell r="F38">
            <v>15500</v>
          </cell>
          <cell r="G38">
            <v>15500</v>
          </cell>
        </row>
        <row r="39">
          <cell r="B39" t="str">
            <v>NORI</v>
          </cell>
          <cell r="C39" t="str">
            <v>NORISOBA</v>
          </cell>
          <cell r="D39">
            <v>20</v>
          </cell>
          <cell r="F39">
            <v>15500</v>
          </cell>
          <cell r="G39">
            <v>15500</v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75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7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8">
        <row r="5">
          <cell r="B5" t="str">
            <v>TDUO</v>
          </cell>
          <cell r="C5" t="str">
            <v>TORA BIKA DUO</v>
          </cell>
          <cell r="D5">
            <v>10</v>
          </cell>
          <cell r="F5">
            <v>92412</v>
          </cell>
          <cell r="G5">
            <v>92412</v>
          </cell>
        </row>
        <row r="6">
          <cell r="B6" t="str">
            <v>TSUSU</v>
          </cell>
          <cell r="C6" t="str">
            <v>TORA BIKA SUSU</v>
          </cell>
          <cell r="D6">
            <v>10</v>
          </cell>
          <cell r="F6">
            <v>101793</v>
          </cell>
          <cell r="G6">
            <v>101793</v>
          </cell>
        </row>
        <row r="7">
          <cell r="B7" t="str">
            <v>TCREAM</v>
          </cell>
          <cell r="C7" t="str">
            <v>TORA BIKA CREAMY</v>
          </cell>
          <cell r="D7">
            <v>6</v>
          </cell>
          <cell r="F7">
            <v>152650</v>
          </cell>
          <cell r="G7">
            <v>152650</v>
          </cell>
        </row>
        <row r="8">
          <cell r="B8" t="str">
            <v>NEX2K</v>
          </cell>
          <cell r="C8" t="str">
            <v>NEXTAR 42GR</v>
          </cell>
          <cell r="D8">
            <v>1</v>
          </cell>
          <cell r="F8">
            <v>88000</v>
          </cell>
          <cell r="G8">
            <v>88000</v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27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9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0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1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2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3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4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5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6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7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8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19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0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1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2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3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4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5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6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7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8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29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  <sheetData sheetId="30">
        <row r="5">
          <cell r="C5" t="str">
            <v/>
          </cell>
          <cell r="F5" t="str">
            <v/>
          </cell>
          <cell r="G5" t="str">
            <v/>
          </cell>
        </row>
        <row r="6">
          <cell r="C6" t="str">
            <v/>
          </cell>
          <cell r="F6" t="str">
            <v/>
          </cell>
          <cell r="G6" t="str">
            <v/>
          </cell>
        </row>
        <row r="7">
          <cell r="C7" t="str">
            <v/>
          </cell>
          <cell r="F7" t="str">
            <v/>
          </cell>
          <cell r="G7" t="str">
            <v/>
          </cell>
        </row>
        <row r="8">
          <cell r="C8" t="str">
            <v/>
          </cell>
          <cell r="F8" t="str">
            <v/>
          </cell>
          <cell r="G8" t="str">
            <v/>
          </cell>
        </row>
        <row r="9">
          <cell r="C9" t="str">
            <v/>
          </cell>
          <cell r="F9" t="str">
            <v/>
          </cell>
          <cell r="G9" t="str">
            <v/>
          </cell>
        </row>
        <row r="10">
          <cell r="C10" t="str">
            <v/>
          </cell>
          <cell r="F10" t="str">
            <v/>
          </cell>
          <cell r="G10" t="str">
            <v/>
          </cell>
        </row>
        <row r="11">
          <cell r="C11" t="str">
            <v/>
          </cell>
          <cell r="F11" t="str">
            <v/>
          </cell>
          <cell r="G11" t="str">
            <v/>
          </cell>
        </row>
        <row r="12">
          <cell r="C12" t="str">
            <v/>
          </cell>
          <cell r="F12" t="str">
            <v/>
          </cell>
          <cell r="G12" t="str">
            <v/>
          </cell>
        </row>
        <row r="13">
          <cell r="C13" t="str">
            <v/>
          </cell>
          <cell r="F13" t="str">
            <v/>
          </cell>
          <cell r="G13" t="str">
            <v/>
          </cell>
        </row>
        <row r="14">
          <cell r="C14" t="str">
            <v/>
          </cell>
          <cell r="F14" t="str">
            <v/>
          </cell>
          <cell r="G14" t="str">
            <v/>
          </cell>
        </row>
        <row r="15">
          <cell r="C15" t="str">
            <v/>
          </cell>
          <cell r="F15" t="str">
            <v/>
          </cell>
          <cell r="G15" t="str">
            <v/>
          </cell>
        </row>
        <row r="16">
          <cell r="C16" t="str">
            <v/>
          </cell>
          <cell r="F16" t="str">
            <v/>
          </cell>
          <cell r="G16" t="str">
            <v/>
          </cell>
        </row>
        <row r="17">
          <cell r="C17" t="str">
            <v/>
          </cell>
          <cell r="F17" t="str">
            <v/>
          </cell>
          <cell r="G17" t="str">
            <v/>
          </cell>
        </row>
        <row r="18">
          <cell r="C18" t="str">
            <v/>
          </cell>
          <cell r="F18" t="str">
            <v/>
          </cell>
          <cell r="G18" t="str">
            <v/>
          </cell>
        </row>
        <row r="19">
          <cell r="C19" t="str">
            <v/>
          </cell>
          <cell r="F19" t="str">
            <v/>
          </cell>
          <cell r="G19" t="str">
            <v/>
          </cell>
        </row>
        <row r="20">
          <cell r="C20" t="str">
            <v/>
          </cell>
          <cell r="F20" t="str">
            <v/>
          </cell>
          <cell r="G20" t="str">
            <v/>
          </cell>
        </row>
        <row r="21">
          <cell r="C21" t="str">
            <v/>
          </cell>
          <cell r="F21" t="str">
            <v/>
          </cell>
          <cell r="G21" t="str">
            <v/>
          </cell>
        </row>
        <row r="22">
          <cell r="C22" t="str">
            <v/>
          </cell>
          <cell r="F22" t="str">
            <v/>
          </cell>
          <cell r="G22" t="str">
            <v/>
          </cell>
        </row>
        <row r="23">
          <cell r="C23" t="str">
            <v/>
          </cell>
          <cell r="F23" t="str">
            <v/>
          </cell>
          <cell r="G23" t="str">
            <v/>
          </cell>
        </row>
        <row r="24">
          <cell r="C24" t="str">
            <v/>
          </cell>
          <cell r="F24" t="str">
            <v/>
          </cell>
          <cell r="G24" t="str">
            <v/>
          </cell>
        </row>
        <row r="25">
          <cell r="C25" t="str">
            <v/>
          </cell>
          <cell r="F25" t="str">
            <v/>
          </cell>
          <cell r="G25" t="str">
            <v/>
          </cell>
        </row>
        <row r="26">
          <cell r="C26" t="str">
            <v/>
          </cell>
          <cell r="F26" t="str">
            <v/>
          </cell>
          <cell r="G26" t="str">
            <v/>
          </cell>
        </row>
        <row r="27">
          <cell r="C27" t="str">
            <v/>
          </cell>
          <cell r="F27" t="str">
            <v/>
          </cell>
          <cell r="G27" t="str">
            <v/>
          </cell>
        </row>
        <row r="28">
          <cell r="C28" t="str">
            <v/>
          </cell>
          <cell r="F28" t="str">
            <v/>
          </cell>
          <cell r="G28" t="str">
            <v/>
          </cell>
        </row>
        <row r="29">
          <cell r="C29" t="str">
            <v/>
          </cell>
          <cell r="F29" t="str">
            <v/>
          </cell>
          <cell r="G29" t="str">
            <v/>
          </cell>
        </row>
        <row r="30">
          <cell r="D30">
            <v>0</v>
          </cell>
        </row>
        <row r="33">
          <cell r="B33" t="str">
            <v>PENERIMAAN BARANG</v>
          </cell>
        </row>
        <row r="34">
          <cell r="B34" t="str">
            <v xml:space="preserve">TGL : </v>
          </cell>
        </row>
        <row r="35">
          <cell r="B35" t="str">
            <v>KD ITEM</v>
          </cell>
          <cell r="C35" t="str">
            <v>NAMA ITEM</v>
          </cell>
          <cell r="D35" t="str">
            <v>QTY</v>
          </cell>
          <cell r="F35" t="str">
            <v>HARGA /KRT</v>
          </cell>
          <cell r="G35" t="str">
            <v>HARGA FINAL /KRT</v>
          </cell>
        </row>
        <row r="36">
          <cell r="C36" t="str">
            <v/>
          </cell>
          <cell r="G36" t="str">
            <v/>
          </cell>
        </row>
        <row r="37">
          <cell r="C37" t="str">
            <v/>
          </cell>
          <cell r="G37" t="str">
            <v/>
          </cell>
        </row>
        <row r="38">
          <cell r="C38" t="str">
            <v/>
          </cell>
          <cell r="G38" t="str">
            <v/>
          </cell>
        </row>
        <row r="39">
          <cell r="C39" t="str">
            <v/>
          </cell>
          <cell r="G39" t="str">
            <v/>
          </cell>
        </row>
        <row r="40">
          <cell r="C40" t="str">
            <v/>
          </cell>
          <cell r="G40" t="str">
            <v/>
          </cell>
        </row>
        <row r="41">
          <cell r="C41" t="str">
            <v/>
          </cell>
          <cell r="G41" t="str">
            <v/>
          </cell>
        </row>
        <row r="42">
          <cell r="C42" t="str">
            <v/>
          </cell>
          <cell r="G42" t="str">
            <v/>
          </cell>
        </row>
        <row r="43">
          <cell r="C43" t="str">
            <v/>
          </cell>
          <cell r="G43" t="str">
            <v/>
          </cell>
        </row>
        <row r="44">
          <cell r="C44" t="str">
            <v/>
          </cell>
          <cell r="G44" t="str">
            <v/>
          </cell>
        </row>
        <row r="45">
          <cell r="C45" t="str">
            <v/>
          </cell>
          <cell r="G45" t="str">
            <v/>
          </cell>
        </row>
        <row r="46">
          <cell r="C46" t="str">
            <v/>
          </cell>
          <cell r="G46" t="str">
            <v/>
          </cell>
        </row>
        <row r="47">
          <cell r="C47" t="str">
            <v/>
          </cell>
          <cell r="G47" t="str">
            <v/>
          </cell>
        </row>
        <row r="48">
          <cell r="C48" t="str">
            <v/>
          </cell>
          <cell r="G48" t="str">
            <v/>
          </cell>
        </row>
        <row r="49">
          <cell r="C49" t="str">
            <v/>
          </cell>
          <cell r="G49" t="str">
            <v/>
          </cell>
        </row>
        <row r="50">
          <cell r="C50" t="str">
            <v/>
          </cell>
          <cell r="G50" t="str">
            <v/>
          </cell>
        </row>
        <row r="51">
          <cell r="C51" t="str">
            <v/>
          </cell>
          <cell r="G51" t="str">
            <v/>
          </cell>
        </row>
        <row r="52">
          <cell r="C52" t="str">
            <v/>
          </cell>
          <cell r="G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  <cell r="G56" t="str">
            <v/>
          </cell>
        </row>
        <row r="57">
          <cell r="C57" t="str">
            <v/>
          </cell>
          <cell r="G57" t="str">
            <v/>
          </cell>
        </row>
        <row r="58">
          <cell r="C58" t="str">
            <v/>
          </cell>
          <cell r="G58" t="str">
            <v/>
          </cell>
        </row>
        <row r="59">
          <cell r="C59" t="str">
            <v/>
          </cell>
          <cell r="G59" t="str">
            <v/>
          </cell>
        </row>
        <row r="60">
          <cell r="C60" t="str">
            <v/>
          </cell>
          <cell r="G60" t="str">
            <v/>
          </cell>
        </row>
        <row r="61">
          <cell r="D61">
            <v>0</v>
          </cell>
        </row>
        <row r="63">
          <cell r="B63" t="str">
            <v>PENERIMAAN BARANG</v>
          </cell>
        </row>
        <row r="64">
          <cell r="B64" t="str">
            <v xml:space="preserve">TGL : </v>
          </cell>
        </row>
        <row r="65">
          <cell r="B65" t="str">
            <v>KD ITEM</v>
          </cell>
          <cell r="C65" t="str">
            <v>NAMA ITEM</v>
          </cell>
          <cell r="D65" t="str">
            <v>QTY</v>
          </cell>
          <cell r="E65" t="str">
            <v>HRG NETT</v>
          </cell>
          <cell r="F65" t="str">
            <v>HARGA /KRT</v>
          </cell>
          <cell r="G65" t="str">
            <v>HARGA FINAL /KRT</v>
          </cell>
        </row>
        <row r="66">
          <cell r="C66" t="str">
            <v/>
          </cell>
          <cell r="F66" t="str">
            <v/>
          </cell>
          <cell r="G66" t="str">
            <v/>
          </cell>
        </row>
        <row r="67">
          <cell r="C67" t="str">
            <v/>
          </cell>
          <cell r="F67" t="str">
            <v/>
          </cell>
          <cell r="G67" t="str">
            <v/>
          </cell>
        </row>
        <row r="68">
          <cell r="C68" t="str">
            <v/>
          </cell>
          <cell r="F68" t="str">
            <v/>
          </cell>
          <cell r="G68" t="str">
            <v/>
          </cell>
        </row>
        <row r="69">
          <cell r="C69" t="str">
            <v/>
          </cell>
          <cell r="F69" t="str">
            <v/>
          </cell>
          <cell r="G69" t="str">
            <v/>
          </cell>
        </row>
        <row r="70">
          <cell r="C70" t="str">
            <v/>
          </cell>
          <cell r="F70" t="str">
            <v/>
          </cell>
          <cell r="G70" t="str">
            <v/>
          </cell>
        </row>
        <row r="71">
          <cell r="C71" t="str">
            <v/>
          </cell>
          <cell r="F71" t="str">
            <v/>
          </cell>
          <cell r="G71" t="str">
            <v/>
          </cell>
        </row>
        <row r="72">
          <cell r="C72" t="str">
            <v/>
          </cell>
          <cell r="F72" t="str">
            <v/>
          </cell>
          <cell r="G72" t="str">
            <v/>
          </cell>
        </row>
        <row r="73">
          <cell r="C73" t="str">
            <v/>
          </cell>
          <cell r="F73" t="str">
            <v/>
          </cell>
          <cell r="G73" t="str">
            <v/>
          </cell>
        </row>
        <row r="74">
          <cell r="C74" t="str">
            <v/>
          </cell>
          <cell r="F74" t="str">
            <v/>
          </cell>
          <cell r="G74" t="str">
            <v/>
          </cell>
        </row>
        <row r="75">
          <cell r="C75" t="str">
            <v/>
          </cell>
          <cell r="F75" t="str">
            <v/>
          </cell>
          <cell r="G75" t="str">
            <v/>
          </cell>
        </row>
        <row r="76">
          <cell r="C76" t="str">
            <v/>
          </cell>
          <cell r="F76" t="str">
            <v/>
          </cell>
          <cell r="G76" t="str">
            <v/>
          </cell>
        </row>
        <row r="77">
          <cell r="C77" t="str">
            <v/>
          </cell>
          <cell r="F77" t="str">
            <v/>
          </cell>
          <cell r="G77" t="str">
            <v/>
          </cell>
        </row>
        <row r="78">
          <cell r="C78" t="str">
            <v/>
          </cell>
          <cell r="F78" t="str">
            <v/>
          </cell>
          <cell r="G78" t="str">
            <v/>
          </cell>
        </row>
        <row r="79">
          <cell r="C79" t="str">
            <v/>
          </cell>
          <cell r="F79" t="str">
            <v/>
          </cell>
          <cell r="G79" t="str">
            <v/>
          </cell>
        </row>
        <row r="80">
          <cell r="C80" t="str">
            <v/>
          </cell>
          <cell r="F80" t="str">
            <v/>
          </cell>
          <cell r="G80" t="str">
            <v/>
          </cell>
        </row>
        <row r="81">
          <cell r="C81" t="str">
            <v/>
          </cell>
          <cell r="F81" t="str">
            <v/>
          </cell>
          <cell r="G81" t="str">
            <v/>
          </cell>
        </row>
        <row r="82">
          <cell r="C82" t="str">
            <v/>
          </cell>
          <cell r="F82" t="str">
            <v/>
          </cell>
          <cell r="G82" t="str">
            <v/>
          </cell>
        </row>
        <row r="83">
          <cell r="C83" t="str">
            <v/>
          </cell>
          <cell r="F83" t="str">
            <v/>
          </cell>
          <cell r="G83" t="str">
            <v/>
          </cell>
        </row>
        <row r="84">
          <cell r="C84" t="str">
            <v/>
          </cell>
          <cell r="F84" t="str">
            <v/>
          </cell>
          <cell r="G84" t="str">
            <v/>
          </cell>
        </row>
        <row r="85">
          <cell r="C85" t="str">
            <v/>
          </cell>
          <cell r="F85" t="str">
            <v/>
          </cell>
          <cell r="G85" t="str">
            <v/>
          </cell>
        </row>
        <row r="86">
          <cell r="C86" t="str">
            <v/>
          </cell>
          <cell r="F86" t="str">
            <v/>
          </cell>
          <cell r="G86" t="str">
            <v/>
          </cell>
        </row>
        <row r="87">
          <cell r="C87" t="str">
            <v/>
          </cell>
          <cell r="F87" t="str">
            <v/>
          </cell>
          <cell r="G87" t="str">
            <v/>
          </cell>
        </row>
        <row r="88">
          <cell r="C88" t="str">
            <v/>
          </cell>
          <cell r="F88" t="str">
            <v/>
          </cell>
          <cell r="G88" t="str">
            <v/>
          </cell>
        </row>
        <row r="89">
          <cell r="C89" t="str">
            <v/>
          </cell>
          <cell r="F89" t="str">
            <v/>
          </cell>
          <cell r="G89" t="str">
            <v/>
          </cell>
        </row>
        <row r="90">
          <cell r="C90" t="str">
            <v/>
          </cell>
          <cell r="F90" t="str">
            <v/>
          </cell>
          <cell r="G90" t="str">
            <v/>
          </cell>
        </row>
        <row r="91">
          <cell r="D91">
            <v>0</v>
          </cell>
        </row>
        <row r="94">
          <cell r="B94" t="str">
            <v>PENERIMAAN BARANG</v>
          </cell>
        </row>
        <row r="95">
          <cell r="B95" t="str">
            <v xml:space="preserve">TGL : </v>
          </cell>
        </row>
        <row r="96">
          <cell r="B96" t="str">
            <v>KD ITEM</v>
          </cell>
          <cell r="C96" t="str">
            <v>NAMA ITEM</v>
          </cell>
          <cell r="D96" t="str">
            <v>QTY</v>
          </cell>
          <cell r="E96" t="str">
            <v>HRG NETT</v>
          </cell>
          <cell r="F96" t="str">
            <v>HARGA /KRT</v>
          </cell>
          <cell r="G96" t="str">
            <v>HARGA FINAL /KRT</v>
          </cell>
        </row>
        <row r="97">
          <cell r="C97" t="str">
            <v/>
          </cell>
          <cell r="F97" t="str">
            <v/>
          </cell>
          <cell r="G97" t="str">
            <v/>
          </cell>
        </row>
        <row r="98">
          <cell r="C98" t="str">
            <v/>
          </cell>
          <cell r="F98" t="str">
            <v/>
          </cell>
          <cell r="G98" t="str">
            <v/>
          </cell>
        </row>
        <row r="99">
          <cell r="C99" t="str">
            <v/>
          </cell>
          <cell r="F99" t="str">
            <v/>
          </cell>
          <cell r="G99" t="str">
            <v/>
          </cell>
        </row>
        <row r="100">
          <cell r="C100" t="str">
            <v/>
          </cell>
          <cell r="F100" t="str">
            <v/>
          </cell>
          <cell r="G100" t="str">
            <v/>
          </cell>
        </row>
        <row r="101">
          <cell r="C101" t="str">
            <v/>
          </cell>
          <cell r="F101" t="str">
            <v/>
          </cell>
          <cell r="G101" t="str">
            <v/>
          </cell>
        </row>
        <row r="102">
          <cell r="C102" t="str">
            <v/>
          </cell>
          <cell r="F102" t="str">
            <v/>
          </cell>
          <cell r="G102" t="str">
            <v/>
          </cell>
        </row>
        <row r="103">
          <cell r="C103" t="str">
            <v/>
          </cell>
          <cell r="F103" t="str">
            <v/>
          </cell>
          <cell r="G103" t="str">
            <v/>
          </cell>
        </row>
        <row r="104">
          <cell r="C104" t="str">
            <v/>
          </cell>
          <cell r="F104" t="str">
            <v/>
          </cell>
          <cell r="G104" t="str">
            <v/>
          </cell>
        </row>
        <row r="105">
          <cell r="C105" t="str">
            <v/>
          </cell>
          <cell r="F105" t="str">
            <v/>
          </cell>
          <cell r="G105" t="str">
            <v/>
          </cell>
        </row>
        <row r="106">
          <cell r="C106" t="str">
            <v/>
          </cell>
          <cell r="F106" t="str">
            <v/>
          </cell>
          <cell r="G106" t="str">
            <v/>
          </cell>
        </row>
        <row r="107">
          <cell r="C107" t="str">
            <v/>
          </cell>
          <cell r="F107" t="str">
            <v/>
          </cell>
          <cell r="G107" t="str">
            <v/>
          </cell>
        </row>
        <row r="108">
          <cell r="C108" t="str">
            <v/>
          </cell>
          <cell r="F108" t="str">
            <v/>
          </cell>
          <cell r="G108" t="str">
            <v/>
          </cell>
        </row>
        <row r="109">
          <cell r="C109" t="str">
            <v/>
          </cell>
          <cell r="F109" t="str">
            <v/>
          </cell>
          <cell r="G109" t="str">
            <v/>
          </cell>
        </row>
        <row r="110">
          <cell r="C110" t="str">
            <v/>
          </cell>
          <cell r="F110" t="str">
            <v/>
          </cell>
          <cell r="G110" t="str">
            <v/>
          </cell>
        </row>
        <row r="111">
          <cell r="C111" t="str">
            <v/>
          </cell>
          <cell r="F111" t="str">
            <v/>
          </cell>
          <cell r="G111" t="str">
            <v/>
          </cell>
        </row>
        <row r="112">
          <cell r="C112" t="str">
            <v/>
          </cell>
          <cell r="F112" t="str">
            <v/>
          </cell>
          <cell r="G112" t="str">
            <v/>
          </cell>
        </row>
        <row r="113">
          <cell r="C113" t="str">
            <v/>
          </cell>
          <cell r="F113" t="str">
            <v/>
          </cell>
          <cell r="G113" t="str">
            <v/>
          </cell>
        </row>
        <row r="114">
          <cell r="C114" t="str">
            <v/>
          </cell>
          <cell r="F114" t="str">
            <v/>
          </cell>
          <cell r="G114" t="str">
            <v/>
          </cell>
        </row>
        <row r="115">
          <cell r="C115" t="str">
            <v/>
          </cell>
          <cell r="F115" t="str">
            <v/>
          </cell>
          <cell r="G115" t="str">
            <v/>
          </cell>
        </row>
        <row r="116">
          <cell r="C116" t="str">
            <v/>
          </cell>
          <cell r="F116" t="str">
            <v/>
          </cell>
          <cell r="G116" t="str">
            <v/>
          </cell>
        </row>
        <row r="117">
          <cell r="C117" t="str">
            <v/>
          </cell>
          <cell r="F117" t="str">
            <v/>
          </cell>
          <cell r="G117" t="str">
            <v/>
          </cell>
        </row>
        <row r="118">
          <cell r="C118" t="str">
            <v/>
          </cell>
          <cell r="F118" t="str">
            <v/>
          </cell>
          <cell r="G118" t="str">
            <v/>
          </cell>
        </row>
        <row r="119">
          <cell r="C119" t="str">
            <v/>
          </cell>
          <cell r="F119" t="str">
            <v/>
          </cell>
          <cell r="G119" t="str">
            <v/>
          </cell>
        </row>
        <row r="120">
          <cell r="C120" t="str">
            <v/>
          </cell>
          <cell r="F120" t="str">
            <v/>
          </cell>
          <cell r="G120" t="str">
            <v/>
          </cell>
        </row>
        <row r="121">
          <cell r="C121" t="str">
            <v/>
          </cell>
          <cell r="F121" t="str">
            <v/>
          </cell>
          <cell r="G121" t="str">
            <v/>
          </cell>
        </row>
        <row r="122">
          <cell r="D122">
            <v>0</v>
          </cell>
        </row>
        <row r="125">
          <cell r="B125" t="str">
            <v>PENERIMAAN BARANG</v>
          </cell>
        </row>
        <row r="126">
          <cell r="B126" t="str">
            <v xml:space="preserve">TGL : </v>
          </cell>
        </row>
        <row r="127">
          <cell r="B127" t="str">
            <v>KD ITEM</v>
          </cell>
          <cell r="C127" t="str">
            <v>NAMA ITEM</v>
          </cell>
          <cell r="D127" t="str">
            <v>QTY</v>
          </cell>
          <cell r="E127" t="str">
            <v>HRG NETT</v>
          </cell>
          <cell r="F127" t="str">
            <v>HARGA /KRT</v>
          </cell>
          <cell r="G127" t="str">
            <v>HARGA FINAL /KRT</v>
          </cell>
        </row>
        <row r="128">
          <cell r="C128" t="str">
            <v/>
          </cell>
          <cell r="F128" t="str">
            <v/>
          </cell>
          <cell r="G128" t="str">
            <v/>
          </cell>
        </row>
        <row r="129">
          <cell r="C129" t="str">
            <v/>
          </cell>
          <cell r="F129" t="str">
            <v/>
          </cell>
          <cell r="G129" t="str">
            <v/>
          </cell>
        </row>
        <row r="130">
          <cell r="C130" t="str">
            <v/>
          </cell>
          <cell r="F130" t="str">
            <v/>
          </cell>
          <cell r="G130" t="str">
            <v/>
          </cell>
        </row>
        <row r="131">
          <cell r="C131" t="str">
            <v/>
          </cell>
          <cell r="F131" t="str">
            <v/>
          </cell>
          <cell r="G131" t="str">
            <v/>
          </cell>
        </row>
        <row r="132">
          <cell r="C132" t="str">
            <v/>
          </cell>
          <cell r="F132" t="str">
            <v/>
          </cell>
          <cell r="G132" t="str">
            <v/>
          </cell>
        </row>
        <row r="133">
          <cell r="C133" t="str">
            <v/>
          </cell>
          <cell r="F133" t="str">
            <v/>
          </cell>
          <cell r="G133" t="str">
            <v/>
          </cell>
        </row>
        <row r="134">
          <cell r="C134" t="str">
            <v/>
          </cell>
          <cell r="F134" t="str">
            <v/>
          </cell>
          <cell r="G134" t="str">
            <v/>
          </cell>
        </row>
        <row r="135">
          <cell r="C135" t="str">
            <v/>
          </cell>
          <cell r="F135" t="str">
            <v/>
          </cell>
          <cell r="G135" t="str">
            <v/>
          </cell>
        </row>
        <row r="136">
          <cell r="C136" t="str">
            <v/>
          </cell>
          <cell r="F136" t="str">
            <v/>
          </cell>
          <cell r="G136" t="str">
            <v/>
          </cell>
        </row>
        <row r="137">
          <cell r="C137" t="str">
            <v/>
          </cell>
          <cell r="F137" t="str">
            <v/>
          </cell>
          <cell r="G137" t="str">
            <v/>
          </cell>
        </row>
        <row r="138">
          <cell r="C138" t="str">
            <v/>
          </cell>
          <cell r="F138" t="str">
            <v/>
          </cell>
          <cell r="G138" t="str">
            <v/>
          </cell>
        </row>
        <row r="139">
          <cell r="C139" t="str">
            <v/>
          </cell>
          <cell r="F139" t="str">
            <v/>
          </cell>
          <cell r="G139" t="str">
            <v/>
          </cell>
        </row>
        <row r="140">
          <cell r="C140" t="str">
            <v/>
          </cell>
          <cell r="F140" t="str">
            <v/>
          </cell>
          <cell r="G140" t="str">
            <v/>
          </cell>
        </row>
        <row r="141">
          <cell r="C141" t="str">
            <v/>
          </cell>
          <cell r="F141" t="str">
            <v/>
          </cell>
          <cell r="G141" t="str">
            <v/>
          </cell>
        </row>
        <row r="142">
          <cell r="C142" t="str">
            <v/>
          </cell>
          <cell r="F142" t="str">
            <v/>
          </cell>
          <cell r="G142" t="str">
            <v/>
          </cell>
        </row>
        <row r="143">
          <cell r="C143" t="str">
            <v/>
          </cell>
          <cell r="F143" t="str">
            <v/>
          </cell>
          <cell r="G143" t="str">
            <v/>
          </cell>
        </row>
        <row r="144">
          <cell r="C144" t="str">
            <v/>
          </cell>
          <cell r="F144" t="str">
            <v/>
          </cell>
          <cell r="G144" t="str">
            <v/>
          </cell>
        </row>
        <row r="145">
          <cell r="C145" t="str">
            <v/>
          </cell>
          <cell r="F145" t="str">
            <v/>
          </cell>
          <cell r="G145" t="str">
            <v/>
          </cell>
        </row>
        <row r="146">
          <cell r="C146" t="str">
            <v/>
          </cell>
          <cell r="F146" t="str">
            <v/>
          </cell>
          <cell r="G146" t="str">
            <v/>
          </cell>
        </row>
        <row r="147">
          <cell r="C147" t="str">
            <v/>
          </cell>
          <cell r="F147" t="str">
            <v/>
          </cell>
          <cell r="G147" t="str">
            <v/>
          </cell>
        </row>
        <row r="148">
          <cell r="C148" t="str">
            <v/>
          </cell>
          <cell r="F148" t="str">
            <v/>
          </cell>
          <cell r="G148" t="str">
            <v/>
          </cell>
        </row>
        <row r="149">
          <cell r="C149" t="str">
            <v/>
          </cell>
          <cell r="F149" t="str">
            <v/>
          </cell>
          <cell r="G149" t="str">
            <v/>
          </cell>
        </row>
        <row r="150">
          <cell r="C150" t="str">
            <v/>
          </cell>
          <cell r="F150" t="str">
            <v/>
          </cell>
          <cell r="G150" t="str">
            <v/>
          </cell>
        </row>
        <row r="151">
          <cell r="C151" t="str">
            <v/>
          </cell>
          <cell r="F151" t="str">
            <v/>
          </cell>
          <cell r="G151" t="str">
            <v/>
          </cell>
        </row>
        <row r="152">
          <cell r="C152" t="str">
            <v/>
          </cell>
          <cell r="F152" t="str">
            <v/>
          </cell>
          <cell r="G152" t="str">
            <v/>
          </cell>
        </row>
        <row r="153">
          <cell r="D153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  <sheetName val="Sheet1"/>
    </sheetNames>
    <sheetDataSet>
      <sheetData sheetId="0">
        <row r="5">
          <cell r="C5" t="str">
            <v>NWK500</v>
          </cell>
          <cell r="D5" t="str">
            <v>NABATI WAFER KEJU 8GR</v>
          </cell>
        </row>
        <row r="6">
          <cell r="C6" t="str">
            <v>NWC500</v>
          </cell>
          <cell r="D6" t="str">
            <v>NABATI WAFER COKLAT 8GR</v>
          </cell>
        </row>
        <row r="7">
          <cell r="C7" t="str">
            <v>NWK2K</v>
          </cell>
          <cell r="D7" t="str">
            <v>NABATI WAFER KEJU 52GR</v>
          </cell>
        </row>
        <row r="8">
          <cell r="C8" t="str">
            <v>NWC2K</v>
          </cell>
          <cell r="D8" t="str">
            <v>NABATI WAFER COKLAT 52GR</v>
          </cell>
        </row>
      </sheetData>
      <sheetData sheetId="1">
        <row r="5">
          <cell r="B5" t="str">
            <v>NWK500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SIPK500</v>
          </cell>
          <cell r="C15" t="str">
            <v>SIIP KEJU 500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SIPK2K</v>
          </cell>
          <cell r="C16" t="str">
            <v>SIIP KEJU 2000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SIPJ2K</v>
          </cell>
          <cell r="C17" t="str">
            <v>SIIP JAGUNG 2000</v>
          </cell>
          <cell r="D17">
            <v>0</v>
          </cell>
          <cell r="E17">
            <v>0</v>
          </cell>
          <cell r="G17">
            <v>0</v>
          </cell>
        </row>
        <row r="18">
          <cell r="B18" t="str">
            <v>SIPC2K</v>
          </cell>
          <cell r="C18" t="str">
            <v>SIIP COKLAT 2000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ROLK500</v>
          </cell>
          <cell r="C19" t="str">
            <v>ROLL KEJU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ROLK2K</v>
          </cell>
          <cell r="C20" t="str">
            <v>ROLL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ROLC2K</v>
          </cell>
          <cell r="C21" t="str">
            <v>ROLL COKLAT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AHH500</v>
          </cell>
          <cell r="C22" t="str">
            <v>AHH KEJU 500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SK500</v>
          </cell>
          <cell r="C23" t="str">
            <v>SELIMUT KEJU 500</v>
          </cell>
          <cell r="D23">
            <v>0</v>
          </cell>
          <cell r="E23">
            <v>0</v>
          </cell>
          <cell r="G23">
            <v>0</v>
          </cell>
        </row>
        <row r="24">
          <cell r="B24" t="str">
            <v>SC500</v>
          </cell>
          <cell r="C24" t="str">
            <v>SELIMUT COKLAT 500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PASTA</v>
          </cell>
          <cell r="C25" t="str">
            <v>PASTA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NEX</v>
          </cell>
          <cell r="C26" t="str">
            <v>NEXTAR 142GR</v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 t="str">
            <v>MINTZP</v>
          </cell>
          <cell r="C28" t="str">
            <v>MINTZ PEPPERMINT</v>
          </cell>
          <cell r="D28">
            <v>0</v>
          </cell>
          <cell r="E28">
            <v>0</v>
          </cell>
          <cell r="G28">
            <v>0</v>
          </cell>
        </row>
        <row r="29">
          <cell r="B29" t="str">
            <v>MINTZD</v>
          </cell>
          <cell r="C29" t="str">
            <v>MINTZ DOUBLEMINT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BSR</v>
          </cell>
          <cell r="C30" t="str">
            <v>BLASTER NEOPOLITAN</v>
          </cell>
          <cell r="D30">
            <v>0</v>
          </cell>
          <cell r="E30">
            <v>0</v>
          </cell>
          <cell r="G30">
            <v>0</v>
          </cell>
        </row>
        <row r="31">
          <cell r="B31" t="str">
            <v>BPOP</v>
          </cell>
          <cell r="C31" t="str">
            <v>BLASTER POP FRUITFULL</v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WFTC500</v>
          </cell>
          <cell r="C32" t="str">
            <v>WAFER TANGGO LONG COKLAT 8GR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WFTV500</v>
          </cell>
          <cell r="C33" t="str">
            <v>WAFER TANGGO LONG VANILA 8GR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WFTK500</v>
          </cell>
          <cell r="C34" t="str">
            <v>WAFER TANGGO LONG KEJU 8GR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WFTC2K</v>
          </cell>
          <cell r="C35" t="str">
            <v>WAFER TANGGO LONG COKLAT 52GR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WFTV2K</v>
          </cell>
          <cell r="C36" t="str">
            <v>WAFER TANGGO LONG VANILA 52GR</v>
          </cell>
          <cell r="D36">
            <v>0</v>
          </cell>
          <cell r="E36">
            <v>0</v>
          </cell>
          <cell r="G36">
            <v>0</v>
          </cell>
        </row>
        <row r="37">
          <cell r="B37" t="str">
            <v>WFTK2K</v>
          </cell>
          <cell r="C37" t="str">
            <v>WAFER TANGGO LONG KEJU 52GR</v>
          </cell>
          <cell r="D37">
            <v>0</v>
          </cell>
          <cell r="E37">
            <v>0</v>
          </cell>
          <cell r="G37">
            <v>0</v>
          </cell>
        </row>
        <row r="38">
          <cell r="B38" t="str">
            <v>WFLC500</v>
          </cell>
          <cell r="C38" t="str">
            <v>WAFFLE CRUNCHOX 8GR</v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0</v>
          </cell>
          <cell r="E9">
            <v>0</v>
          </cell>
          <cell r="G9">
            <v>0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NWK2K</v>
          </cell>
          <cell r="C11" t="str">
            <v>NABATI WAFER KEJU 52GR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NWC2K</v>
          </cell>
          <cell r="C12" t="str">
            <v>NABATI WAFER COKLAT 52GR</v>
          </cell>
          <cell r="D12">
            <v>0</v>
          </cell>
          <cell r="E12">
            <v>0</v>
          </cell>
          <cell r="G12">
            <v>0</v>
          </cell>
        </row>
        <row r="13">
          <cell r="B13"/>
          <cell r="C13" t="str">
            <v/>
          </cell>
          <cell r="D13">
            <v>0</v>
          </cell>
          <cell r="E13">
            <v>0</v>
          </cell>
          <cell r="G13">
            <v>0</v>
          </cell>
        </row>
        <row r="14">
          <cell r="B14"/>
          <cell r="C14" t="str">
            <v/>
          </cell>
          <cell r="D14">
            <v>0</v>
          </cell>
          <cell r="E14">
            <v>0</v>
          </cell>
          <cell r="G14">
            <v>0</v>
          </cell>
        </row>
        <row r="15">
          <cell r="B15"/>
          <cell r="C15" t="str">
            <v/>
          </cell>
          <cell r="D15">
            <v>0</v>
          </cell>
          <cell r="E15">
            <v>0</v>
          </cell>
          <cell r="G15">
            <v>0</v>
          </cell>
        </row>
        <row r="16">
          <cell r="B16"/>
          <cell r="C16" t="str">
            <v/>
          </cell>
          <cell r="D16">
            <v>0</v>
          </cell>
          <cell r="E16">
            <v>0</v>
          </cell>
          <cell r="G16">
            <v>0</v>
          </cell>
        </row>
        <row r="17">
          <cell r="B17"/>
          <cell r="C17" t="str">
            <v/>
          </cell>
          <cell r="D17">
            <v>0</v>
          </cell>
          <cell r="E17">
            <v>0</v>
          </cell>
          <cell r="G17">
            <v>0</v>
          </cell>
        </row>
        <row r="18">
          <cell r="B18"/>
          <cell r="C18" t="str">
            <v/>
          </cell>
          <cell r="D18">
            <v>0</v>
          </cell>
          <cell r="E18">
            <v>0</v>
          </cell>
          <cell r="G18">
            <v>0</v>
          </cell>
        </row>
        <row r="19">
          <cell r="B19"/>
          <cell r="C19" t="str">
            <v/>
          </cell>
          <cell r="D19">
            <v>0</v>
          </cell>
          <cell r="E19">
            <v>0</v>
          </cell>
          <cell r="G19">
            <v>0</v>
          </cell>
        </row>
        <row r="20">
          <cell r="B20"/>
          <cell r="C20" t="str">
            <v/>
          </cell>
          <cell r="D20">
            <v>0</v>
          </cell>
          <cell r="E20">
            <v>0</v>
          </cell>
          <cell r="G20">
            <v>0</v>
          </cell>
        </row>
        <row r="21">
          <cell r="B21"/>
          <cell r="C21" t="str">
            <v/>
          </cell>
          <cell r="D21">
            <v>0</v>
          </cell>
          <cell r="E21">
            <v>0</v>
          </cell>
          <cell r="G21">
            <v>0</v>
          </cell>
        </row>
        <row r="22">
          <cell r="B22"/>
          <cell r="C22" t="str">
            <v/>
          </cell>
          <cell r="D22">
            <v>0</v>
          </cell>
          <cell r="E22">
            <v>0</v>
          </cell>
          <cell r="G22">
            <v>0</v>
          </cell>
        </row>
        <row r="23">
          <cell r="B23"/>
          <cell r="C23" t="str">
            <v/>
          </cell>
          <cell r="D23">
            <v>0</v>
          </cell>
          <cell r="E23">
            <v>0</v>
          </cell>
          <cell r="G23">
            <v>0</v>
          </cell>
        </row>
        <row r="24">
          <cell r="B24"/>
          <cell r="C24" t="str">
            <v/>
          </cell>
          <cell r="D24">
            <v>0</v>
          </cell>
          <cell r="E24">
            <v>0</v>
          </cell>
          <cell r="G24">
            <v>0</v>
          </cell>
        </row>
        <row r="25">
          <cell r="B25"/>
          <cell r="C25" t="str">
            <v/>
          </cell>
          <cell r="D25">
            <v>0</v>
          </cell>
          <cell r="E25">
            <v>0</v>
          </cell>
          <cell r="G25">
            <v>0</v>
          </cell>
        </row>
        <row r="26">
          <cell r="B26"/>
          <cell r="C26" t="str">
            <v/>
          </cell>
          <cell r="D26">
            <v>0</v>
          </cell>
          <cell r="E26">
            <v>0</v>
          </cell>
          <cell r="G26">
            <v>0</v>
          </cell>
        </row>
        <row r="27">
          <cell r="B27"/>
          <cell r="C27" t="str">
            <v/>
          </cell>
          <cell r="D27">
            <v>0</v>
          </cell>
          <cell r="E27">
            <v>0</v>
          </cell>
          <cell r="G27">
            <v>0</v>
          </cell>
        </row>
        <row r="28">
          <cell r="B28"/>
          <cell r="C28" t="str">
            <v/>
          </cell>
          <cell r="D28">
            <v>0</v>
          </cell>
          <cell r="E28">
            <v>0</v>
          </cell>
          <cell r="G28">
            <v>0</v>
          </cell>
        </row>
        <row r="29">
          <cell r="B29"/>
          <cell r="C29" t="str">
            <v/>
          </cell>
          <cell r="D29">
            <v>0</v>
          </cell>
          <cell r="E29">
            <v>0</v>
          </cell>
          <cell r="G29">
            <v>0</v>
          </cell>
        </row>
        <row r="30">
          <cell r="B30"/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/>
          <cell r="C32" t="str">
            <v/>
          </cell>
          <cell r="D32">
            <v>0</v>
          </cell>
          <cell r="E32">
            <v>0</v>
          </cell>
          <cell r="G32">
            <v>0</v>
          </cell>
        </row>
        <row r="33">
          <cell r="B33"/>
          <cell r="C33" t="str">
            <v/>
          </cell>
          <cell r="D33">
            <v>0</v>
          </cell>
          <cell r="E33">
            <v>0</v>
          </cell>
          <cell r="G33">
            <v>0</v>
          </cell>
        </row>
        <row r="34">
          <cell r="B34"/>
          <cell r="C34" t="str">
            <v/>
          </cell>
          <cell r="D34">
            <v>0</v>
          </cell>
          <cell r="E34">
            <v>0</v>
          </cell>
          <cell r="G34">
            <v>0</v>
          </cell>
        </row>
        <row r="35">
          <cell r="B35"/>
          <cell r="C35" t="str">
            <v/>
          </cell>
          <cell r="D35">
            <v>0</v>
          </cell>
          <cell r="E35">
            <v>0</v>
          </cell>
          <cell r="G35">
            <v>0</v>
          </cell>
        </row>
        <row r="36">
          <cell r="B36"/>
          <cell r="C36" t="str">
            <v/>
          </cell>
          <cell r="D36">
            <v>0</v>
          </cell>
          <cell r="E36">
            <v>0</v>
          </cell>
          <cell r="G36">
            <v>0</v>
          </cell>
        </row>
        <row r="37">
          <cell r="B37"/>
          <cell r="C37" t="str">
            <v/>
          </cell>
          <cell r="D37">
            <v>0</v>
          </cell>
          <cell r="E37">
            <v>0</v>
          </cell>
          <cell r="G37">
            <v>0</v>
          </cell>
        </row>
        <row r="38">
          <cell r="B38"/>
          <cell r="C38" t="str">
            <v/>
          </cell>
          <cell r="D38">
            <v>0</v>
          </cell>
          <cell r="E38">
            <v>0</v>
          </cell>
          <cell r="G38">
            <v>0</v>
          </cell>
        </row>
        <row r="39">
          <cell r="B39"/>
          <cell r="C39" t="str">
            <v/>
          </cell>
          <cell r="D39">
            <v>0</v>
          </cell>
          <cell r="E39">
            <v>0</v>
          </cell>
          <cell r="G39">
            <v>0</v>
          </cell>
        </row>
        <row r="40">
          <cell r="B40"/>
          <cell r="C40" t="str">
            <v/>
          </cell>
          <cell r="D40">
            <v>0</v>
          </cell>
          <cell r="E40">
            <v>0</v>
          </cell>
          <cell r="G40">
            <v>0</v>
          </cell>
        </row>
        <row r="41">
          <cell r="B41"/>
          <cell r="C41" t="str">
            <v/>
          </cell>
          <cell r="D41">
            <v>0</v>
          </cell>
          <cell r="E41">
            <v>0</v>
          </cell>
          <cell r="G41">
            <v>0</v>
          </cell>
        </row>
        <row r="42">
          <cell r="B42"/>
          <cell r="C42" t="str">
            <v/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0</v>
          </cell>
          <cell r="E52">
            <v>0</v>
          </cell>
          <cell r="G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9</v>
          </cell>
          <cell r="E9">
            <v>700200</v>
          </cell>
          <cell r="G9">
            <v>25116.675538537689</v>
          </cell>
        </row>
        <row r="10">
          <cell r="B10" t="str">
            <v>NWC500</v>
          </cell>
          <cell r="C10" t="str">
            <v>NABATI WAFER COKLAT 8GR</v>
          </cell>
          <cell r="D10">
            <v>3</v>
          </cell>
          <cell r="E10">
            <v>232800</v>
          </cell>
          <cell r="G10">
            <v>8415.5999099873879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15</v>
          </cell>
          <cell r="E13">
            <v>1389780</v>
          </cell>
          <cell r="G13">
            <v>42641.125897562815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NWK5K</v>
          </cell>
          <cell r="C15" t="str">
            <v>NABATI WAFER KEJU 145GR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NWC5K</v>
          </cell>
          <cell r="C16" t="str">
            <v>NABATI WAFER COKLAT 145GR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SIPK500</v>
          </cell>
          <cell r="C17" t="str">
            <v>SIIP KEJU 500</v>
          </cell>
          <cell r="D17">
            <v>1</v>
          </cell>
          <cell r="E17">
            <v>45500</v>
          </cell>
          <cell r="G17">
            <v>4290.7417265041804</v>
          </cell>
        </row>
        <row r="18">
          <cell r="B18" t="str">
            <v>SIPJ500</v>
          </cell>
          <cell r="C18" t="str">
            <v>SIIP JGG 500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SIPC500</v>
          </cell>
          <cell r="C19" t="str">
            <v>SIIP COKLAT 500</v>
          </cell>
          <cell r="D19">
            <v>0</v>
          </cell>
          <cell r="E19">
            <v>0</v>
          </cell>
          <cell r="G19">
            <v>0</v>
          </cell>
        </row>
        <row r="20">
          <cell r="B20" t="str">
            <v>SIPK2K</v>
          </cell>
          <cell r="C20" t="str">
            <v>SIIP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SIPJ2K</v>
          </cell>
          <cell r="C21" t="str">
            <v>SIIP JAGUNG 2000</v>
          </cell>
          <cell r="D21">
            <v>0</v>
          </cell>
          <cell r="E21">
            <v>0</v>
          </cell>
          <cell r="G21">
            <v>0</v>
          </cell>
        </row>
        <row r="22">
          <cell r="B22" t="str">
            <v>SIPC2K</v>
          </cell>
          <cell r="C22" t="str">
            <v>SIIP COKLAT 2000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ROLK500</v>
          </cell>
          <cell r="C23" t="str">
            <v>ROLL KEJU 500</v>
          </cell>
          <cell r="D23">
            <v>4</v>
          </cell>
          <cell r="E23">
            <v>186240</v>
          </cell>
          <cell r="G23">
            <v>14202.966906016722</v>
          </cell>
        </row>
        <row r="24">
          <cell r="B24" t="str">
            <v>ROLK2K</v>
          </cell>
          <cell r="C24" t="str">
            <v>ROLL KEJU 2000</v>
          </cell>
          <cell r="D24">
            <v>2</v>
          </cell>
          <cell r="E24">
            <v>183912</v>
          </cell>
          <cell r="G24">
            <v>4722.399939991592</v>
          </cell>
        </row>
        <row r="25">
          <cell r="B25" t="str">
            <v>ROLC2K</v>
          </cell>
          <cell r="C25" t="str">
            <v>ROLL COKLAT 2000</v>
          </cell>
          <cell r="D25">
            <v>2</v>
          </cell>
          <cell r="E25">
            <v>183912</v>
          </cell>
          <cell r="G25">
            <v>4722.399939991592</v>
          </cell>
        </row>
        <row r="26">
          <cell r="B26" t="str">
            <v>AHH500</v>
          </cell>
          <cell r="C26" t="str">
            <v>AHH KEJU 500</v>
          </cell>
          <cell r="D26">
            <v>1</v>
          </cell>
          <cell r="E26">
            <v>78500</v>
          </cell>
          <cell r="G26">
            <v>3490.7417265041877</v>
          </cell>
        </row>
        <row r="27">
          <cell r="B27" t="str">
            <v>SK500</v>
          </cell>
          <cell r="C27" t="str">
            <v>SELIMUT KEJU 500</v>
          </cell>
          <cell r="D27">
            <v>1</v>
          </cell>
          <cell r="E27">
            <v>77600</v>
          </cell>
          <cell r="G27">
            <v>2660.3375326134264</v>
          </cell>
        </row>
        <row r="28">
          <cell r="B28" t="str">
            <v>SC500</v>
          </cell>
          <cell r="C28" t="str">
            <v>SELIMUT COKLAT 500</v>
          </cell>
          <cell r="D28">
            <v>2</v>
          </cell>
          <cell r="E28">
            <v>155200</v>
          </cell>
          <cell r="G28">
            <v>5320.6750652268529</v>
          </cell>
        </row>
        <row r="29">
          <cell r="B29" t="str">
            <v>PASTA</v>
          </cell>
          <cell r="C29" t="str">
            <v>PASTA</v>
          </cell>
          <cell r="D29">
            <v>0</v>
          </cell>
          <cell r="E29">
            <v>0</v>
          </cell>
          <cell r="G29">
            <v>0</v>
          </cell>
        </row>
        <row r="30">
          <cell r="B30" t="str">
            <v>NEX</v>
          </cell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MINTZP</v>
          </cell>
          <cell r="C32" t="str">
            <v>MINTZ PEPPERMINT</v>
          </cell>
          <cell r="D32">
            <v>2</v>
          </cell>
          <cell r="E32">
            <v>152000</v>
          </cell>
          <cell r="G32">
            <v>5750.0003999999899</v>
          </cell>
        </row>
        <row r="33">
          <cell r="B33" t="str">
            <v>MINTZD</v>
          </cell>
          <cell r="C33" t="str">
            <v>MINTZ DOUBLEMINT</v>
          </cell>
          <cell r="D33">
            <v>0</v>
          </cell>
          <cell r="E33">
            <v>0</v>
          </cell>
          <cell r="G33">
            <v>0</v>
          </cell>
        </row>
        <row r="34">
          <cell r="B34" t="str">
            <v>BSR</v>
          </cell>
          <cell r="C34" t="str">
            <v>BLASTER NEOPOLITAN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BPOP</v>
          </cell>
          <cell r="C35" t="str">
            <v>BLASTER POP FRUITFULL</v>
          </cell>
          <cell r="D35">
            <v>0</v>
          </cell>
          <cell r="E35">
            <v>0</v>
          </cell>
          <cell r="G35">
            <v>0</v>
          </cell>
        </row>
        <row r="36">
          <cell r="B36" t="str">
            <v>WFTC500</v>
          </cell>
          <cell r="C36" t="str">
            <v>WAFER TANGGO LONG COKLAT 8GR</v>
          </cell>
          <cell r="D36">
            <v>1</v>
          </cell>
          <cell r="E36">
            <v>77000</v>
          </cell>
          <cell r="G36">
            <v>1730</v>
          </cell>
        </row>
        <row r="37">
          <cell r="B37" t="str">
            <v>WFTV500</v>
          </cell>
          <cell r="C37" t="str">
            <v>WAFER TANGGO LONG VANILA 8GR</v>
          </cell>
          <cell r="D37">
            <v>2</v>
          </cell>
          <cell r="E37">
            <v>154000</v>
          </cell>
          <cell r="G37">
            <v>3460</v>
          </cell>
        </row>
        <row r="38">
          <cell r="B38" t="str">
            <v>WFTK500</v>
          </cell>
          <cell r="C38" t="str">
            <v>WAFER TANGGO LONG KEJU 8GR</v>
          </cell>
          <cell r="D38">
            <v>0</v>
          </cell>
          <cell r="E38">
            <v>0</v>
          </cell>
          <cell r="G38">
            <v>0</v>
          </cell>
        </row>
        <row r="39">
          <cell r="B39" t="str">
            <v>WFTC2K</v>
          </cell>
          <cell r="C39" t="str">
            <v>WAFER TANGGO LONG COKLAT 52GR</v>
          </cell>
          <cell r="D39">
            <v>2</v>
          </cell>
          <cell r="E39">
            <v>180000</v>
          </cell>
          <cell r="G39">
            <v>3458.6510000000126</v>
          </cell>
        </row>
        <row r="40">
          <cell r="B40" t="str">
            <v>WFTV2K</v>
          </cell>
          <cell r="C40" t="str">
            <v>WAFER TANGGO LONG VANILA 52GR</v>
          </cell>
          <cell r="D40">
            <v>1</v>
          </cell>
          <cell r="E40">
            <v>90000</v>
          </cell>
          <cell r="G40">
            <v>1729.3494999999966</v>
          </cell>
        </row>
        <row r="41">
          <cell r="B41" t="str">
            <v>WFTK2K</v>
          </cell>
          <cell r="C41" t="str">
            <v>WAFER TANGGO LONG KEJU 52GR</v>
          </cell>
          <cell r="D41">
            <v>0</v>
          </cell>
          <cell r="E41">
            <v>0</v>
          </cell>
          <cell r="G41">
            <v>0</v>
          </cell>
        </row>
        <row r="42">
          <cell r="B42" t="str">
            <v>WFLC500</v>
          </cell>
          <cell r="C42" t="str">
            <v>WAFFLE CRUNCHOX 8GR</v>
          </cell>
          <cell r="D42">
            <v>1</v>
          </cell>
          <cell r="E42">
            <v>47000</v>
          </cell>
          <cell r="G42">
            <v>687.5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/>
          <cell r="C44" t="str">
            <v/>
          </cell>
          <cell r="D44">
            <v>0</v>
          </cell>
          <cell r="E44">
            <v>0</v>
          </cell>
          <cell r="G44">
            <v>0</v>
          </cell>
        </row>
        <row r="45">
          <cell r="B45"/>
          <cell r="C45" t="str">
            <v/>
          </cell>
          <cell r="D45">
            <v>0</v>
          </cell>
          <cell r="E45">
            <v>0</v>
          </cell>
          <cell r="G45">
            <v>0</v>
          </cell>
        </row>
        <row r="46">
          <cell r="B46"/>
          <cell r="C46" t="str">
            <v/>
          </cell>
          <cell r="D46">
            <v>0</v>
          </cell>
          <cell r="E46">
            <v>0</v>
          </cell>
          <cell r="G46">
            <v>0</v>
          </cell>
        </row>
        <row r="47">
          <cell r="B47"/>
          <cell r="C47" t="str">
            <v/>
          </cell>
          <cell r="D47">
            <v>0</v>
          </cell>
          <cell r="E47">
            <v>0</v>
          </cell>
          <cell r="G47">
            <v>0</v>
          </cell>
        </row>
        <row r="48">
          <cell r="B48"/>
          <cell r="C48" t="str">
            <v/>
          </cell>
          <cell r="D48">
            <v>0</v>
          </cell>
          <cell r="E48">
            <v>0</v>
          </cell>
          <cell r="G48">
            <v>0</v>
          </cell>
        </row>
        <row r="49">
          <cell r="B49"/>
          <cell r="C49" t="str">
            <v/>
          </cell>
          <cell r="D49">
            <v>0</v>
          </cell>
          <cell r="E49">
            <v>0</v>
          </cell>
          <cell r="G49">
            <v>0</v>
          </cell>
        </row>
        <row r="50">
          <cell r="B50"/>
          <cell r="C50" t="str">
            <v/>
          </cell>
          <cell r="D50">
            <v>0</v>
          </cell>
          <cell r="E50">
            <v>0</v>
          </cell>
          <cell r="G50">
            <v>0</v>
          </cell>
        </row>
        <row r="52">
          <cell r="D52">
            <v>49</v>
          </cell>
          <cell r="E52">
            <v>3933644</v>
          </cell>
          <cell r="G52">
            <v>132399.16508293644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5</v>
          </cell>
          <cell r="E9">
            <v>392500</v>
          </cell>
          <cell r="G9">
            <v>17453.708632520938</v>
          </cell>
        </row>
        <row r="10">
          <cell r="B10" t="str">
            <v>NWC500</v>
          </cell>
          <cell r="C10" t="str">
            <v>NABATI WAFER COKLAT 8GR</v>
          </cell>
          <cell r="D10">
            <v>2</v>
          </cell>
          <cell r="E10">
            <v>157000</v>
          </cell>
          <cell r="G10">
            <v>7410.399939991592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9</v>
          </cell>
          <cell r="E13">
            <v>831780</v>
          </cell>
          <cell r="G13">
            <v>23496.675538537689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NWK5K</v>
          </cell>
          <cell r="C15" t="str">
            <v>NABATI WAFER KEJU 145GR</v>
          </cell>
          <cell r="D15">
            <v>1</v>
          </cell>
          <cell r="E15">
            <v>96500</v>
          </cell>
          <cell r="G15">
            <v>3861.8252395209565</v>
          </cell>
        </row>
        <row r="16">
          <cell r="B16" t="str">
            <v>NWC5K</v>
          </cell>
          <cell r="C16" t="str">
            <v>NABATI WAFER COKLAT 145GR</v>
          </cell>
          <cell r="D16">
            <v>1</v>
          </cell>
          <cell r="E16">
            <v>96500</v>
          </cell>
          <cell r="G16">
            <v>3861.8252395209565</v>
          </cell>
        </row>
        <row r="17">
          <cell r="B17" t="str">
            <v>SIPK500</v>
          </cell>
          <cell r="C17" t="str">
            <v>SIIP KEJU 500</v>
          </cell>
          <cell r="D17">
            <v>4</v>
          </cell>
          <cell r="E17">
            <v>180628</v>
          </cell>
          <cell r="G17">
            <v>15790.966906016722</v>
          </cell>
        </row>
        <row r="18">
          <cell r="B18" t="str">
            <v>SIPJ500</v>
          </cell>
          <cell r="C18" t="str">
            <v>SIIP JGG 500</v>
          </cell>
          <cell r="D18">
            <v>3</v>
          </cell>
          <cell r="E18">
            <v>135128</v>
          </cell>
          <cell r="G18">
            <v>10648.063030710022</v>
          </cell>
        </row>
        <row r="19">
          <cell r="B19" t="str">
            <v>SIPC500</v>
          </cell>
          <cell r="C19" t="str">
            <v>SIIP COKLAT 500</v>
          </cell>
          <cell r="D19">
            <v>1</v>
          </cell>
          <cell r="E19">
            <v>44814</v>
          </cell>
          <cell r="G19">
            <v>3320.6876769033406</v>
          </cell>
        </row>
        <row r="20">
          <cell r="B20" t="str">
            <v>SIPK2K</v>
          </cell>
          <cell r="C20" t="str">
            <v>SIIP KEJU 2000</v>
          </cell>
          <cell r="D20">
            <v>4</v>
          </cell>
          <cell r="E20">
            <v>184000</v>
          </cell>
          <cell r="G20">
            <v>13226.750707613362</v>
          </cell>
        </row>
        <row r="21">
          <cell r="B21" t="str">
            <v>SIPJ2K</v>
          </cell>
          <cell r="C21" t="str">
            <v>SIIP JAGUNG 2000</v>
          </cell>
          <cell r="D21">
            <v>1</v>
          </cell>
          <cell r="E21">
            <v>46000</v>
          </cell>
          <cell r="G21">
            <v>3306.6876769033406</v>
          </cell>
        </row>
        <row r="22">
          <cell r="B22" t="str">
            <v>SIPC2K</v>
          </cell>
          <cell r="C22" t="str">
            <v>SIIP COKLAT 2000</v>
          </cell>
          <cell r="D22">
            <v>2</v>
          </cell>
          <cell r="E22">
            <v>92000</v>
          </cell>
          <cell r="G22">
            <v>6323.6504790419131</v>
          </cell>
        </row>
        <row r="23">
          <cell r="B23" t="str">
            <v>ROLK500</v>
          </cell>
          <cell r="C23" t="str">
            <v>ROLL KEJU 500</v>
          </cell>
          <cell r="D23">
            <v>8</v>
          </cell>
          <cell r="E23">
            <v>372000</v>
          </cell>
          <cell r="G23">
            <v>27925.933812033443</v>
          </cell>
        </row>
        <row r="24">
          <cell r="B24" t="str">
            <v>ROLK2K</v>
          </cell>
          <cell r="C24" t="str">
            <v>ROLL KEJU 2000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ROLC2K</v>
          </cell>
          <cell r="C25" t="str">
            <v>ROLL COKLAT 2000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AHH500</v>
          </cell>
          <cell r="C26" t="str">
            <v>AHH KEJU 500</v>
          </cell>
          <cell r="D26">
            <v>4</v>
          </cell>
          <cell r="E26">
            <v>314000</v>
          </cell>
          <cell r="G26">
            <v>13962.966906016751</v>
          </cell>
        </row>
        <row r="27">
          <cell r="B27" t="str">
            <v>SK500</v>
          </cell>
          <cell r="C27" t="str">
            <v>SELIMUT KEJU 500</v>
          </cell>
          <cell r="D27">
            <v>6</v>
          </cell>
          <cell r="E27">
            <v>471000</v>
          </cell>
          <cell r="G27">
            <v>21362.025195680559</v>
          </cell>
        </row>
        <row r="28">
          <cell r="B28" t="str">
            <v>SC500</v>
          </cell>
          <cell r="C28" t="str">
            <v>SELIMUT COKLAT 500</v>
          </cell>
          <cell r="D28">
            <v>3</v>
          </cell>
          <cell r="E28">
            <v>235500</v>
          </cell>
          <cell r="G28">
            <v>10681.012597840279</v>
          </cell>
        </row>
        <row r="29">
          <cell r="B29" t="str">
            <v>PASTA</v>
          </cell>
          <cell r="C29" t="str">
            <v>PASTA</v>
          </cell>
          <cell r="D29">
            <v>1</v>
          </cell>
          <cell r="E29">
            <v>107000</v>
          </cell>
          <cell r="G29">
            <v>3706.6876769033261</v>
          </cell>
        </row>
        <row r="30">
          <cell r="B30" t="str">
            <v>NEX</v>
          </cell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MINTZP</v>
          </cell>
          <cell r="C32" t="str">
            <v>MINTZ PEPPERMINT</v>
          </cell>
          <cell r="D32">
            <v>2</v>
          </cell>
          <cell r="E32">
            <v>150000</v>
          </cell>
          <cell r="G32">
            <v>3750.0003999999899</v>
          </cell>
        </row>
        <row r="33">
          <cell r="B33" t="str">
            <v>MINTZD</v>
          </cell>
          <cell r="C33" t="str">
            <v>MINTZ DOUBLEMINT</v>
          </cell>
          <cell r="D33">
            <v>1</v>
          </cell>
          <cell r="E33">
            <v>75000</v>
          </cell>
          <cell r="G33">
            <v>1874.9998000000051</v>
          </cell>
        </row>
        <row r="34">
          <cell r="B34" t="str">
            <v>BSR</v>
          </cell>
          <cell r="C34" t="str">
            <v>BLASTER NEOPOLITAN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BPOP</v>
          </cell>
          <cell r="C35" t="str">
            <v>BLASTER POP FRUITFULL</v>
          </cell>
          <cell r="D35">
            <v>1</v>
          </cell>
          <cell r="E35">
            <v>45500</v>
          </cell>
          <cell r="G35">
            <v>1137.500333333337</v>
          </cell>
        </row>
        <row r="36">
          <cell r="B36" t="str">
            <v>WFTC500</v>
          </cell>
          <cell r="C36" t="str">
            <v>WAFER TANGGO LONG COKLAT 8GR</v>
          </cell>
          <cell r="D36">
            <v>2</v>
          </cell>
          <cell r="E36">
            <v>154000</v>
          </cell>
          <cell r="G36">
            <v>3460</v>
          </cell>
        </row>
        <row r="37">
          <cell r="B37" t="str">
            <v>WFTV500</v>
          </cell>
          <cell r="C37" t="str">
            <v>WAFER TANGGO LONG VANILA 8GR</v>
          </cell>
          <cell r="D37">
            <v>2</v>
          </cell>
          <cell r="E37">
            <v>154000</v>
          </cell>
          <cell r="G37">
            <v>3460</v>
          </cell>
        </row>
        <row r="38">
          <cell r="B38" t="str">
            <v>WFTK500</v>
          </cell>
          <cell r="C38" t="str">
            <v>WAFER TANGGO LONG KEJU 8GR</v>
          </cell>
          <cell r="D38">
            <v>2</v>
          </cell>
          <cell r="E38">
            <v>154000</v>
          </cell>
          <cell r="G38">
            <v>4648</v>
          </cell>
        </row>
        <row r="39">
          <cell r="B39" t="str">
            <v>WFTC2K</v>
          </cell>
          <cell r="C39" t="str">
            <v>WAFER TANGGO LONG COKLAT 52GR</v>
          </cell>
          <cell r="D39">
            <v>4</v>
          </cell>
          <cell r="E39">
            <v>360000</v>
          </cell>
          <cell r="G39">
            <v>6917.3020000000251</v>
          </cell>
        </row>
        <row r="40">
          <cell r="B40" t="str">
            <v>WFTV2K</v>
          </cell>
          <cell r="C40" t="str">
            <v>WAFER TANGGO LONG VANILA 52GR</v>
          </cell>
          <cell r="D40">
            <v>5</v>
          </cell>
          <cell r="E40">
            <v>450000</v>
          </cell>
          <cell r="G40">
            <v>8646.7474999999831</v>
          </cell>
        </row>
        <row r="41">
          <cell r="B41" t="str">
            <v>WFTK2K</v>
          </cell>
          <cell r="C41" t="str">
            <v>WAFER TANGGO LONG KEJU 52GR</v>
          </cell>
          <cell r="D41">
            <v>0</v>
          </cell>
          <cell r="E41">
            <v>0</v>
          </cell>
          <cell r="G41">
            <v>0</v>
          </cell>
        </row>
        <row r="42">
          <cell r="B42" t="str">
            <v>WFLC500</v>
          </cell>
          <cell r="C42" t="str">
            <v>WAFFLE CRUNCHOX 8GR</v>
          </cell>
          <cell r="D42">
            <v>1</v>
          </cell>
          <cell r="E42">
            <v>47000</v>
          </cell>
          <cell r="G42">
            <v>687.5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 t="str">
            <v>INUL</v>
          </cell>
          <cell r="C44" t="str">
            <v>INUL JELLY</v>
          </cell>
          <cell r="D44">
            <v>0</v>
          </cell>
          <cell r="E44">
            <v>0</v>
          </cell>
          <cell r="G44">
            <v>0</v>
          </cell>
        </row>
        <row r="45">
          <cell r="B45" t="str">
            <v>PUDING</v>
          </cell>
          <cell r="C45" t="str">
            <v>DONALD PUDING CUP</v>
          </cell>
          <cell r="D45">
            <v>0</v>
          </cell>
          <cell r="E45">
            <v>0</v>
          </cell>
          <cell r="G45">
            <v>0</v>
          </cell>
        </row>
        <row r="46">
          <cell r="B46" t="str">
            <v>TUPER</v>
          </cell>
          <cell r="C46" t="str">
            <v>DONALD BIG STICK TUPPERWARE</v>
          </cell>
          <cell r="D46">
            <v>0</v>
          </cell>
          <cell r="E46">
            <v>0</v>
          </cell>
          <cell r="G46">
            <v>0</v>
          </cell>
        </row>
        <row r="47">
          <cell r="B47" t="str">
            <v>TOPLES</v>
          </cell>
          <cell r="C47" t="str">
            <v>DONALD BIG STICK TOPLES</v>
          </cell>
          <cell r="D47">
            <v>5</v>
          </cell>
          <cell r="E47">
            <v>234000</v>
          </cell>
          <cell r="G47">
            <v>4000</v>
          </cell>
        </row>
        <row r="48">
          <cell r="B48" t="str">
            <v>PAK</v>
          </cell>
          <cell r="C48" t="str">
            <v>DONALD BIG STICK PAK</v>
          </cell>
          <cell r="D48">
            <v>0</v>
          </cell>
          <cell r="E48">
            <v>0</v>
          </cell>
          <cell r="G48">
            <v>0</v>
          </cell>
        </row>
        <row r="49">
          <cell r="B49" t="str">
            <v>ICE</v>
          </cell>
          <cell r="C49" t="str">
            <v>LPK ICE CREAM</v>
          </cell>
          <cell r="D49">
            <v>0</v>
          </cell>
          <cell r="E49">
            <v>0</v>
          </cell>
          <cell r="G49">
            <v>0</v>
          </cell>
        </row>
        <row r="50">
          <cell r="B50" t="str">
            <v>JELLY</v>
          </cell>
          <cell r="C50" t="str">
            <v>LPK JELLY BOX DUS</v>
          </cell>
          <cell r="D50">
            <v>0</v>
          </cell>
          <cell r="E50">
            <v>0</v>
          </cell>
          <cell r="G50">
            <v>0</v>
          </cell>
        </row>
        <row r="51">
          <cell r="B51" t="str">
            <v>MEISES</v>
          </cell>
          <cell r="C51" t="str">
            <v>NITCHI MEISES</v>
          </cell>
          <cell r="D51">
            <v>0</v>
          </cell>
          <cell r="E51">
            <v>0</v>
          </cell>
          <cell r="G51">
            <v>0</v>
          </cell>
        </row>
        <row r="52">
          <cell r="B52" t="str">
            <v>NITCHI</v>
          </cell>
          <cell r="C52" t="str">
            <v>WASUKA NITCHI PASTA</v>
          </cell>
          <cell r="D52">
            <v>0</v>
          </cell>
          <cell r="E52">
            <v>0</v>
          </cell>
          <cell r="G52">
            <v>0</v>
          </cell>
        </row>
        <row r="53">
          <cell r="B53" t="str">
            <v>LAZERY</v>
          </cell>
          <cell r="C53" t="str">
            <v>LAZERY</v>
          </cell>
          <cell r="D53">
            <v>0</v>
          </cell>
          <cell r="E53">
            <v>0</v>
          </cell>
          <cell r="G53">
            <v>0</v>
          </cell>
        </row>
        <row r="54">
          <cell r="B54" t="str">
            <v>CHIKORY</v>
          </cell>
          <cell r="C54" t="str">
            <v>CHIKORY</v>
          </cell>
          <cell r="D54">
            <v>0</v>
          </cell>
          <cell r="E54">
            <v>0</v>
          </cell>
          <cell r="G54">
            <v>0</v>
          </cell>
        </row>
        <row r="55">
          <cell r="B55" t="str">
            <v>BABALON</v>
          </cell>
          <cell r="C55" t="str">
            <v>BABALOON</v>
          </cell>
          <cell r="D55">
            <v>0</v>
          </cell>
          <cell r="E55">
            <v>0</v>
          </cell>
          <cell r="G55">
            <v>0</v>
          </cell>
        </row>
        <row r="56">
          <cell r="B56" t="str">
            <v>MAGNUS</v>
          </cell>
          <cell r="C56" t="str">
            <v>MAGNUS</v>
          </cell>
          <cell r="D56">
            <v>0</v>
          </cell>
          <cell r="E56">
            <v>0</v>
          </cell>
          <cell r="G56">
            <v>0</v>
          </cell>
        </row>
        <row r="57">
          <cell r="B57" t="str">
            <v>REBO</v>
          </cell>
          <cell r="C57" t="str">
            <v>KUACI REBO</v>
          </cell>
          <cell r="D57">
            <v>0</v>
          </cell>
          <cell r="E57">
            <v>0</v>
          </cell>
          <cell r="G57">
            <v>0</v>
          </cell>
        </row>
        <row r="58">
          <cell r="B58" t="str">
            <v>CHOKU</v>
          </cell>
          <cell r="C58" t="str">
            <v>WASUKA CHOKU</v>
          </cell>
          <cell r="D58">
            <v>0</v>
          </cell>
          <cell r="E58">
            <v>0</v>
          </cell>
          <cell r="G58">
            <v>0</v>
          </cell>
        </row>
        <row r="59">
          <cell r="B59" t="str">
            <v>KITA</v>
          </cell>
          <cell r="C59" t="str">
            <v>WAFER JUMBO KITA</v>
          </cell>
          <cell r="D59">
            <v>0</v>
          </cell>
          <cell r="E59">
            <v>0</v>
          </cell>
          <cell r="G59">
            <v>0</v>
          </cell>
        </row>
        <row r="60">
          <cell r="B60" t="str">
            <v>PANG</v>
          </cell>
          <cell r="C60" t="str">
            <v>PANGPANG KOREA</v>
          </cell>
          <cell r="D60">
            <v>0</v>
          </cell>
          <cell r="E60">
            <v>0</v>
          </cell>
          <cell r="G60">
            <v>0</v>
          </cell>
        </row>
        <row r="61">
          <cell r="B61" t="str">
            <v>NGETOP</v>
          </cell>
          <cell r="C61" t="str">
            <v>NGETOP</v>
          </cell>
          <cell r="D61">
            <v>0</v>
          </cell>
          <cell r="E61">
            <v>0</v>
          </cell>
          <cell r="G61">
            <v>0</v>
          </cell>
        </row>
        <row r="62">
          <cell r="B62" t="str">
            <v>ASTAGA</v>
          </cell>
          <cell r="C62" t="str">
            <v>ASTAGA</v>
          </cell>
          <cell r="D62">
            <v>0</v>
          </cell>
          <cell r="E62">
            <v>0</v>
          </cell>
          <cell r="G62">
            <v>0</v>
          </cell>
        </row>
        <row r="63">
          <cell r="B63" t="str">
            <v>NORI</v>
          </cell>
          <cell r="C63" t="str">
            <v>NORISOBA</v>
          </cell>
          <cell r="D63">
            <v>0</v>
          </cell>
          <cell r="E63">
            <v>0</v>
          </cell>
          <cell r="G63">
            <v>0</v>
          </cell>
        </row>
        <row r="64">
          <cell r="B64" t="str">
            <v>YAKI</v>
          </cell>
          <cell r="C64" t="str">
            <v>YAKISOBA</v>
          </cell>
          <cell r="D64">
            <v>0</v>
          </cell>
          <cell r="E64">
            <v>0</v>
          </cell>
          <cell r="G64">
            <v>0</v>
          </cell>
        </row>
        <row r="65">
          <cell r="B65" t="str">
            <v>ASYIK</v>
          </cell>
          <cell r="C65" t="str">
            <v>ASYIK</v>
          </cell>
          <cell r="D65">
            <v>0</v>
          </cell>
          <cell r="E65">
            <v>0</v>
          </cell>
          <cell r="G65">
            <v>0</v>
          </cell>
        </row>
        <row r="66">
          <cell r="D66">
            <v>80</v>
          </cell>
          <cell r="E66">
            <v>5579850</v>
          </cell>
          <cell r="G66">
            <v>224921.91728908854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1"/>
      <sheetName val="2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>
        <row r="9">
          <cell r="B9" t="str">
            <v>NWK500</v>
          </cell>
          <cell r="C9" t="str">
            <v>NABATI WAFER KEJU 8GR</v>
          </cell>
          <cell r="D9">
            <v>6</v>
          </cell>
          <cell r="E9">
            <v>470500</v>
          </cell>
          <cell r="G9">
            <v>20444.450359025126</v>
          </cell>
        </row>
        <row r="10">
          <cell r="B10" t="str">
            <v>NWC500</v>
          </cell>
          <cell r="C10" t="str">
            <v>NABATI WAFER COKLAT 8GR</v>
          </cell>
          <cell r="D10">
            <v>0</v>
          </cell>
          <cell r="E10">
            <v>0</v>
          </cell>
          <cell r="G10">
            <v>0</v>
          </cell>
        </row>
        <row r="11">
          <cell r="B11" t="str">
            <v>NWK1K</v>
          </cell>
          <cell r="C11" t="str">
            <v>NABATI WAFER KEJU 19GR</v>
          </cell>
          <cell r="D11">
            <v>0</v>
          </cell>
          <cell r="E11">
            <v>0</v>
          </cell>
          <cell r="G11">
            <v>0</v>
          </cell>
        </row>
        <row r="12">
          <cell r="B12" t="str">
            <v>NWC1K</v>
          </cell>
          <cell r="C12" t="str">
            <v>NABATI WAFER COKLAT 19GR</v>
          </cell>
          <cell r="D12">
            <v>0</v>
          </cell>
          <cell r="E12">
            <v>0</v>
          </cell>
          <cell r="G12">
            <v>0</v>
          </cell>
        </row>
        <row r="13">
          <cell r="B13" t="str">
            <v>NWK2K</v>
          </cell>
          <cell r="C13" t="str">
            <v>NABATI WAFER KEJU 52GR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NWC2K</v>
          </cell>
          <cell r="C14" t="str">
            <v>NABATI WAFER COKLAT 52GR</v>
          </cell>
          <cell r="D14">
            <v>0</v>
          </cell>
          <cell r="E14">
            <v>0</v>
          </cell>
          <cell r="G14">
            <v>0</v>
          </cell>
        </row>
        <row r="15">
          <cell r="B15" t="str">
            <v>NWK5K</v>
          </cell>
          <cell r="C15" t="str">
            <v>NABATI WAFER KEJU 145GR</v>
          </cell>
          <cell r="D15">
            <v>0</v>
          </cell>
          <cell r="E15">
            <v>0</v>
          </cell>
          <cell r="G15">
            <v>0</v>
          </cell>
        </row>
        <row r="16">
          <cell r="B16" t="str">
            <v>NWC5K</v>
          </cell>
          <cell r="C16" t="str">
            <v>NABATI WAFER COKLAT 145GR</v>
          </cell>
          <cell r="D16">
            <v>0</v>
          </cell>
          <cell r="E16">
            <v>0</v>
          </cell>
          <cell r="G16">
            <v>0</v>
          </cell>
        </row>
        <row r="17">
          <cell r="B17" t="str">
            <v>SIPK500</v>
          </cell>
          <cell r="C17" t="str">
            <v>SIIP KEJU 500</v>
          </cell>
          <cell r="D17">
            <v>3</v>
          </cell>
          <cell r="E17">
            <v>136000</v>
          </cell>
          <cell r="G17">
            <v>12372.225179512541</v>
          </cell>
        </row>
        <row r="18">
          <cell r="B18" t="str">
            <v>SIPJ500</v>
          </cell>
          <cell r="C18" t="str">
            <v>SIIP JGG 500</v>
          </cell>
          <cell r="D18">
            <v>0</v>
          </cell>
          <cell r="E18">
            <v>0</v>
          </cell>
          <cell r="G18">
            <v>0</v>
          </cell>
        </row>
        <row r="19">
          <cell r="B19" t="str">
            <v>SIPC500</v>
          </cell>
          <cell r="C19" t="str">
            <v>SIIP COKLAT 500</v>
          </cell>
          <cell r="D19">
            <v>2</v>
          </cell>
          <cell r="E19">
            <v>91000</v>
          </cell>
          <cell r="G19">
            <v>8013.3753538066812</v>
          </cell>
        </row>
        <row r="20">
          <cell r="B20" t="str">
            <v>SIPK2K</v>
          </cell>
          <cell r="C20" t="str">
            <v>SIIP KEJU 2000</v>
          </cell>
          <cell r="D20">
            <v>0</v>
          </cell>
          <cell r="E20">
            <v>0</v>
          </cell>
          <cell r="G20">
            <v>0</v>
          </cell>
        </row>
        <row r="21">
          <cell r="B21" t="str">
            <v>SIPJ2K</v>
          </cell>
          <cell r="C21" t="str">
            <v>SIIP JAGUNG 2000</v>
          </cell>
          <cell r="D21">
            <v>1</v>
          </cell>
          <cell r="E21">
            <v>45500</v>
          </cell>
          <cell r="G21">
            <v>2806.6876769033406</v>
          </cell>
        </row>
        <row r="22">
          <cell r="B22" t="str">
            <v>SIPC2K</v>
          </cell>
          <cell r="C22" t="str">
            <v>SIIP COKLAT 2000</v>
          </cell>
          <cell r="D22">
            <v>0</v>
          </cell>
          <cell r="E22">
            <v>0</v>
          </cell>
          <cell r="G22">
            <v>0</v>
          </cell>
        </row>
        <row r="23">
          <cell r="B23" t="str">
            <v>ROLK500</v>
          </cell>
          <cell r="C23" t="str">
            <v>ROLL KEJU 500</v>
          </cell>
          <cell r="D23">
            <v>5</v>
          </cell>
          <cell r="E23">
            <v>232500</v>
          </cell>
          <cell r="G23">
            <v>17453.708632520902</v>
          </cell>
        </row>
        <row r="24">
          <cell r="B24" t="str">
            <v>ROLK2K</v>
          </cell>
          <cell r="C24" t="str">
            <v>ROLL KEJU 2000</v>
          </cell>
          <cell r="D24">
            <v>0</v>
          </cell>
          <cell r="E24">
            <v>0</v>
          </cell>
          <cell r="G24">
            <v>0</v>
          </cell>
        </row>
        <row r="25">
          <cell r="B25" t="str">
            <v>ROLC2K</v>
          </cell>
          <cell r="C25" t="str">
            <v>ROLL COKLAT 2000</v>
          </cell>
          <cell r="D25">
            <v>0</v>
          </cell>
          <cell r="E25">
            <v>0</v>
          </cell>
          <cell r="G25">
            <v>0</v>
          </cell>
        </row>
        <row r="26">
          <cell r="B26" t="str">
            <v>AHH500</v>
          </cell>
          <cell r="C26" t="str">
            <v>AHH KEJU 500</v>
          </cell>
          <cell r="D26">
            <v>2</v>
          </cell>
          <cell r="E26">
            <v>157000</v>
          </cell>
          <cell r="G26">
            <v>6981.4834530083754</v>
          </cell>
        </row>
        <row r="27">
          <cell r="B27" t="str">
            <v>SK500</v>
          </cell>
          <cell r="C27" t="str">
            <v>SELIMUT KEJU 500</v>
          </cell>
          <cell r="D27">
            <v>5</v>
          </cell>
          <cell r="E27">
            <v>391500</v>
          </cell>
          <cell r="G27">
            <v>16801.687663067132</v>
          </cell>
        </row>
        <row r="28">
          <cell r="B28" t="str">
            <v>SC500</v>
          </cell>
          <cell r="C28" t="str">
            <v>SELIMUT COKLAT 500</v>
          </cell>
          <cell r="D28">
            <v>4</v>
          </cell>
          <cell r="E28">
            <v>313000</v>
          </cell>
          <cell r="G28">
            <v>13241.350130453706</v>
          </cell>
        </row>
        <row r="29">
          <cell r="B29" t="str">
            <v>PASTA</v>
          </cell>
          <cell r="C29" t="str">
            <v>PASTA</v>
          </cell>
          <cell r="D29">
            <v>2</v>
          </cell>
          <cell r="E29">
            <v>214000</v>
          </cell>
          <cell r="G29">
            <v>7413.3753538066521</v>
          </cell>
        </row>
        <row r="30">
          <cell r="B30" t="str">
            <v>NEX</v>
          </cell>
          <cell r="C30" t="str">
            <v/>
          </cell>
          <cell r="D30">
            <v>0</v>
          </cell>
          <cell r="E30">
            <v>0</v>
          </cell>
          <cell r="G30">
            <v>0</v>
          </cell>
        </row>
        <row r="31">
          <cell r="B31"/>
          <cell r="C31" t="str">
            <v/>
          </cell>
          <cell r="D31">
            <v>0</v>
          </cell>
          <cell r="E31">
            <v>0</v>
          </cell>
          <cell r="G31">
            <v>0</v>
          </cell>
        </row>
        <row r="32">
          <cell r="B32" t="str">
            <v>MINTZP</v>
          </cell>
          <cell r="C32" t="str">
            <v>MINTZ PEPPERMINT</v>
          </cell>
          <cell r="D32">
            <v>0</v>
          </cell>
          <cell r="E32">
            <v>0</v>
          </cell>
          <cell r="G32">
            <v>0</v>
          </cell>
        </row>
        <row r="33">
          <cell r="B33" t="str">
            <v>MINTZD</v>
          </cell>
          <cell r="C33" t="str">
            <v>MINTZ DOUBLEMINT</v>
          </cell>
          <cell r="D33">
            <v>1</v>
          </cell>
          <cell r="E33">
            <v>74000</v>
          </cell>
          <cell r="G33">
            <v>874.99980000000505</v>
          </cell>
        </row>
        <row r="34">
          <cell r="B34" t="str">
            <v>BSR</v>
          </cell>
          <cell r="C34" t="str">
            <v>BLASTER NEOPOLITAN</v>
          </cell>
          <cell r="D34">
            <v>1</v>
          </cell>
          <cell r="E34">
            <v>99000</v>
          </cell>
          <cell r="G34">
            <v>1500.0780000000086</v>
          </cell>
        </row>
        <row r="35">
          <cell r="B35" t="str">
            <v>BPOP</v>
          </cell>
          <cell r="C35" t="str">
            <v>BLASTER POP FRUITFULL</v>
          </cell>
          <cell r="D35">
            <v>3</v>
          </cell>
          <cell r="E35">
            <v>136500</v>
          </cell>
          <cell r="G35">
            <v>3412.5010000000111</v>
          </cell>
        </row>
        <row r="36">
          <cell r="B36" t="str">
            <v>WFTC500</v>
          </cell>
          <cell r="C36" t="str">
            <v>WAFER TANGGO LONG COKLAT 8GR</v>
          </cell>
          <cell r="D36">
            <v>2</v>
          </cell>
          <cell r="E36">
            <v>154000</v>
          </cell>
          <cell r="G36">
            <v>3460</v>
          </cell>
        </row>
        <row r="37">
          <cell r="B37" t="str">
            <v>WFTV500</v>
          </cell>
          <cell r="C37" t="str">
            <v>WAFER TANGGO LONG VANILA 8GR</v>
          </cell>
          <cell r="D37">
            <v>2</v>
          </cell>
          <cell r="E37">
            <v>154000</v>
          </cell>
          <cell r="G37">
            <v>3460</v>
          </cell>
        </row>
        <row r="38">
          <cell r="B38" t="str">
            <v>WFTK500</v>
          </cell>
          <cell r="C38" t="str">
            <v>WAFER TANGGO LONG KEJU 8GR</v>
          </cell>
          <cell r="D38">
            <v>2</v>
          </cell>
          <cell r="E38">
            <v>154000</v>
          </cell>
          <cell r="G38">
            <v>4648</v>
          </cell>
        </row>
        <row r="39">
          <cell r="B39" t="str">
            <v>WFTC2K</v>
          </cell>
          <cell r="C39" t="str">
            <v>WAFER TANGGO LONG COKLAT 52GR</v>
          </cell>
          <cell r="D39">
            <v>7</v>
          </cell>
          <cell r="E39">
            <v>629000</v>
          </cell>
          <cell r="G39">
            <v>11105.278500000044</v>
          </cell>
        </row>
        <row r="40">
          <cell r="B40" t="str">
            <v>WFTV2K</v>
          </cell>
          <cell r="C40" t="str">
            <v>WAFER TANGGO LONG VANILA 52GR</v>
          </cell>
          <cell r="D40">
            <v>4</v>
          </cell>
          <cell r="E40">
            <v>359000</v>
          </cell>
          <cell r="G40">
            <v>5917.3979999999865</v>
          </cell>
        </row>
        <row r="41">
          <cell r="B41" t="str">
            <v>WFTK2K</v>
          </cell>
          <cell r="C41" t="str">
            <v>WAFER TANGGO LONG KEJU 52GR</v>
          </cell>
          <cell r="D41">
            <v>5</v>
          </cell>
          <cell r="E41">
            <v>449000</v>
          </cell>
          <cell r="G41">
            <v>12605.999999999985</v>
          </cell>
        </row>
        <row r="42">
          <cell r="B42" t="str">
            <v>WFLC500</v>
          </cell>
          <cell r="C42" t="str">
            <v>WAFFLE CRUNCHOX 8GR</v>
          </cell>
          <cell r="D42">
            <v>0</v>
          </cell>
          <cell r="E42">
            <v>0</v>
          </cell>
          <cell r="G42">
            <v>0</v>
          </cell>
        </row>
        <row r="43">
          <cell r="B43"/>
          <cell r="C43" t="str">
            <v/>
          </cell>
          <cell r="D43">
            <v>0</v>
          </cell>
          <cell r="E43">
            <v>0</v>
          </cell>
          <cell r="G43">
            <v>0</v>
          </cell>
        </row>
        <row r="44">
          <cell r="B44" t="str">
            <v>INUL</v>
          </cell>
          <cell r="C44" t="str">
            <v>INUL JELLY</v>
          </cell>
          <cell r="D44">
            <v>0</v>
          </cell>
          <cell r="E44">
            <v>0</v>
          </cell>
          <cell r="G44">
            <v>0</v>
          </cell>
        </row>
        <row r="45">
          <cell r="B45" t="str">
            <v>PUDING</v>
          </cell>
          <cell r="C45" t="str">
            <v>DONALD PUDING CUP</v>
          </cell>
          <cell r="D45">
            <v>10</v>
          </cell>
          <cell r="E45">
            <v>185000</v>
          </cell>
          <cell r="G45">
            <v>13225.806451612916</v>
          </cell>
        </row>
        <row r="46">
          <cell r="B46" t="str">
            <v>TUPER</v>
          </cell>
          <cell r="C46" t="str">
            <v>DONALD BIG STICK TUPPERWARE</v>
          </cell>
          <cell r="D46">
            <v>4</v>
          </cell>
          <cell r="E46">
            <v>216000</v>
          </cell>
          <cell r="G46">
            <v>4000</v>
          </cell>
        </row>
        <row r="47">
          <cell r="B47" t="str">
            <v>TOPLES</v>
          </cell>
          <cell r="C47" t="str">
            <v>DONALD BIG STICK TOPLES</v>
          </cell>
          <cell r="D47">
            <v>5</v>
          </cell>
          <cell r="E47">
            <v>235000</v>
          </cell>
          <cell r="G47">
            <v>5000</v>
          </cell>
        </row>
        <row r="48">
          <cell r="B48" t="str">
            <v>PAK</v>
          </cell>
          <cell r="C48" t="str">
            <v>DONALD BIG STICK PAK</v>
          </cell>
          <cell r="D48">
            <v>1</v>
          </cell>
          <cell r="E48">
            <v>41000</v>
          </cell>
          <cell r="G48">
            <v>1000</v>
          </cell>
        </row>
        <row r="49">
          <cell r="B49" t="str">
            <v>ICE</v>
          </cell>
          <cell r="C49" t="str">
            <v>LPK ICE CREAM</v>
          </cell>
          <cell r="D49">
            <v>1</v>
          </cell>
          <cell r="E49">
            <v>19000</v>
          </cell>
          <cell r="G49">
            <v>1000</v>
          </cell>
        </row>
        <row r="50">
          <cell r="B50" t="str">
            <v>JELLY</v>
          </cell>
          <cell r="C50" t="str">
            <v>LPK JELLY BOX DUS</v>
          </cell>
          <cell r="D50">
            <v>1</v>
          </cell>
          <cell r="E50">
            <v>22000</v>
          </cell>
          <cell r="G50">
            <v>1250</v>
          </cell>
        </row>
        <row r="51">
          <cell r="B51" t="str">
            <v>MEISES</v>
          </cell>
          <cell r="C51" t="str">
            <v>NITCHI MEISES</v>
          </cell>
          <cell r="D51">
            <v>1</v>
          </cell>
          <cell r="E51">
            <v>48000</v>
          </cell>
          <cell r="G51">
            <v>1940</v>
          </cell>
        </row>
        <row r="52">
          <cell r="B52" t="str">
            <v>NITCHI</v>
          </cell>
          <cell r="C52" t="str">
            <v>WASUKA NITCHI PASTA</v>
          </cell>
          <cell r="D52">
            <v>1</v>
          </cell>
          <cell r="E52">
            <v>59000</v>
          </cell>
          <cell r="G52">
            <v>2552</v>
          </cell>
        </row>
        <row r="53">
          <cell r="B53" t="str">
            <v>LAZERY</v>
          </cell>
          <cell r="C53" t="str">
            <v>LAZERY</v>
          </cell>
          <cell r="D53">
            <v>0</v>
          </cell>
          <cell r="E53">
            <v>0</v>
          </cell>
          <cell r="G53">
            <v>0</v>
          </cell>
        </row>
        <row r="54">
          <cell r="B54" t="str">
            <v>CHIKORY</v>
          </cell>
          <cell r="C54" t="str">
            <v>CHIKORY</v>
          </cell>
          <cell r="D54">
            <v>0</v>
          </cell>
          <cell r="E54">
            <v>0</v>
          </cell>
          <cell r="G54">
            <v>0</v>
          </cell>
        </row>
        <row r="55">
          <cell r="B55" t="str">
            <v>BABALON</v>
          </cell>
          <cell r="C55" t="str">
            <v>BABALOON</v>
          </cell>
          <cell r="D55">
            <v>1</v>
          </cell>
          <cell r="E55">
            <v>188000</v>
          </cell>
          <cell r="G55">
            <v>3000</v>
          </cell>
        </row>
        <row r="56">
          <cell r="B56" t="str">
            <v>MAGNUS</v>
          </cell>
          <cell r="C56" t="str">
            <v>MAGNUS</v>
          </cell>
          <cell r="D56">
            <v>5</v>
          </cell>
          <cell r="E56">
            <v>122500</v>
          </cell>
          <cell r="G56">
            <v>6250</v>
          </cell>
        </row>
        <row r="57">
          <cell r="B57" t="str">
            <v>REBO</v>
          </cell>
          <cell r="C57" t="str">
            <v>KUACI REBO</v>
          </cell>
          <cell r="D57">
            <v>6</v>
          </cell>
          <cell r="E57">
            <v>456000</v>
          </cell>
          <cell r="G57">
            <v>6000</v>
          </cell>
        </row>
        <row r="58">
          <cell r="B58" t="str">
            <v>CHOKU</v>
          </cell>
          <cell r="C58" t="str">
            <v>WASUKA CHOKU</v>
          </cell>
          <cell r="D58">
            <v>1</v>
          </cell>
          <cell r="E58">
            <v>54000</v>
          </cell>
          <cell r="G58">
            <v>2060</v>
          </cell>
        </row>
        <row r="59">
          <cell r="B59" t="str">
            <v>KITA</v>
          </cell>
          <cell r="C59" t="str">
            <v>WAFER JUMBO KITA</v>
          </cell>
          <cell r="D59">
            <v>0</v>
          </cell>
          <cell r="E59">
            <v>0</v>
          </cell>
          <cell r="G59">
            <v>0</v>
          </cell>
        </row>
        <row r="60">
          <cell r="B60" t="str">
            <v>PANG</v>
          </cell>
          <cell r="C60" t="str">
            <v>PANGPANG KOREA</v>
          </cell>
          <cell r="D60">
            <v>8</v>
          </cell>
          <cell r="E60">
            <v>196000</v>
          </cell>
          <cell r="G60">
            <v>10000</v>
          </cell>
        </row>
        <row r="61">
          <cell r="B61" t="str">
            <v>NGETOP</v>
          </cell>
          <cell r="C61" t="str">
            <v>NGETOP</v>
          </cell>
          <cell r="D61">
            <v>6</v>
          </cell>
          <cell r="E61">
            <v>147000</v>
          </cell>
          <cell r="G61">
            <v>7500</v>
          </cell>
        </row>
        <row r="62">
          <cell r="B62" t="str">
            <v>ASTAGA</v>
          </cell>
          <cell r="C62" t="str">
            <v>ASTAGA</v>
          </cell>
          <cell r="D62">
            <v>9</v>
          </cell>
          <cell r="E62">
            <v>220500</v>
          </cell>
          <cell r="G62">
            <v>11250</v>
          </cell>
        </row>
        <row r="63">
          <cell r="B63" t="str">
            <v>NORI</v>
          </cell>
          <cell r="C63" t="str">
            <v>NORISOBA</v>
          </cell>
          <cell r="D63">
            <v>8</v>
          </cell>
          <cell r="E63">
            <v>128000</v>
          </cell>
          <cell r="G63">
            <v>4000</v>
          </cell>
        </row>
        <row r="64">
          <cell r="B64" t="str">
            <v>YAKI</v>
          </cell>
          <cell r="C64" t="str">
            <v>YAKISOBA</v>
          </cell>
          <cell r="D64">
            <v>5</v>
          </cell>
          <cell r="E64">
            <v>80000</v>
          </cell>
          <cell r="G64">
            <v>2500</v>
          </cell>
        </row>
        <row r="65">
          <cell r="B65" t="str">
            <v>ASYIK</v>
          </cell>
          <cell r="C65" t="str">
            <v>ASYIK</v>
          </cell>
          <cell r="D65">
            <v>5</v>
          </cell>
          <cell r="E65">
            <v>122500</v>
          </cell>
          <cell r="G65">
            <v>6250</v>
          </cell>
        </row>
        <row r="67">
          <cell r="E67">
            <v>6799000</v>
          </cell>
          <cell r="G67">
            <v>241290.4055537174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0"/>
  <sheetViews>
    <sheetView showGridLines="0"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E68" sqref="E68"/>
    </sheetView>
  </sheetViews>
  <sheetFormatPr defaultRowHeight="15" x14ac:dyDescent="0.25"/>
  <cols>
    <col min="1" max="1" width="1.7109375" customWidth="1"/>
    <col min="2" max="2" width="3.140625" customWidth="1"/>
    <col min="4" max="4" width="33.85546875" bestFit="1" customWidth="1"/>
    <col min="5" max="5" width="13.85546875" customWidth="1"/>
    <col min="6" max="6" width="15.5703125" customWidth="1"/>
    <col min="7" max="7" width="17.5703125" customWidth="1"/>
    <col min="8" max="8" width="20" bestFit="1" customWidth="1"/>
    <col min="9" max="9" width="20.85546875" bestFit="1" customWidth="1"/>
    <col min="10" max="10" width="2.140625" customWidth="1"/>
    <col min="15" max="17" width="11.5703125" bestFit="1" customWidth="1"/>
  </cols>
  <sheetData>
    <row r="1" spans="2:17" ht="7.5" customHeight="1" x14ac:dyDescent="0.25"/>
    <row r="2" spans="2:17" x14ac:dyDescent="0.25">
      <c r="B2" t="s">
        <v>0</v>
      </c>
      <c r="I2" t="s">
        <v>76</v>
      </c>
      <c r="J2">
        <v>5</v>
      </c>
      <c r="O2" s="20">
        <v>5</v>
      </c>
      <c r="P2">
        <v>13</v>
      </c>
    </row>
    <row r="3" spans="2:17" x14ac:dyDescent="0.25">
      <c r="I3" t="s">
        <v>77</v>
      </c>
      <c r="J3">
        <v>6</v>
      </c>
      <c r="K3">
        <v>10</v>
      </c>
      <c r="O3">
        <v>16</v>
      </c>
      <c r="P3">
        <v>14</v>
      </c>
    </row>
    <row r="4" spans="2:17" x14ac:dyDescent="0.25">
      <c r="I4" t="s">
        <v>78</v>
      </c>
      <c r="J4">
        <v>7</v>
      </c>
      <c r="K4">
        <v>11</v>
      </c>
      <c r="O4">
        <v>31</v>
      </c>
      <c r="P4">
        <v>15</v>
      </c>
    </row>
    <row r="5" spans="2:17" ht="7.5" customHeight="1" x14ac:dyDescent="0.25"/>
    <row r="6" spans="2:17" x14ac:dyDescent="0.25">
      <c r="C6" s="6" t="s">
        <v>1</v>
      </c>
      <c r="D6" s="6" t="s">
        <v>2</v>
      </c>
      <c r="E6" s="6" t="s">
        <v>75</v>
      </c>
      <c r="F6" s="6" t="s">
        <v>23</v>
      </c>
      <c r="G6" s="6" t="s">
        <v>3</v>
      </c>
      <c r="H6" s="6" t="s">
        <v>13</v>
      </c>
      <c r="I6" s="6" t="s">
        <v>4</v>
      </c>
      <c r="K6" s="6" t="s">
        <v>127</v>
      </c>
      <c r="L6" s="6" t="s">
        <v>77</v>
      </c>
      <c r="M6" s="6" t="s">
        <v>78</v>
      </c>
      <c r="O6" s="6" t="s">
        <v>133</v>
      </c>
      <c r="P6" s="6" t="s">
        <v>134</v>
      </c>
      <c r="Q6" s="6" t="s">
        <v>135</v>
      </c>
    </row>
    <row r="7" spans="2:17" x14ac:dyDescent="0.25">
      <c r="C7" s="7" t="s">
        <v>9</v>
      </c>
      <c r="D7" s="7" t="s">
        <v>6</v>
      </c>
      <c r="E7" s="16">
        <v>80000</v>
      </c>
      <c r="F7" s="17">
        <f>IFERROR(VLOOKUP($C$7:$C$209,'REKAP TERIMA BARANG'!$B$5:$CU$199,98,0),"")</f>
        <v>74990.627430941531</v>
      </c>
      <c r="G7" s="16">
        <f>IF(E7="","",E7)</f>
        <v>80000</v>
      </c>
      <c r="H7" s="16">
        <f>E7-1500</f>
        <v>78500</v>
      </c>
      <c r="I7" s="16">
        <f>E7-2000</f>
        <v>78000</v>
      </c>
      <c r="J7" s="18"/>
      <c r="K7" s="16">
        <v>10</v>
      </c>
      <c r="L7" s="19">
        <v>7850</v>
      </c>
      <c r="M7" s="19">
        <v>7800</v>
      </c>
      <c r="O7" s="8">
        <f>IFERROR(VLOOKUP($C7,[1]Sheet1!$A$11:$D$57,4,0),0)</f>
        <v>78400</v>
      </c>
      <c r="P7" s="8">
        <f>IFERROR(VLOOKUP($C7,[1]Sheet1!$A$11:$E$57,5,0),0)</f>
        <v>76824</v>
      </c>
      <c r="Q7" s="8">
        <f>IFERROR(VLOOKUP($C7,[1]Sheet1!$A$11:$F$57,6,0),0)</f>
        <v>76055.759999999995</v>
      </c>
    </row>
    <row r="8" spans="2:17" x14ac:dyDescent="0.25">
      <c r="C8" s="7" t="s">
        <v>10</v>
      </c>
      <c r="D8" s="7" t="s">
        <v>7</v>
      </c>
      <c r="E8" s="16">
        <v>80000</v>
      </c>
      <c r="F8" s="17">
        <f>IFERROR(VLOOKUP($C$7:$C$209,'REKAP TERIMA BARANG'!$B$5:$CU$199,98,0),"")</f>
        <v>74841.44498776237</v>
      </c>
      <c r="G8" s="16">
        <f t="shared" ref="G8:G43" si="0">IF(E8="","",E8)</f>
        <v>80000</v>
      </c>
      <c r="H8" s="16">
        <f t="shared" ref="H8:H27" si="1">E8-1500</f>
        <v>78500</v>
      </c>
      <c r="I8" s="16">
        <f>E8-2000</f>
        <v>78000</v>
      </c>
      <c r="J8" s="18"/>
      <c r="K8" s="16">
        <v>10</v>
      </c>
      <c r="L8" s="19">
        <v>7850</v>
      </c>
      <c r="M8" s="19">
        <v>7800</v>
      </c>
      <c r="O8" s="8">
        <f>IFERROR(VLOOKUP($C8,[1]Sheet1!$A$11:$D$57,4,0),0)</f>
        <v>78400</v>
      </c>
      <c r="P8" s="8">
        <f>IFERROR(VLOOKUP($C8,[1]Sheet1!$A$11:$E$57,5,0),0)</f>
        <v>76824</v>
      </c>
      <c r="Q8" s="8">
        <f>IFERROR(VLOOKUP($C8,[1]Sheet1!$A$11:$F$57,6,0),0)</f>
        <v>76055.759999999995</v>
      </c>
    </row>
    <row r="9" spans="2:17" x14ac:dyDescent="0.25">
      <c r="C9" s="7" t="s">
        <v>52</v>
      </c>
      <c r="D9" s="7" t="s">
        <v>35</v>
      </c>
      <c r="E9" s="16">
        <v>91200</v>
      </c>
      <c r="F9" s="17" t="str">
        <f>IFERROR(VLOOKUP($C$7:$C$209,'REKAP TERIMA BARANG'!$B$5:$CU$199,98,0),"")</f>
        <v/>
      </c>
      <c r="G9" s="16">
        <f t="shared" si="0"/>
        <v>91200</v>
      </c>
      <c r="H9" s="16">
        <v>89500</v>
      </c>
      <c r="I9" s="16">
        <v>89000</v>
      </c>
      <c r="J9" s="18"/>
      <c r="K9" s="16">
        <v>6</v>
      </c>
      <c r="L9" s="19">
        <v>14916.666666666666</v>
      </c>
      <c r="M9" s="19">
        <v>14833.333333333334</v>
      </c>
      <c r="O9" s="8">
        <f>IFERROR(VLOOKUP($C9,[1]Sheet1!$A$11:$D$57,4,0),0)</f>
        <v>90650</v>
      </c>
      <c r="P9" s="8">
        <f>IFERROR(VLOOKUP($C9,[1]Sheet1!$A$11:$E$57,5,0),0)</f>
        <v>88827.75</v>
      </c>
      <c r="Q9" s="8">
        <f>IFERROR(VLOOKUP($C9,[1]Sheet1!$A$11:$F$57,6,0),0)</f>
        <v>87939.472500000003</v>
      </c>
    </row>
    <row r="10" spans="2:17" x14ac:dyDescent="0.25">
      <c r="C10" s="7" t="s">
        <v>53</v>
      </c>
      <c r="D10" s="7" t="s">
        <v>36</v>
      </c>
      <c r="E10" s="16">
        <v>91200</v>
      </c>
      <c r="F10" s="17">
        <f>IFERROR(VLOOKUP($C$7:$C$209,'REKAP TERIMA BARANG'!$B$5:$CU$199,98,0),"")</f>
        <v>86348.44988571429</v>
      </c>
      <c r="G10" s="16">
        <f t="shared" si="0"/>
        <v>91200</v>
      </c>
      <c r="H10" s="16">
        <v>89500</v>
      </c>
      <c r="I10" s="16">
        <v>89000</v>
      </c>
      <c r="J10" s="18"/>
      <c r="K10" s="16">
        <v>6</v>
      </c>
      <c r="L10" s="19">
        <v>14916.666666666666</v>
      </c>
      <c r="M10" s="19">
        <v>14833.333333333334</v>
      </c>
      <c r="O10" s="8">
        <f>IFERROR(VLOOKUP($C10,[1]Sheet1!$A$11:$D$57,4,0),0)</f>
        <v>90650</v>
      </c>
      <c r="P10" s="8">
        <f>IFERROR(VLOOKUP($C10,[1]Sheet1!$A$11:$E$57,5,0),0)</f>
        <v>88827.75</v>
      </c>
      <c r="Q10" s="8">
        <f>IFERROR(VLOOKUP($C10,[1]Sheet1!$A$11:$F$57,6,0),0)</f>
        <v>87939.472500000003</v>
      </c>
    </row>
    <row r="11" spans="2:17" x14ac:dyDescent="0.25">
      <c r="C11" s="7" t="s">
        <v>11</v>
      </c>
      <c r="D11" s="7" t="s">
        <v>5</v>
      </c>
      <c r="E11" s="16">
        <v>94800</v>
      </c>
      <c r="F11" s="17">
        <f>IFERROR(VLOOKUP($C$7:$C$209,'REKAP TERIMA BARANG'!$B$5:$CU$199,98,0),"")</f>
        <v>89790.627430941531</v>
      </c>
      <c r="G11" s="16">
        <f t="shared" si="0"/>
        <v>94800</v>
      </c>
      <c r="H11" s="16">
        <v>93000</v>
      </c>
      <c r="I11" s="16">
        <v>92000</v>
      </c>
      <c r="J11" s="18"/>
      <c r="K11" s="16">
        <v>60</v>
      </c>
      <c r="L11" s="19">
        <v>1550</v>
      </c>
      <c r="M11" s="19">
        <v>1533.3333333333333</v>
      </c>
      <c r="O11" s="8">
        <f>IFERROR(VLOOKUP($C11,[1]Sheet1!$A$11:$D$57,4,0),0)</f>
        <v>94080</v>
      </c>
      <c r="P11" s="8">
        <f>IFERROR(VLOOKUP($C11,[1]Sheet1!$A$11:$E$57,5,0),0)</f>
        <v>92188.800000000003</v>
      </c>
      <c r="Q11" s="8">
        <f>IFERROR(VLOOKUP($C11,[1]Sheet1!$A$11:$F$57,6,0),0)</f>
        <v>91266.911999999997</v>
      </c>
    </row>
    <row r="12" spans="2:17" x14ac:dyDescent="0.25">
      <c r="C12" s="7" t="s">
        <v>12</v>
      </c>
      <c r="D12" s="7" t="s">
        <v>8</v>
      </c>
      <c r="E12" s="16">
        <v>94800</v>
      </c>
      <c r="F12" s="17">
        <f>IFERROR(VLOOKUP($C$7:$C$209,'REKAP TERIMA BARANG'!$B$5:$CU$199,98,0),"")</f>
        <v>89948.44988571429</v>
      </c>
      <c r="G12" s="16">
        <f t="shared" si="0"/>
        <v>94800</v>
      </c>
      <c r="H12" s="16">
        <v>93000</v>
      </c>
      <c r="I12" s="16">
        <v>92000</v>
      </c>
      <c r="J12" s="18"/>
      <c r="K12" s="16">
        <v>60</v>
      </c>
      <c r="L12" s="19">
        <v>1550</v>
      </c>
      <c r="M12" s="19">
        <v>1533.3333333333333</v>
      </c>
      <c r="O12" s="8">
        <f>IFERROR(VLOOKUP($C12,[1]Sheet1!$A$11:$D$57,4,0),0)</f>
        <v>94080</v>
      </c>
      <c r="P12" s="8">
        <f>IFERROR(VLOOKUP($C12,[1]Sheet1!$A$11:$E$57,5,0),0)</f>
        <v>92188.800000000003</v>
      </c>
      <c r="Q12" s="8">
        <f>IFERROR(VLOOKUP($C12,[1]Sheet1!$A$11:$F$57,6,0),0)</f>
        <v>91266.911999999997</v>
      </c>
    </row>
    <row r="13" spans="2:17" x14ac:dyDescent="0.25">
      <c r="C13" s="7" t="s">
        <v>84</v>
      </c>
      <c r="D13" s="7" t="s">
        <v>82</v>
      </c>
      <c r="E13" s="16">
        <v>97200</v>
      </c>
      <c r="F13" s="17">
        <f>IFERROR(VLOOKUP($C$7:$C$209,'REKAP TERIMA BARANG'!$B$5:$CU$199,98,0),"")</f>
        <v>92386.454831878858</v>
      </c>
      <c r="G13" s="16">
        <f t="shared" ref="G13:G14" si="2">IF(E13="","",E13)</f>
        <v>97200</v>
      </c>
      <c r="H13" s="16">
        <v>96500</v>
      </c>
      <c r="I13" s="16">
        <v>96000</v>
      </c>
      <c r="J13" s="18"/>
      <c r="K13" s="16">
        <v>24</v>
      </c>
      <c r="L13" s="19">
        <v>4020.8333333333335</v>
      </c>
      <c r="M13" s="19">
        <v>4000</v>
      </c>
      <c r="O13" s="8">
        <f>IFERROR(VLOOKUP($C13,[1]Sheet1!$A$11:$D$57,4,0),0)</f>
        <v>97020</v>
      </c>
      <c r="P13" s="8">
        <f>IFERROR(VLOOKUP($C13,[1]Sheet1!$A$11:$E$57,5,0),0)</f>
        <v>95069.7</v>
      </c>
      <c r="Q13" s="8">
        <f>IFERROR(VLOOKUP($C13,[1]Sheet1!$A$11:$F$57,6,0),0)</f>
        <v>94119.002999999997</v>
      </c>
    </row>
    <row r="14" spans="2:17" x14ac:dyDescent="0.25">
      <c r="C14" s="7" t="s">
        <v>85</v>
      </c>
      <c r="D14" s="7" t="s">
        <v>83</v>
      </c>
      <c r="E14" s="16">
        <v>97200</v>
      </c>
      <c r="F14" s="17">
        <f>IFERROR(VLOOKUP($C$7:$C$209,'REKAP TERIMA BARANG'!$B$5:$CU$199,98,0),"")</f>
        <v>92638.174760479043</v>
      </c>
      <c r="G14" s="16">
        <f t="shared" si="2"/>
        <v>97200</v>
      </c>
      <c r="H14" s="16">
        <v>96500</v>
      </c>
      <c r="I14" s="16">
        <v>96000</v>
      </c>
      <c r="J14" s="18"/>
      <c r="K14" s="16">
        <v>24</v>
      </c>
      <c r="L14" s="19">
        <v>4020.8333333333335</v>
      </c>
      <c r="M14" s="19">
        <v>4000</v>
      </c>
      <c r="O14" s="8">
        <f>IFERROR(VLOOKUP($C14,[1]Sheet1!$A$11:$D$57,4,0),0)</f>
        <v>97020</v>
      </c>
      <c r="P14" s="8">
        <f>IFERROR(VLOOKUP($C14,[1]Sheet1!$A$11:$E$57,5,0),0)</f>
        <v>95069.7</v>
      </c>
      <c r="Q14" s="8">
        <f>IFERROR(VLOOKUP($C14,[1]Sheet1!$A$11:$F$57,6,0),0)</f>
        <v>94119.002999999997</v>
      </c>
    </row>
    <row r="15" spans="2:17" x14ac:dyDescent="0.25">
      <c r="C15" s="7" t="s">
        <v>65</v>
      </c>
      <c r="D15" s="7" t="s">
        <v>28</v>
      </c>
      <c r="E15" s="16">
        <v>46200</v>
      </c>
      <c r="F15" s="17">
        <f>IFERROR(VLOOKUP($C$7:$C$209,'REKAP TERIMA BARANG'!$B$5:$CU$199,98,0),"")</f>
        <v>41190.627430941531</v>
      </c>
      <c r="G15" s="16">
        <f t="shared" si="0"/>
        <v>46200</v>
      </c>
      <c r="H15" s="16">
        <v>45500</v>
      </c>
      <c r="I15" s="16">
        <v>45000</v>
      </c>
      <c r="J15" s="18"/>
      <c r="K15" s="16">
        <v>6</v>
      </c>
      <c r="L15" s="19">
        <v>7583.333333333333</v>
      </c>
      <c r="M15" s="19">
        <v>7500</v>
      </c>
      <c r="O15" s="8">
        <f>IFERROR(VLOOKUP($C15,[1]Sheet1!$A$11:$D$57,4,0),0)</f>
        <v>46060</v>
      </c>
      <c r="P15" s="8">
        <f>IFERROR(VLOOKUP($C15,[1]Sheet1!$A$11:$E$57,5,0),0)</f>
        <v>45134.1</v>
      </c>
      <c r="Q15" s="8">
        <f>IFERROR(VLOOKUP($C15,[1]Sheet1!$A$11:$F$57,6,0),0)</f>
        <v>44682.758999999998</v>
      </c>
    </row>
    <row r="16" spans="2:17" x14ac:dyDescent="0.25">
      <c r="C16" s="7" t="s">
        <v>88</v>
      </c>
      <c r="D16" s="7" t="s">
        <v>86</v>
      </c>
      <c r="E16" s="16">
        <v>46200</v>
      </c>
      <c r="F16" s="17">
        <f>IFERROR(VLOOKUP($C$7:$C$209,'REKAP TERIMA BARANG'!$B$5:$CU$199,98,0),"")</f>
        <v>41373.786516490669</v>
      </c>
      <c r="G16" s="16">
        <f t="shared" si="0"/>
        <v>46200</v>
      </c>
      <c r="H16" s="16">
        <v>45500</v>
      </c>
      <c r="I16" s="16">
        <v>45000</v>
      </c>
      <c r="J16" s="18"/>
      <c r="K16" s="16">
        <v>6</v>
      </c>
      <c r="L16" s="19">
        <v>7583.333333333333</v>
      </c>
      <c r="M16" s="19">
        <v>7500</v>
      </c>
      <c r="O16" s="8">
        <f>IFERROR(VLOOKUP($C16,[1]Sheet1!$A$11:$D$57,4,0),0)</f>
        <v>46060</v>
      </c>
      <c r="P16" s="8">
        <f>IFERROR(VLOOKUP($C16,[1]Sheet1!$A$11:$E$57,5,0),0)</f>
        <v>45134.1</v>
      </c>
      <c r="Q16" s="8">
        <f>IFERROR(VLOOKUP($C16,[1]Sheet1!$A$11:$F$57,6,0),0)</f>
        <v>44682.758999999998</v>
      </c>
    </row>
    <row r="17" spans="3:17" x14ac:dyDescent="0.25">
      <c r="C17" s="7" t="s">
        <v>89</v>
      </c>
      <c r="D17" s="7" t="s">
        <v>87</v>
      </c>
      <c r="E17" s="16">
        <v>46200</v>
      </c>
      <c r="F17" s="17">
        <f>IFERROR(VLOOKUP($C$7:$C$209,'REKAP TERIMA BARANG'!$B$5:$CU$199,98,0),"")</f>
        <v>41373.786516490669</v>
      </c>
      <c r="G17" s="16">
        <f t="shared" si="0"/>
        <v>46200</v>
      </c>
      <c r="H17" s="16">
        <v>45500</v>
      </c>
      <c r="I17" s="16">
        <v>45000</v>
      </c>
      <c r="J17" s="18"/>
      <c r="K17" s="16">
        <v>6</v>
      </c>
      <c r="L17" s="19">
        <v>7583.333333333333</v>
      </c>
      <c r="M17" s="19">
        <v>7500</v>
      </c>
      <c r="O17" s="8">
        <f>IFERROR(VLOOKUP($C17,[1]Sheet1!$A$11:$D$57,4,0),0)</f>
        <v>46060</v>
      </c>
      <c r="P17" s="8">
        <f>IFERROR(VLOOKUP($C17,[1]Sheet1!$A$11:$E$57,5,0),0)</f>
        <v>45134.1</v>
      </c>
      <c r="Q17" s="8">
        <f>IFERROR(VLOOKUP($C17,[1]Sheet1!$A$11:$F$57,6,0),0)</f>
        <v>44682.758999999998</v>
      </c>
    </row>
    <row r="18" spans="3:17" x14ac:dyDescent="0.25">
      <c r="C18" s="7" t="s">
        <v>67</v>
      </c>
      <c r="D18" s="7" t="s">
        <v>29</v>
      </c>
      <c r="E18" s="16">
        <v>47400</v>
      </c>
      <c r="F18" s="17">
        <f>IFERROR(VLOOKUP($C$7:$C$209,'REKAP TERIMA BARANG'!$B$5:$CU$199,98,0),"")</f>
        <v>42693.312323096659</v>
      </c>
      <c r="G18" s="16">
        <f t="shared" si="0"/>
        <v>47400</v>
      </c>
      <c r="H18" s="16">
        <v>46000</v>
      </c>
      <c r="I18" s="16">
        <v>45500</v>
      </c>
      <c r="J18" s="18"/>
      <c r="K18" s="16">
        <v>6</v>
      </c>
      <c r="L18" s="19">
        <v>7666.666666666667</v>
      </c>
      <c r="M18" s="19">
        <v>7583.333333333333</v>
      </c>
      <c r="O18" s="8">
        <f>IFERROR(VLOOKUP($C18,[1]Sheet1!$A$11:$D$57,4,0),0)</f>
        <v>47040</v>
      </c>
      <c r="P18" s="8">
        <f>IFERROR(VLOOKUP($C18,[1]Sheet1!$A$11:$E$57,5,0),0)</f>
        <v>46094.400000000001</v>
      </c>
      <c r="Q18" s="8">
        <f>IFERROR(VLOOKUP($C18,[1]Sheet1!$A$11:$F$57,6,0),0)</f>
        <v>45633.455999999998</v>
      </c>
    </row>
    <row r="19" spans="3:17" x14ac:dyDescent="0.25">
      <c r="C19" s="7" t="s">
        <v>68</v>
      </c>
      <c r="D19" s="7" t="s">
        <v>30</v>
      </c>
      <c r="E19" s="16">
        <v>47400</v>
      </c>
      <c r="F19" s="17">
        <f>IFERROR(VLOOKUP($C$7:$C$209,'REKAP TERIMA BARANG'!$B$5:$CU$199,98,0),"")</f>
        <v>42693.312323096659</v>
      </c>
      <c r="G19" s="16">
        <f t="shared" si="0"/>
        <v>47400</v>
      </c>
      <c r="H19" s="16">
        <v>46000</v>
      </c>
      <c r="I19" s="16">
        <v>45500</v>
      </c>
      <c r="J19" s="18"/>
      <c r="K19" s="16">
        <v>6</v>
      </c>
      <c r="L19" s="19">
        <v>7666.666666666667</v>
      </c>
      <c r="M19" s="19">
        <v>7583.333333333333</v>
      </c>
      <c r="O19" s="8">
        <f>IFERROR(VLOOKUP($C19,[1]Sheet1!$A$11:$D$57,4,0),0)</f>
        <v>47040</v>
      </c>
      <c r="P19" s="8">
        <f>IFERROR(VLOOKUP($C19,[1]Sheet1!$A$11:$E$57,5,0),0)</f>
        <v>46094.400000000001</v>
      </c>
      <c r="Q19" s="8">
        <f>IFERROR(VLOOKUP($C19,[1]Sheet1!$A$11:$F$57,6,0),0)</f>
        <v>45633.455999999998</v>
      </c>
    </row>
    <row r="20" spans="3:17" x14ac:dyDescent="0.25">
      <c r="C20" s="7" t="s">
        <v>69</v>
      </c>
      <c r="D20" s="7" t="s">
        <v>31</v>
      </c>
      <c r="E20" s="16">
        <v>47400</v>
      </c>
      <c r="F20" s="17">
        <f>IFERROR(VLOOKUP($C$7:$C$209,'REKAP TERIMA BARANG'!$B$5:$CU$199,98,0),"")</f>
        <v>42838.174760479043</v>
      </c>
      <c r="G20" s="16">
        <f t="shared" si="0"/>
        <v>47400</v>
      </c>
      <c r="H20" s="16">
        <v>46000</v>
      </c>
      <c r="I20" s="16">
        <v>45500</v>
      </c>
      <c r="J20" s="18"/>
      <c r="K20" s="16">
        <v>6</v>
      </c>
      <c r="L20" s="19">
        <v>7666.666666666667</v>
      </c>
      <c r="M20" s="19">
        <v>7583.333333333333</v>
      </c>
      <c r="O20" s="8">
        <f>IFERROR(VLOOKUP($C20,[1]Sheet1!$A$11:$D$57,4,0),0)</f>
        <v>47040</v>
      </c>
      <c r="P20" s="8">
        <f>IFERROR(VLOOKUP($C20,[1]Sheet1!$A$11:$E$57,5,0),0)</f>
        <v>46094.400000000001</v>
      </c>
      <c r="Q20" s="8">
        <f>IFERROR(VLOOKUP($C20,[1]Sheet1!$A$11:$F$57,6,0),0)</f>
        <v>45633.455999999998</v>
      </c>
    </row>
    <row r="21" spans="3:17" x14ac:dyDescent="0.25">
      <c r="C21" s="7" t="s">
        <v>66</v>
      </c>
      <c r="D21" s="7" t="s">
        <v>32</v>
      </c>
      <c r="E21" s="16">
        <v>48000</v>
      </c>
      <c r="F21" s="17">
        <f>IFERROR(VLOOKUP($C$7:$C$209,'REKAP TERIMA BARANG'!$B$5:$CU$199,98,0),"")</f>
        <v>43009.25827349582</v>
      </c>
      <c r="G21" s="16">
        <f t="shared" si="0"/>
        <v>48000</v>
      </c>
      <c r="H21" s="16">
        <f t="shared" si="1"/>
        <v>46500</v>
      </c>
      <c r="I21" s="16">
        <f>E21-2000</f>
        <v>46000</v>
      </c>
      <c r="J21" s="18"/>
      <c r="K21" s="16">
        <v>6</v>
      </c>
      <c r="L21" s="19">
        <v>7750</v>
      </c>
      <c r="M21" s="19">
        <v>7666.666666666667</v>
      </c>
      <c r="O21" s="8">
        <f>IFERROR(VLOOKUP($C21,[1]Sheet1!$A$11:$D$57,4,0),0)</f>
        <v>48020</v>
      </c>
      <c r="P21" s="8">
        <f>IFERROR(VLOOKUP($C21,[1]Sheet1!$A$11:$E$57,5,0),0)</f>
        <v>47054.7</v>
      </c>
      <c r="Q21" s="8">
        <f>IFERROR(VLOOKUP($C21,[1]Sheet1!$A$11:$F$57,6,0),0)</f>
        <v>46584.152999999998</v>
      </c>
    </row>
    <row r="22" spans="3:17" x14ac:dyDescent="0.25">
      <c r="C22" s="7" t="s">
        <v>70</v>
      </c>
      <c r="D22" s="7" t="s">
        <v>33</v>
      </c>
      <c r="E22" s="16">
        <v>94800</v>
      </c>
      <c r="F22" s="17">
        <f>IFERROR(VLOOKUP($C$7:$C$209,'REKAP TERIMA BARANG'!$B$5:$CU$199,98,0),"")</f>
        <v>89641.44498776237</v>
      </c>
      <c r="G22" s="16">
        <f t="shared" si="0"/>
        <v>94800</v>
      </c>
      <c r="H22" s="16">
        <v>93000</v>
      </c>
      <c r="I22" s="16">
        <v>92500</v>
      </c>
      <c r="J22" s="18"/>
      <c r="K22" s="16">
        <v>60</v>
      </c>
      <c r="L22" s="19">
        <v>1550</v>
      </c>
      <c r="M22" s="19">
        <v>1541.6666666666667</v>
      </c>
      <c r="O22" s="8">
        <f>IFERROR(VLOOKUP($C22,[1]Sheet1!$A$11:$D$57,4,0),0)</f>
        <v>94080</v>
      </c>
      <c r="P22" s="8">
        <f>IFERROR(VLOOKUP($C22,[1]Sheet1!$A$11:$E$57,5,0),0)</f>
        <v>92188.800000000003</v>
      </c>
      <c r="Q22" s="8">
        <f>IFERROR(VLOOKUP($C22,[1]Sheet1!$A$11:$F$57,6,0),0)</f>
        <v>91266.911999999997</v>
      </c>
    </row>
    <row r="23" spans="3:17" x14ac:dyDescent="0.25">
      <c r="C23" s="7" t="s">
        <v>71</v>
      </c>
      <c r="D23" s="7" t="s">
        <v>34</v>
      </c>
      <c r="E23" s="16">
        <v>94800</v>
      </c>
      <c r="F23" s="17">
        <f>IFERROR(VLOOKUP($C$7:$C$209,'REKAP TERIMA BARANG'!$B$5:$CU$199,98,0),"")</f>
        <v>89641.44498776237</v>
      </c>
      <c r="G23" s="16">
        <f t="shared" si="0"/>
        <v>94800</v>
      </c>
      <c r="H23" s="16">
        <v>93000</v>
      </c>
      <c r="I23" s="16">
        <v>92500</v>
      </c>
      <c r="J23" s="18"/>
      <c r="K23" s="16">
        <v>60</v>
      </c>
      <c r="L23" s="19">
        <v>1550</v>
      </c>
      <c r="M23" s="19">
        <v>1541.6666666666667</v>
      </c>
      <c r="O23" s="8">
        <f>IFERROR(VLOOKUP($C23,[1]Sheet1!$A$11:$D$57,4,0),0)</f>
        <v>94080</v>
      </c>
      <c r="P23" s="8">
        <f>IFERROR(VLOOKUP($C23,[1]Sheet1!$A$11:$E$57,5,0),0)</f>
        <v>92188.800000000003</v>
      </c>
      <c r="Q23" s="8">
        <f>IFERROR(VLOOKUP($C23,[1]Sheet1!$A$11:$F$57,6,0),0)</f>
        <v>91266.911999999997</v>
      </c>
    </row>
    <row r="24" spans="3:17" x14ac:dyDescent="0.25">
      <c r="C24" s="7" t="s">
        <v>72</v>
      </c>
      <c r="D24" s="7" t="s">
        <v>37</v>
      </c>
      <c r="E24" s="16">
        <v>80000</v>
      </c>
      <c r="F24" s="17">
        <f>IFERROR(VLOOKUP($C$7:$C$209,'REKAP TERIMA BARANG'!$B$5:$CU$199,98,0),"")</f>
        <v>74990.627430941531</v>
      </c>
      <c r="G24" s="16">
        <f t="shared" si="0"/>
        <v>80000</v>
      </c>
      <c r="H24" s="16">
        <f t="shared" si="1"/>
        <v>78500</v>
      </c>
      <c r="I24" s="16">
        <f>E24-2000</f>
        <v>78000</v>
      </c>
      <c r="J24" s="18"/>
      <c r="K24" s="16">
        <v>10</v>
      </c>
      <c r="L24" s="19">
        <v>7850</v>
      </c>
      <c r="M24" s="19">
        <v>7800</v>
      </c>
      <c r="O24" s="8">
        <f>IFERROR(VLOOKUP($C24,[1]Sheet1!$A$11:$D$57,4,0),0)</f>
        <v>78400</v>
      </c>
      <c r="P24" s="8">
        <f>IFERROR(VLOOKUP($C24,[1]Sheet1!$A$11:$E$57,5,0),0)</f>
        <v>76824</v>
      </c>
      <c r="Q24" s="8">
        <f>IFERROR(VLOOKUP($C24,[1]Sheet1!$A$11:$F$57,6,0),0)</f>
        <v>76055.759999999995</v>
      </c>
    </row>
    <row r="25" spans="3:17" x14ac:dyDescent="0.25">
      <c r="C25" s="7" t="s">
        <v>131</v>
      </c>
      <c r="D25" s="7" t="s">
        <v>132</v>
      </c>
      <c r="E25" s="16">
        <v>94800</v>
      </c>
      <c r="F25" s="17">
        <f>IFERROR(VLOOKUP($C$7:$C$209,'REKAP TERIMA BARANG'!$B$5:$CU$199,98,0),"")</f>
        <v>89841.592394496489</v>
      </c>
      <c r="G25" s="16">
        <f t="shared" si="0"/>
        <v>94800</v>
      </c>
      <c r="H25" s="16">
        <v>92000</v>
      </c>
      <c r="I25" s="16">
        <v>91000</v>
      </c>
      <c r="J25" s="18"/>
      <c r="K25" s="16">
        <v>60</v>
      </c>
      <c r="L25" s="19">
        <f>H25/K25</f>
        <v>1533.3333333333333</v>
      </c>
      <c r="M25" s="19">
        <f>I25/K25</f>
        <v>1516.6666666666667</v>
      </c>
      <c r="O25" s="8">
        <f>IFERROR(VLOOKUP($C25,[1]Sheet1!$A$11:$D$57,4,0),0)</f>
        <v>94080</v>
      </c>
      <c r="P25" s="8">
        <f>IFERROR(VLOOKUP($C25,[1]Sheet1!$A$11:$E$57,5,0),0)</f>
        <v>92188.800000000003</v>
      </c>
      <c r="Q25" s="8">
        <f>IFERROR(VLOOKUP($C25,[1]Sheet1!$A$11:$F$57,6,0),0)</f>
        <v>91266.911999999997</v>
      </c>
    </row>
    <row r="26" spans="3:17" x14ac:dyDescent="0.25">
      <c r="C26" s="7" t="s">
        <v>73</v>
      </c>
      <c r="D26" s="7" t="s">
        <v>38</v>
      </c>
      <c r="E26" s="16">
        <v>80000</v>
      </c>
      <c r="F26" s="17">
        <f>IFERROR(VLOOKUP($C$7:$C$209,'REKAP TERIMA BARANG'!$B$5:$CU$199,98,0),"")</f>
        <v>74939.662467386574</v>
      </c>
      <c r="G26" s="16">
        <f t="shared" si="0"/>
        <v>80000</v>
      </c>
      <c r="H26" s="16">
        <f t="shared" si="1"/>
        <v>78500</v>
      </c>
      <c r="I26" s="16">
        <f>E26-2000</f>
        <v>78000</v>
      </c>
      <c r="J26" s="18"/>
      <c r="K26" s="16">
        <v>10</v>
      </c>
      <c r="L26" s="19">
        <v>7850</v>
      </c>
      <c r="M26" s="19">
        <v>7800</v>
      </c>
      <c r="O26" s="8">
        <f>IFERROR(VLOOKUP($C26,[1]Sheet1!$A$11:$D$57,4,0),0)</f>
        <v>78400</v>
      </c>
      <c r="P26" s="8">
        <f>IFERROR(VLOOKUP($C26,[1]Sheet1!$A$11:$E$57,5,0),0)</f>
        <v>76824</v>
      </c>
      <c r="Q26" s="8">
        <f>IFERROR(VLOOKUP($C26,[1]Sheet1!$A$11:$F$57,6,0),0)</f>
        <v>76055.759999999995</v>
      </c>
    </row>
    <row r="27" spans="3:17" x14ac:dyDescent="0.25">
      <c r="C27" s="7" t="s">
        <v>74</v>
      </c>
      <c r="D27" s="7" t="s">
        <v>39</v>
      </c>
      <c r="E27" s="16">
        <v>80000</v>
      </c>
      <c r="F27" s="17">
        <f>IFERROR(VLOOKUP($C$7:$C$209,'REKAP TERIMA BARANG'!$B$5:$CU$199,98,0),"")</f>
        <v>74939.662467386574</v>
      </c>
      <c r="G27" s="16">
        <f t="shared" si="0"/>
        <v>80000</v>
      </c>
      <c r="H27" s="16">
        <f t="shared" si="1"/>
        <v>78500</v>
      </c>
      <c r="I27" s="16">
        <f>E27-2000</f>
        <v>78000</v>
      </c>
      <c r="J27" s="18"/>
      <c r="K27" s="16">
        <v>10</v>
      </c>
      <c r="L27" s="19">
        <v>7850</v>
      </c>
      <c r="M27" s="19">
        <v>7800</v>
      </c>
      <c r="O27" s="8">
        <f>IFERROR(VLOOKUP($C27,[1]Sheet1!$A$11:$D$57,4,0),0)</f>
        <v>78400</v>
      </c>
      <c r="P27" s="8">
        <f>IFERROR(VLOOKUP($C27,[1]Sheet1!$A$11:$E$57,5,0),0)</f>
        <v>76824</v>
      </c>
      <c r="Q27" s="8">
        <f>IFERROR(VLOOKUP($C27,[1]Sheet1!$A$11:$F$57,6,0),0)</f>
        <v>76055.759999999995</v>
      </c>
    </row>
    <row r="28" spans="3:17" x14ac:dyDescent="0.25">
      <c r="C28" s="7" t="s">
        <v>130</v>
      </c>
      <c r="D28" s="7" t="s">
        <v>129</v>
      </c>
      <c r="E28" s="16">
        <v>94800</v>
      </c>
      <c r="F28" s="17">
        <f>IFERROR(VLOOKUP($C$7:$C$209,'REKAP TERIMA BARANG'!$B$5:$CU$199,98,0),"")</f>
        <v>89948.44988571429</v>
      </c>
      <c r="G28" s="16">
        <f t="shared" si="0"/>
        <v>94800</v>
      </c>
      <c r="H28" s="16">
        <v>93000</v>
      </c>
      <c r="I28" s="16">
        <v>92500</v>
      </c>
      <c r="J28" s="18"/>
      <c r="K28" s="16">
        <v>60</v>
      </c>
      <c r="L28" s="19">
        <f>H28/K28</f>
        <v>1550</v>
      </c>
      <c r="M28" s="19">
        <f>I28/K28</f>
        <v>1541.6666666666667</v>
      </c>
      <c r="O28" s="8">
        <f>IFERROR(VLOOKUP($C28,[1]Sheet1!$A$11:$D$57,4,0),0)</f>
        <v>94080</v>
      </c>
      <c r="P28" s="8">
        <f>IFERROR(VLOOKUP($C28,[1]Sheet1!$A$11:$E$57,5,0),0)</f>
        <v>92188.800000000003</v>
      </c>
      <c r="Q28" s="8">
        <f>IFERROR(VLOOKUP($C28,[1]Sheet1!$A$11:$F$57,6,0),0)</f>
        <v>91266.911999999997</v>
      </c>
    </row>
    <row r="29" spans="3:17" x14ac:dyDescent="0.25">
      <c r="C29" s="7" t="s">
        <v>40</v>
      </c>
      <c r="D29" s="7" t="s">
        <v>40</v>
      </c>
      <c r="E29" s="16">
        <v>108000</v>
      </c>
      <c r="F29" s="17">
        <f>IFERROR(VLOOKUP($C$7:$C$209,'REKAP TERIMA BARANG'!$B$5:$CU$199,98,0),"")</f>
        <v>103293.31232309667</v>
      </c>
      <c r="G29" s="16">
        <f t="shared" si="0"/>
        <v>108000</v>
      </c>
      <c r="H29" s="16">
        <v>107000</v>
      </c>
      <c r="I29" s="16">
        <f>E29-2000</f>
        <v>106000</v>
      </c>
      <c r="J29" s="18"/>
      <c r="K29" s="16">
        <v>9</v>
      </c>
      <c r="L29" s="19">
        <v>11888.888888888889</v>
      </c>
      <c r="M29" s="19">
        <v>11777.777777777777</v>
      </c>
      <c r="O29" s="8">
        <f>IFERROR(VLOOKUP($C29,[1]Sheet1!$A$11:$D$57,4,0),0)</f>
        <v>107800</v>
      </c>
      <c r="P29" s="8">
        <f>IFERROR(VLOOKUP($C29,[1]Sheet1!$A$11:$E$57,5,0),0)</f>
        <v>105633</v>
      </c>
      <c r="Q29" s="8">
        <f>IFERROR(VLOOKUP($C29,[1]Sheet1!$A$11:$F$57,6,0),0)</f>
        <v>104576.67</v>
      </c>
    </row>
    <row r="30" spans="3:17" x14ac:dyDescent="0.25">
      <c r="C30" s="7" t="s">
        <v>136</v>
      </c>
      <c r="D30" s="7" t="s">
        <v>138</v>
      </c>
      <c r="E30" s="16">
        <v>96000</v>
      </c>
      <c r="F30" s="17">
        <f>IFERROR(VLOOKUP($C$7:$C$209,'REKAP TERIMA BARANG'!$B$5:$CU$199,98,0),"")</f>
        <v>89467.367451639351</v>
      </c>
      <c r="G30" s="16">
        <f t="shared" si="0"/>
        <v>96000</v>
      </c>
      <c r="H30" s="16"/>
      <c r="I30" s="16"/>
      <c r="J30" s="18"/>
      <c r="K30" s="16">
        <v>6</v>
      </c>
      <c r="L30" s="19"/>
      <c r="M30" s="19"/>
      <c r="O30" s="8">
        <v>95060</v>
      </c>
      <c r="P30" s="8">
        <v>93149.1</v>
      </c>
      <c r="Q30" s="8">
        <v>92217.609000000011</v>
      </c>
    </row>
    <row r="31" spans="3:17" x14ac:dyDescent="0.25">
      <c r="C31" s="7" t="s">
        <v>137</v>
      </c>
      <c r="D31" s="7" t="s">
        <v>139</v>
      </c>
      <c r="E31" s="16">
        <v>121000</v>
      </c>
      <c r="F31" s="17">
        <f>IFERROR(VLOOKUP($C$7:$C$209,'REKAP TERIMA BARANG'!$B$5:$CU$199,98,0),"")</f>
        <v>116434.73490327869</v>
      </c>
      <c r="G31" s="16">
        <f t="shared" si="0"/>
        <v>121000</v>
      </c>
      <c r="H31" s="16"/>
      <c r="I31" s="16"/>
      <c r="J31" s="18"/>
      <c r="K31" s="16"/>
      <c r="L31" s="19"/>
      <c r="M31" s="19"/>
      <c r="O31" s="8">
        <v>121520</v>
      </c>
      <c r="P31" s="8">
        <v>119077.2</v>
      </c>
      <c r="Q31" s="8">
        <v>117905.63399999999</v>
      </c>
    </row>
    <row r="32" spans="3:17" x14ac:dyDescent="0.25">
      <c r="C32" s="7"/>
      <c r="D32" s="7"/>
      <c r="E32" s="16"/>
      <c r="F32" s="17" t="str">
        <f>IFERROR(VLOOKUP($C$7:$C$209,'REKAP TERIMA BARANG'!$B$5:$CU$199,98,0),"")</f>
        <v/>
      </c>
      <c r="G32" s="16" t="str">
        <f t="shared" si="0"/>
        <v/>
      </c>
      <c r="H32" s="16"/>
      <c r="I32" s="16"/>
      <c r="J32" s="18"/>
      <c r="K32" s="16"/>
      <c r="L32" s="19"/>
      <c r="M32" s="19"/>
      <c r="O32" s="8">
        <f>IFERROR(VLOOKUP($C32,[1]Sheet1!$A$11:$D$57,4,0),0)</f>
        <v>0</v>
      </c>
      <c r="P32" s="8">
        <f>IFERROR(VLOOKUP($C32,[1]Sheet1!$A$11:$E$57,5,0),0)</f>
        <v>0</v>
      </c>
      <c r="Q32" s="8">
        <f>IFERROR(VLOOKUP($C32,[1]Sheet1!$A$11:$F$57,6,0),0)</f>
        <v>0</v>
      </c>
    </row>
    <row r="33" spans="3:17" x14ac:dyDescent="0.25">
      <c r="C33" s="7" t="s">
        <v>61</v>
      </c>
      <c r="D33" s="7" t="s">
        <v>41</v>
      </c>
      <c r="E33" s="16">
        <v>77000</v>
      </c>
      <c r="F33" s="17">
        <f>IFERROR(VLOOKUP($C$7:$C$209,'REKAP TERIMA BARANG'!$B$5:$CU$199,98,0),"")</f>
        <v>73124.999800000005</v>
      </c>
      <c r="G33" s="16">
        <f t="shared" si="0"/>
        <v>77000</v>
      </c>
      <c r="H33" s="16">
        <v>76000</v>
      </c>
      <c r="I33" s="16">
        <v>74000</v>
      </c>
      <c r="J33" s="18"/>
      <c r="K33" s="16">
        <v>20</v>
      </c>
      <c r="L33" s="19">
        <v>3800</v>
      </c>
      <c r="M33" s="19">
        <v>3750</v>
      </c>
      <c r="O33" s="8">
        <f>IFERROR(VLOOKUP($C33,[1]Sheet1!$A$11:$D$57,4,0),0)</f>
        <v>76440</v>
      </c>
      <c r="P33" s="8">
        <f>IFERROR(VLOOKUP($C33,[1]Sheet1!$A$11:$E$57,5,0),0)</f>
        <v>74903.399999999994</v>
      </c>
      <c r="Q33" s="8">
        <f>IFERROR(VLOOKUP($C33,[1]Sheet1!$A$11:$F$57,6,0),0)</f>
        <v>74154.365999999995</v>
      </c>
    </row>
    <row r="34" spans="3:17" x14ac:dyDescent="0.25">
      <c r="C34" s="7" t="s">
        <v>62</v>
      </c>
      <c r="D34" s="7" t="s">
        <v>42</v>
      </c>
      <c r="E34" s="16">
        <v>77000</v>
      </c>
      <c r="F34" s="17">
        <f>IFERROR(VLOOKUP($C$7:$C$209,'REKAP TERIMA BARANG'!$B$5:$CU$199,98,0),"")</f>
        <v>73125.000199999995</v>
      </c>
      <c r="G34" s="16">
        <f t="shared" si="0"/>
        <v>77000</v>
      </c>
      <c r="H34" s="16">
        <v>76000</v>
      </c>
      <c r="I34" s="16">
        <v>74000</v>
      </c>
      <c r="J34" s="18"/>
      <c r="K34" s="16">
        <v>20</v>
      </c>
      <c r="L34" s="19">
        <v>3800</v>
      </c>
      <c r="M34" s="19">
        <v>3750</v>
      </c>
      <c r="O34" s="8">
        <f>IFERROR(VLOOKUP($C34,[1]Sheet1!$A$11:$D$57,4,0),0)</f>
        <v>76440</v>
      </c>
      <c r="P34" s="8">
        <f>IFERROR(VLOOKUP($C34,[1]Sheet1!$A$11:$E$57,5,0),0)</f>
        <v>74903.399999999994</v>
      </c>
      <c r="Q34" s="8">
        <f>IFERROR(VLOOKUP($C34,[1]Sheet1!$A$11:$F$57,6,0),0)</f>
        <v>74154.365999999995</v>
      </c>
    </row>
    <row r="35" spans="3:17" x14ac:dyDescent="0.25">
      <c r="C35" s="7" t="s">
        <v>63</v>
      </c>
      <c r="D35" s="7" t="s">
        <v>43</v>
      </c>
      <c r="E35" s="16">
        <v>101000</v>
      </c>
      <c r="F35" s="17">
        <f>IFERROR(VLOOKUP($C$7:$C$209,'REKAP TERIMA BARANG'!$B$5:$CU$199,98,0),"")</f>
        <v>97499.921999999991</v>
      </c>
      <c r="G35" s="16">
        <f t="shared" si="0"/>
        <v>101000</v>
      </c>
      <c r="H35" s="16">
        <v>100000</v>
      </c>
      <c r="I35" s="16">
        <f>E35-2000</f>
        <v>99000</v>
      </c>
      <c r="J35" s="18"/>
      <c r="K35" s="16">
        <v>24</v>
      </c>
      <c r="L35" s="19">
        <v>4166.666666666667</v>
      </c>
      <c r="M35" s="19">
        <v>4125</v>
      </c>
      <c r="O35" s="8">
        <f>IFERROR(VLOOKUP($C35,[1]Sheet1!$A$11:$D$57,4,0),0)</f>
        <v>100940</v>
      </c>
      <c r="P35" s="8">
        <f>IFERROR(VLOOKUP($C35,[1]Sheet1!$A$11:$E$57,5,0),0)</f>
        <v>98910.9</v>
      </c>
      <c r="Q35" s="8">
        <f>IFERROR(VLOOKUP($C35,[1]Sheet1!$A$11:$F$57,6,0),0)</f>
        <v>97921.790999999997</v>
      </c>
    </row>
    <row r="36" spans="3:17" x14ac:dyDescent="0.25">
      <c r="C36" s="7" t="s">
        <v>64</v>
      </c>
      <c r="D36" s="7" t="s">
        <v>44</v>
      </c>
      <c r="E36" s="16">
        <v>46500</v>
      </c>
      <c r="F36" s="17">
        <f>IFERROR(VLOOKUP($C$7:$C$209,'REKAP TERIMA BARANG'!$B$5:$CU$199,98,0),"")</f>
        <v>44362.499666666663</v>
      </c>
      <c r="G36" s="16">
        <f t="shared" si="0"/>
        <v>46500</v>
      </c>
      <c r="H36" s="16">
        <v>45500</v>
      </c>
      <c r="I36" s="16">
        <v>45500</v>
      </c>
      <c r="J36" s="18"/>
      <c r="K36" s="16">
        <v>4</v>
      </c>
      <c r="L36" s="19">
        <v>11375</v>
      </c>
      <c r="M36" s="19">
        <v>11375</v>
      </c>
      <c r="O36" s="8">
        <f>IFERROR(VLOOKUP($C36,[1]Sheet1!$A$11:$D$57,4,0),0)</f>
        <v>46550</v>
      </c>
      <c r="P36" s="8">
        <f>IFERROR(VLOOKUP($C36,[1]Sheet1!$A$11:$E$57,5,0),0)</f>
        <v>45614.25</v>
      </c>
      <c r="Q36" s="8">
        <f>IFERROR(VLOOKUP($C36,[1]Sheet1!$A$11:$F$57,6,0),0)</f>
        <v>45158.107499999998</v>
      </c>
    </row>
    <row r="37" spans="3:17" x14ac:dyDescent="0.25">
      <c r="C37" s="7" t="s">
        <v>54</v>
      </c>
      <c r="D37" s="7" t="s">
        <v>45</v>
      </c>
      <c r="E37" s="16">
        <v>80000</v>
      </c>
      <c r="F37" s="17">
        <f>IFERROR(VLOOKUP($C$7:$C$209,'REKAP TERIMA BARANG'!$B$5:$CU$199,98,0),"")</f>
        <v>75270</v>
      </c>
      <c r="G37" s="16">
        <f t="shared" si="0"/>
        <v>80000</v>
      </c>
      <c r="H37" s="16">
        <v>77000</v>
      </c>
      <c r="I37" s="16">
        <v>77000</v>
      </c>
      <c r="J37" s="18"/>
      <c r="K37" s="16">
        <v>10</v>
      </c>
      <c r="L37" s="19">
        <v>7700</v>
      </c>
      <c r="M37" s="19">
        <v>7700</v>
      </c>
      <c r="O37" s="8">
        <f>IFERROR(VLOOKUP($C37,[1]Sheet1!$A$11:$D$57,4,0),0)</f>
        <v>78400</v>
      </c>
      <c r="P37" s="8">
        <f>IFERROR(VLOOKUP($C37,[1]Sheet1!$A$11:$E$57,5,0),0)</f>
        <v>76824</v>
      </c>
      <c r="Q37" s="8">
        <f>IFERROR(VLOOKUP($C37,[1]Sheet1!$A$11:$F$57,6,0),0)</f>
        <v>76055.759999999995</v>
      </c>
    </row>
    <row r="38" spans="3:17" x14ac:dyDescent="0.25">
      <c r="C38" s="7" t="s">
        <v>55</v>
      </c>
      <c r="D38" s="7" t="s">
        <v>46</v>
      </c>
      <c r="E38" s="16">
        <v>80000</v>
      </c>
      <c r="F38" s="17">
        <f>IFERROR(VLOOKUP($C$7:$C$209,'REKAP TERIMA BARANG'!$B$5:$CU$199,98,0),"")</f>
        <v>75270</v>
      </c>
      <c r="G38" s="16">
        <f t="shared" si="0"/>
        <v>80000</v>
      </c>
      <c r="H38" s="16">
        <v>77000</v>
      </c>
      <c r="I38" s="16">
        <v>77000</v>
      </c>
      <c r="J38" s="18"/>
      <c r="K38" s="16">
        <v>10</v>
      </c>
      <c r="L38" s="19">
        <v>7700</v>
      </c>
      <c r="M38" s="19">
        <v>7700</v>
      </c>
      <c r="O38" s="8">
        <f>IFERROR(VLOOKUP($C38,[1]Sheet1!$A$11:$D$57,4,0),0)</f>
        <v>78400</v>
      </c>
      <c r="P38" s="8">
        <f>IFERROR(VLOOKUP($C38,[1]Sheet1!$A$11:$E$57,5,0),0)</f>
        <v>76824</v>
      </c>
      <c r="Q38" s="8">
        <f>IFERROR(VLOOKUP($C38,[1]Sheet1!$A$11:$F$57,6,0),0)</f>
        <v>76055.759999999995</v>
      </c>
    </row>
    <row r="39" spans="3:17" x14ac:dyDescent="0.25">
      <c r="C39" s="7" t="s">
        <v>56</v>
      </c>
      <c r="D39" s="7" t="s">
        <v>47</v>
      </c>
      <c r="E39" s="16">
        <v>80000</v>
      </c>
      <c r="F39" s="17">
        <f>IFERROR(VLOOKUP($C$7:$C$209,'REKAP TERIMA BARANG'!$B$5:$CU$199,98,0),"")</f>
        <v>74676</v>
      </c>
      <c r="G39" s="16">
        <f t="shared" si="0"/>
        <v>80000</v>
      </c>
      <c r="H39" s="16">
        <v>77000</v>
      </c>
      <c r="I39" s="16">
        <v>77000</v>
      </c>
      <c r="J39" s="18"/>
      <c r="K39" s="16">
        <v>10</v>
      </c>
      <c r="L39" s="19">
        <v>7700</v>
      </c>
      <c r="M39" s="19">
        <v>7700</v>
      </c>
      <c r="O39" s="8">
        <f>IFERROR(VLOOKUP($C39,[1]Sheet1!$A$11:$D$57,4,0),0)</f>
        <v>78400</v>
      </c>
      <c r="P39" s="8">
        <f>IFERROR(VLOOKUP($C39,[1]Sheet1!$A$11:$E$57,5,0),0)</f>
        <v>76824</v>
      </c>
      <c r="Q39" s="8">
        <f>IFERROR(VLOOKUP($C39,[1]Sheet1!$A$11:$F$57,6,0),0)</f>
        <v>76055.759999999995</v>
      </c>
    </row>
    <row r="40" spans="3:17" x14ac:dyDescent="0.25">
      <c r="C40" s="7" t="s">
        <v>57</v>
      </c>
      <c r="D40" s="7" t="s">
        <v>48</v>
      </c>
      <c r="E40" s="16">
        <v>94800</v>
      </c>
      <c r="F40" s="17">
        <f>IFERROR(VLOOKUP($C$7:$C$209,'REKAP TERIMA BARANG'!$B$5:$CU$199,98,0),"")</f>
        <v>88270.674499999994</v>
      </c>
      <c r="G40" s="16">
        <f t="shared" si="0"/>
        <v>94800</v>
      </c>
      <c r="H40" s="16">
        <v>90000</v>
      </c>
      <c r="I40" s="16">
        <v>90000</v>
      </c>
      <c r="J40" s="18"/>
      <c r="K40" s="16">
        <v>60</v>
      </c>
      <c r="L40" s="19">
        <v>1500</v>
      </c>
      <c r="M40" s="19">
        <v>1500</v>
      </c>
      <c r="O40" s="8">
        <f>IFERROR(VLOOKUP($C40,[1]Sheet1!$A$11:$D$57,4,0),0)</f>
        <v>94080</v>
      </c>
      <c r="P40" s="8">
        <f>IFERROR(VLOOKUP($C40,[1]Sheet1!$A$11:$E$57,5,0),0)</f>
        <v>92188.800000000003</v>
      </c>
      <c r="Q40" s="8">
        <f>IFERROR(VLOOKUP($C40,[1]Sheet1!$A$11:$F$57,6,0),0)</f>
        <v>91266.911999999997</v>
      </c>
    </row>
    <row r="41" spans="3:17" x14ac:dyDescent="0.25">
      <c r="C41" s="7" t="s">
        <v>58</v>
      </c>
      <c r="D41" s="7" t="s">
        <v>49</v>
      </c>
      <c r="E41" s="16">
        <v>94800</v>
      </c>
      <c r="F41" s="17">
        <f>IFERROR(VLOOKUP($C$7:$C$209,'REKAP TERIMA BARANG'!$B$5:$CU$199,98,0),"")</f>
        <v>88270.650500000003</v>
      </c>
      <c r="G41" s="16">
        <f t="shared" si="0"/>
        <v>94800</v>
      </c>
      <c r="H41" s="16">
        <v>90000</v>
      </c>
      <c r="I41" s="16">
        <v>90000</v>
      </c>
      <c r="J41" s="18"/>
      <c r="K41" s="16">
        <v>60</v>
      </c>
      <c r="L41" s="19">
        <v>1500</v>
      </c>
      <c r="M41" s="19">
        <v>1500</v>
      </c>
      <c r="O41" s="8">
        <f>IFERROR(VLOOKUP($C41,[1]Sheet1!$A$11:$D$57,4,0),0)</f>
        <v>94080</v>
      </c>
      <c r="P41" s="8">
        <f>IFERROR(VLOOKUP($C41,[1]Sheet1!$A$11:$E$57,5,0),0)</f>
        <v>92188.800000000003</v>
      </c>
      <c r="Q41" s="8">
        <f>IFERROR(VLOOKUP($C41,[1]Sheet1!$A$11:$F$57,6,0),0)</f>
        <v>91266.911999999997</v>
      </c>
    </row>
    <row r="42" spans="3:17" x14ac:dyDescent="0.25">
      <c r="C42" s="7" t="s">
        <v>59</v>
      </c>
      <c r="D42" s="7" t="s">
        <v>50</v>
      </c>
      <c r="E42" s="16">
        <v>94800</v>
      </c>
      <c r="F42" s="17">
        <f>IFERROR(VLOOKUP($C$7:$C$209,'REKAP TERIMA BARANG'!$B$5:$CU$199,98,0),"")</f>
        <v>87278.8</v>
      </c>
      <c r="G42" s="16">
        <f t="shared" si="0"/>
        <v>94800</v>
      </c>
      <c r="H42" s="16">
        <v>90000</v>
      </c>
      <c r="I42" s="16">
        <v>90000</v>
      </c>
      <c r="J42" s="18"/>
      <c r="K42" s="16">
        <v>60</v>
      </c>
      <c r="L42" s="19">
        <v>1500</v>
      </c>
      <c r="M42" s="19">
        <v>1500</v>
      </c>
      <c r="O42" s="8">
        <f>IFERROR(VLOOKUP($C42,[1]Sheet1!$A$11:$D$57,4,0),0)</f>
        <v>94080</v>
      </c>
      <c r="P42" s="8">
        <f>IFERROR(VLOOKUP($C42,[1]Sheet1!$A$11:$E$57,5,0),0)</f>
        <v>92188.800000000003</v>
      </c>
      <c r="Q42" s="8">
        <f>IFERROR(VLOOKUP($C42,[1]Sheet1!$A$11:$F$57,6,0),0)</f>
        <v>91266.911999999997</v>
      </c>
    </row>
    <row r="43" spans="3:17" x14ac:dyDescent="0.25">
      <c r="C43" s="7" t="s">
        <v>60</v>
      </c>
      <c r="D43" s="7" t="s">
        <v>51</v>
      </c>
      <c r="E43" s="16">
        <v>48000</v>
      </c>
      <c r="F43" s="17">
        <f>IFERROR(VLOOKUP($C$7:$C$209,'REKAP TERIMA BARANG'!$B$5:$CU$199,98,0),"")</f>
        <v>46312.5</v>
      </c>
      <c r="G43" s="16">
        <f t="shared" si="0"/>
        <v>48000</v>
      </c>
      <c r="H43" s="16">
        <v>47000</v>
      </c>
      <c r="I43" s="16">
        <v>47000</v>
      </c>
      <c r="J43" s="18"/>
      <c r="K43" s="16">
        <v>6</v>
      </c>
      <c r="L43" s="19">
        <v>7833.333333333333</v>
      </c>
      <c r="M43" s="19">
        <v>7833.333333333333</v>
      </c>
      <c r="O43" s="8">
        <f>IFERROR(VLOOKUP($C43,[1]Sheet1!$A$11:$D$57,4,0),0)</f>
        <v>48020</v>
      </c>
      <c r="P43" s="8">
        <f>IFERROR(VLOOKUP($C43,[1]Sheet1!$A$11:$E$57,5,0),0)</f>
        <v>47054.7</v>
      </c>
      <c r="Q43" s="8">
        <f>IFERROR(VLOOKUP($C43,[1]Sheet1!$A$11:$F$57,6,0),0)</f>
        <v>46584.152999999998</v>
      </c>
    </row>
    <row r="44" spans="3:17" x14ac:dyDescent="0.25">
      <c r="C44" s="7"/>
      <c r="D44" s="7"/>
      <c r="E44" s="16"/>
      <c r="F44" s="16"/>
      <c r="G44" s="16"/>
      <c r="H44" s="16"/>
      <c r="I44" s="16"/>
      <c r="J44" s="18"/>
      <c r="K44" s="16"/>
      <c r="L44" s="19"/>
      <c r="M44" s="19"/>
      <c r="O44" s="8">
        <f>IFERROR(VLOOKUP($C44,[1]Sheet1!$A$11:$D$57,4,0),0)</f>
        <v>0</v>
      </c>
      <c r="P44" s="8">
        <f>IFERROR(VLOOKUP($C44,[1]Sheet1!$A$11:$E$57,5,0),0)</f>
        <v>0</v>
      </c>
      <c r="Q44" s="8">
        <f>IFERROR(VLOOKUP($C44,[1]Sheet1!$A$11:$F$57,6,0),0)</f>
        <v>0</v>
      </c>
    </row>
    <row r="45" spans="3:17" x14ac:dyDescent="0.25">
      <c r="C45" s="7" t="s">
        <v>90</v>
      </c>
      <c r="D45" s="7" t="s">
        <v>92</v>
      </c>
      <c r="E45" s="16">
        <v>16500</v>
      </c>
      <c r="F45" s="17">
        <f>IFERROR(VLOOKUP($C$7:$C$209,'REKAP TERIMA BARANG'!$B$5:$CU$199,98,0),"")</f>
        <v>16500</v>
      </c>
      <c r="G45" s="16">
        <v>18000</v>
      </c>
      <c r="H45" s="16">
        <v>17500</v>
      </c>
      <c r="I45" s="16">
        <v>17500</v>
      </c>
      <c r="J45" s="18"/>
      <c r="K45" s="16">
        <v>12</v>
      </c>
      <c r="L45" s="19">
        <v>1458.3333333333333</v>
      </c>
      <c r="M45" s="19">
        <v>1458.3333333333333</v>
      </c>
      <c r="O45" s="8">
        <f>IFERROR(VLOOKUP($C45,[1]Sheet1!$A$11:$D$57,4,0),0)</f>
        <v>17885</v>
      </c>
      <c r="P45" s="8">
        <f>IFERROR(VLOOKUP($C45,[1]Sheet1!$A$11:$E$57,5,0),0)</f>
        <v>17525.474999999999</v>
      </c>
      <c r="Q45" s="8">
        <f>IFERROR(VLOOKUP($C45,[1]Sheet1!$A$11:$F$57,6,0),0)</f>
        <v>17350.220249999998</v>
      </c>
    </row>
    <row r="46" spans="3:17" x14ac:dyDescent="0.25">
      <c r="C46" s="7" t="s">
        <v>91</v>
      </c>
      <c r="D46" s="7" t="s">
        <v>93</v>
      </c>
      <c r="E46" s="16">
        <v>17750</v>
      </c>
      <c r="F46" s="17">
        <f>IFERROR(VLOOKUP($C$7:$C$209,'REKAP TERIMA BARANG'!$B$5:$CU$199,98,0),"")</f>
        <v>17177.419354838708</v>
      </c>
      <c r="G46" s="16">
        <v>19000</v>
      </c>
      <c r="H46" s="16">
        <v>18500</v>
      </c>
      <c r="I46" s="16">
        <v>18500</v>
      </c>
      <c r="J46" s="18"/>
      <c r="K46" s="16"/>
      <c r="L46" s="19"/>
      <c r="M46" s="19"/>
      <c r="O46" s="8">
        <f>IFERROR(VLOOKUP($C46,[1]Sheet1!$A$11:$D$57,4,0),0)</f>
        <v>18620</v>
      </c>
      <c r="P46" s="8">
        <f>IFERROR(VLOOKUP($C46,[1]Sheet1!$A$11:$E$57,5,0),0)</f>
        <v>18245.7</v>
      </c>
      <c r="Q46" s="8">
        <f>IFERROR(VLOOKUP($C46,[1]Sheet1!$A$11:$F$57,6,0),0)</f>
        <v>18063.243000000002</v>
      </c>
    </row>
    <row r="47" spans="3:17" x14ac:dyDescent="0.25">
      <c r="C47" s="7" t="s">
        <v>126</v>
      </c>
      <c r="D47" s="7" t="s">
        <v>94</v>
      </c>
      <c r="E47" s="16">
        <v>53000</v>
      </c>
      <c r="F47" s="17">
        <f>IFERROR(VLOOKUP($C$7:$C$209,'REKAP TERIMA BARANG'!$B$5:$CU$199,98,0),"")</f>
        <v>53000</v>
      </c>
      <c r="G47" s="16">
        <v>54500</v>
      </c>
      <c r="H47" s="16">
        <v>54000</v>
      </c>
      <c r="I47" s="16">
        <v>54000</v>
      </c>
      <c r="J47" s="18"/>
      <c r="K47" s="16">
        <v>9</v>
      </c>
      <c r="L47" s="19">
        <v>6000</v>
      </c>
      <c r="M47" s="19">
        <v>6000</v>
      </c>
      <c r="O47" s="8">
        <f>IFERROR(VLOOKUP($C47,[1]Sheet1!$A$11:$D$57,4,0),0)</f>
        <v>55370</v>
      </c>
      <c r="P47" s="8">
        <f>IFERROR(VLOOKUP($C47,[1]Sheet1!$A$11:$E$57,5,0),0)</f>
        <v>54256.95</v>
      </c>
      <c r="Q47" s="8">
        <f>IFERROR(VLOOKUP($C47,[1]Sheet1!$A$11:$F$57,6,0),0)</f>
        <v>53714.380499999999</v>
      </c>
    </row>
    <row r="48" spans="3:17" x14ac:dyDescent="0.25">
      <c r="C48" s="7" t="s">
        <v>125</v>
      </c>
      <c r="D48" s="7" t="s">
        <v>95</v>
      </c>
      <c r="E48" s="16">
        <v>46000</v>
      </c>
      <c r="F48" s="17">
        <f>IFERROR(VLOOKUP($C$7:$C$209,'REKAP TERIMA BARANG'!$B$5:$CU$199,98,0),"")</f>
        <v>46000</v>
      </c>
      <c r="G48" s="16">
        <v>47500</v>
      </c>
      <c r="H48" s="16">
        <v>47000</v>
      </c>
      <c r="I48" s="16">
        <v>47000</v>
      </c>
      <c r="J48" s="18"/>
      <c r="K48" s="16">
        <v>3</v>
      </c>
      <c r="L48" s="19">
        <v>15666.666666666666</v>
      </c>
      <c r="M48" s="19">
        <v>15666.666666666666</v>
      </c>
      <c r="O48" s="8">
        <f>IFERROR(VLOOKUP($C48,[1]Sheet1!$A$11:$D$57,4,0),0)</f>
        <v>48020</v>
      </c>
      <c r="P48" s="8">
        <f>IFERROR(VLOOKUP($C48,[1]Sheet1!$A$11:$E$57,5,0),0)</f>
        <v>47054.7</v>
      </c>
      <c r="Q48" s="8">
        <f>IFERROR(VLOOKUP($C48,[1]Sheet1!$A$11:$F$57,6,0),0)</f>
        <v>46584.152999999998</v>
      </c>
    </row>
    <row r="49" spans="3:17" x14ac:dyDescent="0.25">
      <c r="C49" s="7" t="s">
        <v>124</v>
      </c>
      <c r="D49" s="7" t="s">
        <v>96</v>
      </c>
      <c r="E49" s="16">
        <v>40000</v>
      </c>
      <c r="F49" s="17">
        <f>IFERROR(VLOOKUP($C$7:$C$209,'REKAP TERIMA BARANG'!$B$5:$CU$199,98,0),"")</f>
        <v>40000</v>
      </c>
      <c r="G49" s="16">
        <v>41500</v>
      </c>
      <c r="H49" s="16">
        <v>41000</v>
      </c>
      <c r="I49" s="16">
        <v>41000</v>
      </c>
      <c r="J49" s="18"/>
      <c r="K49" s="16">
        <v>12</v>
      </c>
      <c r="L49" s="19">
        <v>3416.6666666666665</v>
      </c>
      <c r="M49" s="19">
        <v>3416.6666666666665</v>
      </c>
      <c r="O49" s="8">
        <f>IFERROR(VLOOKUP($C49,[1]Sheet1!$A$11:$D$57,4,0),0)</f>
        <v>42140</v>
      </c>
      <c r="P49" s="8">
        <f>IFERROR(VLOOKUP($C49,[1]Sheet1!$A$11:$E$57,5,0),0)</f>
        <v>41292.9</v>
      </c>
      <c r="Q49" s="8">
        <f>IFERROR(VLOOKUP($C49,[1]Sheet1!$A$11:$F$57,6,0),0)</f>
        <v>40879.971000000005</v>
      </c>
    </row>
    <row r="50" spans="3:17" x14ac:dyDescent="0.25">
      <c r="C50" s="7" t="s">
        <v>122</v>
      </c>
      <c r="D50" s="7" t="s">
        <v>97</v>
      </c>
      <c r="E50" s="16">
        <v>18000</v>
      </c>
      <c r="F50" s="17">
        <f>IFERROR(VLOOKUP($C$7:$C$209,'REKAP TERIMA BARANG'!$B$5:$CU$199,98,0),"")</f>
        <v>18000</v>
      </c>
      <c r="G50" s="16">
        <v>19500</v>
      </c>
      <c r="H50" s="16">
        <v>19000</v>
      </c>
      <c r="I50" s="16">
        <v>19000</v>
      </c>
      <c r="J50" s="18"/>
      <c r="K50" s="16">
        <v>20</v>
      </c>
      <c r="L50" s="19">
        <v>950</v>
      </c>
      <c r="M50" s="19">
        <v>950</v>
      </c>
      <c r="O50" s="8">
        <f>IFERROR(VLOOKUP($C50,[1]Sheet1!$A$11:$D$57,4,0),0)</f>
        <v>0</v>
      </c>
      <c r="P50" s="8">
        <f>IFERROR(VLOOKUP($C50,[1]Sheet1!$A$11:$E$57,5,0),0)</f>
        <v>0</v>
      </c>
      <c r="Q50" s="8">
        <f>IFERROR(VLOOKUP($C50,[1]Sheet1!$A$11:$F$57,6,0),0)</f>
        <v>0</v>
      </c>
    </row>
    <row r="51" spans="3:17" x14ac:dyDescent="0.25">
      <c r="C51" s="7" t="s">
        <v>123</v>
      </c>
      <c r="D51" s="7" t="s">
        <v>98</v>
      </c>
      <c r="E51" s="16">
        <v>20750</v>
      </c>
      <c r="F51" s="17">
        <f>IFERROR(VLOOKUP($C$7:$C$209,'REKAP TERIMA BARANG'!$B$5:$CU$199,98,0),"")</f>
        <v>20750</v>
      </c>
      <c r="G51" s="16">
        <v>22500</v>
      </c>
      <c r="H51" s="16">
        <v>22000</v>
      </c>
      <c r="I51" s="16">
        <v>22000</v>
      </c>
      <c r="J51" s="18"/>
      <c r="K51" s="16">
        <v>25</v>
      </c>
      <c r="L51" s="19">
        <v>880</v>
      </c>
      <c r="M51" s="19">
        <v>880</v>
      </c>
      <c r="O51" s="8">
        <f>IFERROR(VLOOKUP($C51,[1]Sheet1!$A$11:$D$57,4,0),0)</f>
        <v>0</v>
      </c>
      <c r="P51" s="8">
        <f>IFERROR(VLOOKUP($C51,[1]Sheet1!$A$11:$E$57,5,0),0)</f>
        <v>0</v>
      </c>
      <c r="Q51" s="8">
        <f>IFERROR(VLOOKUP($C51,[1]Sheet1!$A$11:$F$57,6,0),0)</f>
        <v>0</v>
      </c>
    </row>
    <row r="52" spans="3:17" x14ac:dyDescent="0.25">
      <c r="C52" s="7" t="s">
        <v>120</v>
      </c>
      <c r="D52" s="7" t="s">
        <v>128</v>
      </c>
      <c r="E52" s="16">
        <v>47000</v>
      </c>
      <c r="F52" s="17">
        <f>IFERROR(VLOOKUP($C$7:$C$209,'REKAP TERIMA BARANG'!$B$5:$CU$199,98,0),"")</f>
        <v>46060</v>
      </c>
      <c r="G52" s="16">
        <v>48500</v>
      </c>
      <c r="H52" s="16">
        <v>48000</v>
      </c>
      <c r="I52" s="16">
        <v>48000</v>
      </c>
      <c r="J52" s="18"/>
      <c r="K52" s="16">
        <v>4</v>
      </c>
      <c r="L52" s="19">
        <v>12000</v>
      </c>
      <c r="M52" s="19">
        <v>12000</v>
      </c>
      <c r="O52" s="8">
        <f>IFERROR(VLOOKUP($C52,[1]Sheet1!$A$11:$D$57,4,0),0)</f>
        <v>0</v>
      </c>
      <c r="P52" s="8">
        <f>IFERROR(VLOOKUP($C52,[1]Sheet1!$A$11:$E$57,5,0),0)</f>
        <v>0</v>
      </c>
      <c r="Q52" s="8">
        <f>IFERROR(VLOOKUP($C52,[1]Sheet1!$A$11:$F$57,6,0),0)</f>
        <v>0</v>
      </c>
    </row>
    <row r="53" spans="3:17" x14ac:dyDescent="0.25">
      <c r="C53" s="7" t="s">
        <v>121</v>
      </c>
      <c r="D53" s="7" t="s">
        <v>99</v>
      </c>
      <c r="E53" s="16">
        <v>57600</v>
      </c>
      <c r="F53" s="17">
        <f>IFERROR(VLOOKUP($C$7:$C$209,'REKAP TERIMA BARANG'!$B$5:$CU$199,98,0),"")</f>
        <v>56448</v>
      </c>
      <c r="G53" s="16">
        <v>59500</v>
      </c>
      <c r="H53" s="16">
        <v>59000</v>
      </c>
      <c r="I53" s="16">
        <v>59000</v>
      </c>
      <c r="J53" s="18"/>
      <c r="K53" s="16">
        <v>12</v>
      </c>
      <c r="L53" s="19">
        <v>4916.666666666667</v>
      </c>
      <c r="M53" s="19">
        <v>4916.666666666667</v>
      </c>
      <c r="O53" s="8">
        <f>IFERROR(VLOOKUP($C53,[1]Sheet1!$A$11:$D$57,4,0),0)</f>
        <v>0</v>
      </c>
      <c r="P53" s="8">
        <f>IFERROR(VLOOKUP($C53,[1]Sheet1!$A$11:$E$57,5,0),0)</f>
        <v>0</v>
      </c>
      <c r="Q53" s="8">
        <f>IFERROR(VLOOKUP($C53,[1]Sheet1!$A$11:$F$57,6,0),0)</f>
        <v>0</v>
      </c>
    </row>
    <row r="54" spans="3:17" x14ac:dyDescent="0.25">
      <c r="C54" s="7" t="s">
        <v>101</v>
      </c>
      <c r="D54" s="7" t="s">
        <v>101</v>
      </c>
      <c r="E54" s="16">
        <v>112000</v>
      </c>
      <c r="F54" s="17">
        <f>IFERROR(VLOOKUP($C$7:$C$209,'REKAP TERIMA BARANG'!$B$5:$CU$199,98,0),"")</f>
        <v>112000</v>
      </c>
      <c r="G54" s="16">
        <v>114500</v>
      </c>
      <c r="H54" s="16">
        <v>114000</v>
      </c>
      <c r="I54" s="16">
        <v>114000</v>
      </c>
      <c r="J54" s="18"/>
      <c r="K54" s="16">
        <v>30</v>
      </c>
      <c r="L54" s="19">
        <v>3800</v>
      </c>
      <c r="M54" s="19">
        <v>3800</v>
      </c>
      <c r="O54" s="8">
        <f>IFERROR(VLOOKUP($C54,[1]Sheet1!$A$11:$D$57,4,0),0)</f>
        <v>0</v>
      </c>
      <c r="P54" s="8">
        <f>IFERROR(VLOOKUP($C54,[1]Sheet1!$A$11:$E$57,5,0),0)</f>
        <v>0</v>
      </c>
      <c r="Q54" s="8">
        <f>IFERROR(VLOOKUP($C54,[1]Sheet1!$A$11:$F$57,6,0),0)</f>
        <v>0</v>
      </c>
    </row>
    <row r="55" spans="3:17" x14ac:dyDescent="0.25">
      <c r="C55" s="7" t="s">
        <v>102</v>
      </c>
      <c r="D55" s="7" t="s">
        <v>102</v>
      </c>
      <c r="E55" s="16">
        <v>104500</v>
      </c>
      <c r="F55" s="17">
        <f>IFERROR(VLOOKUP($C$7:$C$209,'REKAP TERIMA BARANG'!$B$5:$CU$199,98,0),"")</f>
        <v>104500</v>
      </c>
      <c r="G55" s="16">
        <v>106500</v>
      </c>
      <c r="H55" s="16">
        <v>106000</v>
      </c>
      <c r="I55" s="16">
        <v>106000</v>
      </c>
      <c r="J55" s="18"/>
      <c r="K55" s="16">
        <v>30</v>
      </c>
      <c r="L55" s="19">
        <v>3533.3333333333335</v>
      </c>
      <c r="M55" s="19">
        <v>3533.3333333333335</v>
      </c>
      <c r="O55" s="8">
        <f>IFERROR(VLOOKUP($C55,[1]Sheet1!$A$11:$D$57,4,0),0)</f>
        <v>0</v>
      </c>
      <c r="P55" s="8">
        <f>IFERROR(VLOOKUP($C55,[1]Sheet1!$A$11:$E$57,5,0),0)</f>
        <v>0</v>
      </c>
      <c r="Q55" s="8">
        <f>IFERROR(VLOOKUP($C55,[1]Sheet1!$A$11:$F$57,6,0),0)</f>
        <v>0</v>
      </c>
    </row>
    <row r="56" spans="3:17" x14ac:dyDescent="0.25">
      <c r="C56" s="7" t="s">
        <v>113</v>
      </c>
      <c r="D56" s="7" t="s">
        <v>103</v>
      </c>
      <c r="E56" s="16">
        <v>185000</v>
      </c>
      <c r="F56" s="17">
        <f>IFERROR(VLOOKUP($C$7:$C$209,'REKAP TERIMA BARANG'!$B$5:$CU$199,98,0),"")</f>
        <v>185000</v>
      </c>
      <c r="G56" s="16">
        <v>189000</v>
      </c>
      <c r="H56" s="16">
        <v>188000</v>
      </c>
      <c r="I56" s="16">
        <v>188000</v>
      </c>
      <c r="J56" s="18"/>
      <c r="K56" s="16">
        <v>18</v>
      </c>
      <c r="L56" s="19">
        <v>10444.444444444445</v>
      </c>
      <c r="M56" s="19">
        <v>10444.444444444445</v>
      </c>
      <c r="O56" s="8">
        <f>IFERROR(VLOOKUP($C56,[1]Sheet1!$A$11:$D$57,4,0),0)</f>
        <v>0</v>
      </c>
      <c r="P56" s="8">
        <f>IFERROR(VLOOKUP($C56,[1]Sheet1!$A$11:$E$57,5,0),0)</f>
        <v>0</v>
      </c>
      <c r="Q56" s="8">
        <f>IFERROR(VLOOKUP($C56,[1]Sheet1!$A$11:$F$57,6,0),0)</f>
        <v>0</v>
      </c>
    </row>
    <row r="57" spans="3:17" x14ac:dyDescent="0.25">
      <c r="C57" s="7" t="s">
        <v>108</v>
      </c>
      <c r="D57" s="7" t="s">
        <v>108</v>
      </c>
      <c r="E57" s="16">
        <v>23250</v>
      </c>
      <c r="F57" s="17">
        <f>IFERROR(VLOOKUP($C$7:$C$209,'REKAP TERIMA BARANG'!$B$5:$CU$199,98,0),"")</f>
        <v>23250</v>
      </c>
      <c r="G57" s="16">
        <v>25000</v>
      </c>
      <c r="H57" s="16">
        <v>24500</v>
      </c>
      <c r="I57" s="16">
        <v>24500</v>
      </c>
      <c r="J57" s="18"/>
      <c r="K57" s="16">
        <v>6</v>
      </c>
      <c r="L57" s="19">
        <v>4083.3333333333335</v>
      </c>
      <c r="M57" s="19">
        <v>4083.3333333333335</v>
      </c>
      <c r="O57" s="8">
        <f>IFERROR(VLOOKUP($C57,[1]Sheet1!$A$11:$D$57,4,0),0)</f>
        <v>0</v>
      </c>
      <c r="P57" s="8">
        <f>IFERROR(VLOOKUP($C57,[1]Sheet1!$A$11:$E$57,5,0),0)</f>
        <v>0</v>
      </c>
      <c r="Q57" s="8">
        <f>IFERROR(VLOOKUP($C57,[1]Sheet1!$A$11:$F$57,6,0),0)</f>
        <v>0</v>
      </c>
    </row>
    <row r="58" spans="3:17" x14ac:dyDescent="0.25">
      <c r="C58" s="7" t="s">
        <v>114</v>
      </c>
      <c r="D58" s="7" t="s">
        <v>104</v>
      </c>
      <c r="E58" s="16">
        <v>75000</v>
      </c>
      <c r="F58" s="17">
        <f>IFERROR(VLOOKUP($C$7:$C$209,'REKAP TERIMA BARANG'!$B$5:$CU$199,98,0),"")</f>
        <v>75000</v>
      </c>
      <c r="G58" s="16">
        <v>76500</v>
      </c>
      <c r="H58" s="16">
        <v>76000</v>
      </c>
      <c r="I58" s="16">
        <v>76000</v>
      </c>
      <c r="J58" s="18"/>
      <c r="K58" s="16"/>
      <c r="L58" s="19"/>
      <c r="M58" s="19"/>
      <c r="O58" s="8">
        <f>IFERROR(VLOOKUP($C58,[1]Sheet1!$A$11:$D$57,4,0),0)</f>
        <v>77420</v>
      </c>
      <c r="P58" s="8">
        <f>IFERROR(VLOOKUP($C58,[1]Sheet1!$A$11:$E$57,5,0),0)</f>
        <v>75863.7</v>
      </c>
      <c r="Q58" s="8">
        <f>IFERROR(VLOOKUP($C58,[1]Sheet1!$A$11:$F$57,6,0),0)</f>
        <v>75105.062999999995</v>
      </c>
    </row>
    <row r="59" spans="3:17" x14ac:dyDescent="0.25">
      <c r="C59" s="7" t="s">
        <v>115</v>
      </c>
      <c r="D59" s="7" t="s">
        <v>100</v>
      </c>
      <c r="E59" s="16">
        <v>53000</v>
      </c>
      <c r="F59" s="17">
        <f>IFERROR(VLOOKUP($C$7:$C$209,'REKAP TERIMA BARANG'!$B$5:$CU$199,98,0),"")</f>
        <v>51940</v>
      </c>
      <c r="G59" s="16">
        <v>54500</v>
      </c>
      <c r="H59" s="16">
        <v>54000</v>
      </c>
      <c r="I59" s="16">
        <v>54000</v>
      </c>
      <c r="J59" s="18"/>
      <c r="K59" s="16">
        <v>6</v>
      </c>
      <c r="L59" s="19">
        <v>9000</v>
      </c>
      <c r="M59" s="19">
        <v>9000</v>
      </c>
      <c r="O59" s="8">
        <f>IFERROR(VLOOKUP($C59,[1]Sheet1!$A$11:$D$57,4,0),0)</f>
        <v>0</v>
      </c>
      <c r="P59" s="8">
        <f>IFERROR(VLOOKUP($C59,[1]Sheet1!$A$11:$E$57,5,0),0)</f>
        <v>0</v>
      </c>
      <c r="Q59" s="8">
        <f>IFERROR(VLOOKUP($C59,[1]Sheet1!$A$11:$F$57,6,0),0)</f>
        <v>0</v>
      </c>
    </row>
    <row r="60" spans="3:17" x14ac:dyDescent="0.25">
      <c r="C60" s="7" t="s">
        <v>116</v>
      </c>
      <c r="D60" s="7" t="s">
        <v>105</v>
      </c>
      <c r="E60" s="16">
        <v>55000</v>
      </c>
      <c r="F60" s="17">
        <f>IFERROR(VLOOKUP($C$7:$C$209,'REKAP TERIMA BARANG'!$B$5:$CU$199,98,0),"")</f>
        <v>55000</v>
      </c>
      <c r="G60" s="16">
        <v>56500</v>
      </c>
      <c r="H60" s="16">
        <v>56000</v>
      </c>
      <c r="I60" s="16">
        <v>56000</v>
      </c>
      <c r="J60" s="18"/>
      <c r="K60" s="16">
        <v>3</v>
      </c>
      <c r="L60" s="19">
        <v>18666.666666666668</v>
      </c>
      <c r="M60" s="19">
        <v>18666.666666666668</v>
      </c>
      <c r="O60" s="8">
        <f>IFERROR(VLOOKUP($C60,[1]Sheet1!$A$11:$D$57,4,0),0)</f>
        <v>0</v>
      </c>
      <c r="P60" s="8">
        <f>IFERROR(VLOOKUP($C60,[1]Sheet1!$A$11:$E$57,5,0),0)</f>
        <v>0</v>
      </c>
      <c r="Q60" s="8">
        <f>IFERROR(VLOOKUP($C60,[1]Sheet1!$A$11:$F$57,6,0),0)</f>
        <v>0</v>
      </c>
    </row>
    <row r="61" spans="3:17" x14ac:dyDescent="0.25">
      <c r="C61" s="7" t="s">
        <v>117</v>
      </c>
      <c r="D61" s="7" t="s">
        <v>106</v>
      </c>
      <c r="E61" s="16">
        <v>23250</v>
      </c>
      <c r="F61" s="17">
        <f>IFERROR(VLOOKUP($C$7:$C$209,'REKAP TERIMA BARANG'!$B$5:$CU$199,98,0),"")</f>
        <v>23250</v>
      </c>
      <c r="G61" s="16">
        <v>25000</v>
      </c>
      <c r="H61" s="16">
        <v>24500</v>
      </c>
      <c r="I61" s="16">
        <v>24500</v>
      </c>
      <c r="J61" s="18"/>
      <c r="K61" s="16">
        <v>6</v>
      </c>
      <c r="L61" s="19">
        <v>4083.3333333333335</v>
      </c>
      <c r="M61" s="19">
        <v>4083.3333333333335</v>
      </c>
      <c r="O61" s="8">
        <f>IFERROR(VLOOKUP($C61,[1]Sheet1!$A$11:$D$57,4,0),0)</f>
        <v>0</v>
      </c>
      <c r="P61" s="8">
        <f>IFERROR(VLOOKUP($C61,[1]Sheet1!$A$11:$E$57,5,0),0)</f>
        <v>0</v>
      </c>
      <c r="Q61" s="8">
        <f>IFERROR(VLOOKUP($C61,[1]Sheet1!$A$11:$F$57,6,0),0)</f>
        <v>0</v>
      </c>
    </row>
    <row r="62" spans="3:17" x14ac:dyDescent="0.25">
      <c r="C62" s="7" t="s">
        <v>107</v>
      </c>
      <c r="D62" s="7" t="s">
        <v>107</v>
      </c>
      <c r="E62" s="16">
        <v>23250</v>
      </c>
      <c r="F62" s="17">
        <f>IFERROR(VLOOKUP($C$7:$C$209,'REKAP TERIMA BARANG'!$B$5:$CU$199,98,0),"")</f>
        <v>23250</v>
      </c>
      <c r="G62" s="16">
        <v>25000</v>
      </c>
      <c r="H62" s="16">
        <v>24500</v>
      </c>
      <c r="I62" s="16">
        <v>24500</v>
      </c>
      <c r="J62" s="18"/>
      <c r="K62" s="16">
        <v>6</v>
      </c>
      <c r="L62" s="19">
        <v>4083.3333333333335</v>
      </c>
      <c r="M62" s="19">
        <v>4083.3333333333335</v>
      </c>
      <c r="O62" s="8">
        <f>IFERROR(VLOOKUP($C62,[1]Sheet1!$A$11:$D$57,4,0),0)</f>
        <v>0</v>
      </c>
      <c r="P62" s="8">
        <f>IFERROR(VLOOKUP($C62,[1]Sheet1!$A$11:$E$57,5,0),0)</f>
        <v>0</v>
      </c>
      <c r="Q62" s="8">
        <f>IFERROR(VLOOKUP($C62,[1]Sheet1!$A$11:$F$57,6,0),0)</f>
        <v>0</v>
      </c>
    </row>
    <row r="63" spans="3:17" x14ac:dyDescent="0.25">
      <c r="C63" s="7" t="s">
        <v>109</v>
      </c>
      <c r="D63" s="7" t="s">
        <v>109</v>
      </c>
      <c r="E63" s="16">
        <v>23250</v>
      </c>
      <c r="F63" s="17">
        <f>IFERROR(VLOOKUP($C$7:$C$209,'REKAP TERIMA BARANG'!$B$5:$CU$199,98,0),"")</f>
        <v>23250</v>
      </c>
      <c r="G63" s="16">
        <v>25000</v>
      </c>
      <c r="H63" s="16">
        <v>24500</v>
      </c>
      <c r="I63" s="16">
        <v>24500</v>
      </c>
      <c r="J63" s="18"/>
      <c r="K63" s="16">
        <v>6</v>
      </c>
      <c r="L63" s="19">
        <v>4083.3333333333335</v>
      </c>
      <c r="M63" s="19">
        <v>4083.3333333333335</v>
      </c>
      <c r="O63" s="8">
        <f>IFERROR(VLOOKUP($C63,[1]Sheet1!$A$11:$D$57,4,0),0)</f>
        <v>0</v>
      </c>
      <c r="P63" s="8">
        <f>IFERROR(VLOOKUP($C63,[1]Sheet1!$A$11:$E$57,5,0),0)</f>
        <v>0</v>
      </c>
      <c r="Q63" s="8">
        <f>IFERROR(VLOOKUP($C63,[1]Sheet1!$A$11:$F$57,6,0),0)</f>
        <v>0</v>
      </c>
    </row>
    <row r="64" spans="3:17" x14ac:dyDescent="0.25">
      <c r="C64" s="7" t="s">
        <v>118</v>
      </c>
      <c r="D64" s="7" t="s">
        <v>110</v>
      </c>
      <c r="E64" s="16">
        <v>15500</v>
      </c>
      <c r="F64" s="17">
        <f>IFERROR(VLOOKUP($C$7:$C$209,'REKAP TERIMA BARANG'!$B$5:$CU$199,98,0),"")</f>
        <v>15500</v>
      </c>
      <c r="G64" s="16">
        <v>17000</v>
      </c>
      <c r="H64" s="16">
        <v>16000</v>
      </c>
      <c r="I64" s="16">
        <v>16000</v>
      </c>
      <c r="J64" s="18"/>
      <c r="K64" s="16">
        <v>4</v>
      </c>
      <c r="L64" s="19">
        <v>4000</v>
      </c>
      <c r="M64" s="19">
        <v>4000</v>
      </c>
      <c r="O64" s="8">
        <f>IFERROR(VLOOKUP($C64,[1]Sheet1!$A$11:$D$57,4,0),0)</f>
        <v>17150</v>
      </c>
      <c r="P64" s="8">
        <f>IFERROR(VLOOKUP($C64,[1]Sheet1!$A$11:$E$57,5,0),0)</f>
        <v>16805.25</v>
      </c>
      <c r="Q64" s="8">
        <f>IFERROR(VLOOKUP($C64,[1]Sheet1!$A$11:$F$57,6,0),0)</f>
        <v>16637.197499999998</v>
      </c>
    </row>
    <row r="65" spans="3:17" x14ac:dyDescent="0.25">
      <c r="C65" s="7" t="s">
        <v>119</v>
      </c>
      <c r="D65" s="7" t="s">
        <v>111</v>
      </c>
      <c r="E65" s="16">
        <v>15500</v>
      </c>
      <c r="F65" s="17">
        <f>IFERROR(VLOOKUP($C$7:$C$209,'REKAP TERIMA BARANG'!$B$5:$CU$199,98,0),"")</f>
        <v>15500</v>
      </c>
      <c r="G65" s="16">
        <v>17000</v>
      </c>
      <c r="H65" s="16">
        <v>16000</v>
      </c>
      <c r="I65" s="16">
        <v>16000</v>
      </c>
      <c r="J65" s="18"/>
      <c r="K65" s="16">
        <v>4</v>
      </c>
      <c r="L65" s="19">
        <v>4000</v>
      </c>
      <c r="M65" s="19">
        <v>4000</v>
      </c>
      <c r="O65" s="8">
        <f>IFERROR(VLOOKUP($C65,[1]Sheet1!$A$11:$D$57,4,0),0)</f>
        <v>17150</v>
      </c>
      <c r="P65" s="8">
        <f>IFERROR(VLOOKUP($C65,[1]Sheet1!$A$11:$E$57,5,0),0)</f>
        <v>16805.25</v>
      </c>
      <c r="Q65" s="8">
        <f>IFERROR(VLOOKUP($C65,[1]Sheet1!$A$11:$F$57,6,0),0)</f>
        <v>16637.197499999998</v>
      </c>
    </row>
    <row r="66" spans="3:17" x14ac:dyDescent="0.25">
      <c r="C66" s="7" t="s">
        <v>112</v>
      </c>
      <c r="D66" s="7" t="s">
        <v>112</v>
      </c>
      <c r="E66" s="16">
        <v>23250</v>
      </c>
      <c r="F66" s="17">
        <f>IFERROR(VLOOKUP($C$7:$C$209,'REKAP TERIMA BARANG'!$B$5:$CU$199,98,0),"")</f>
        <v>23250</v>
      </c>
      <c r="G66" s="16">
        <v>25000</v>
      </c>
      <c r="H66" s="16">
        <v>24500</v>
      </c>
      <c r="I66" s="16">
        <v>24500</v>
      </c>
      <c r="J66" s="18"/>
      <c r="K66" s="16">
        <v>6</v>
      </c>
      <c r="L66" s="19">
        <v>4083.3333333333335</v>
      </c>
      <c r="M66" s="19">
        <v>4083.3333333333335</v>
      </c>
      <c r="O66" s="8">
        <f>IFERROR(VLOOKUP($C66,[1]Sheet1!$A$11:$D$57,4,0),0)</f>
        <v>0</v>
      </c>
      <c r="P66" s="8">
        <f>IFERROR(VLOOKUP($C66,[1]Sheet1!$A$11:$E$57,5,0),0)</f>
        <v>0</v>
      </c>
      <c r="Q66" s="8">
        <f>IFERROR(VLOOKUP($C66,[1]Sheet1!$A$11:$F$57,6,0),0)</f>
        <v>0</v>
      </c>
    </row>
    <row r="67" spans="3:17" x14ac:dyDescent="0.25">
      <c r="C67" s="7"/>
      <c r="D67" s="7"/>
      <c r="E67" s="16"/>
      <c r="F67" s="17"/>
      <c r="G67" s="16"/>
      <c r="H67" s="16"/>
      <c r="I67" s="16"/>
      <c r="J67" s="18"/>
      <c r="K67" s="16"/>
      <c r="L67" s="19"/>
      <c r="M67" s="19"/>
      <c r="O67" s="8"/>
      <c r="P67" s="8"/>
      <c r="Q67" s="8"/>
    </row>
    <row r="68" spans="3:17" x14ac:dyDescent="0.25">
      <c r="C68" s="7" t="s">
        <v>140</v>
      </c>
      <c r="D68" s="7" t="s">
        <v>143</v>
      </c>
      <c r="E68" s="16">
        <v>95000</v>
      </c>
      <c r="F68" s="17">
        <f>IFERROR(VLOOKUP($C$7:$C$209,'REKAP TERIMA BARANG'!$B$5:$CU$199,98,0),"")</f>
        <v>92412</v>
      </c>
      <c r="G68" s="16"/>
      <c r="H68" s="16"/>
      <c r="I68" s="16">
        <v>93500</v>
      </c>
      <c r="J68" s="18"/>
      <c r="K68" s="16">
        <v>12</v>
      </c>
      <c r="L68" s="19"/>
      <c r="M68" s="19">
        <v>7791.666666666667</v>
      </c>
      <c r="O68" s="8">
        <v>96530</v>
      </c>
      <c r="P68" s="8">
        <v>94589.55</v>
      </c>
      <c r="Q68" s="8">
        <v>93643.654500000004</v>
      </c>
    </row>
    <row r="69" spans="3:17" x14ac:dyDescent="0.25">
      <c r="C69" s="7" t="s">
        <v>141</v>
      </c>
      <c r="D69" s="7" t="s">
        <v>144</v>
      </c>
      <c r="E69" s="16">
        <v>156000</v>
      </c>
      <c r="F69" s="17">
        <f>IFERROR(VLOOKUP($C$7:$C$209,'REKAP TERIMA BARANG'!$B$5:$CU$199,98,0),"")</f>
        <v>152650</v>
      </c>
      <c r="G69" s="16"/>
      <c r="H69" s="16"/>
      <c r="I69" s="16">
        <v>154000</v>
      </c>
      <c r="J69" s="18"/>
      <c r="K69" s="16">
        <v>12</v>
      </c>
      <c r="L69" s="19"/>
      <c r="M69" s="19">
        <v>12833.333333333334</v>
      </c>
      <c r="O69" s="8">
        <v>158760</v>
      </c>
      <c r="P69" s="8">
        <v>155568.6</v>
      </c>
      <c r="Q69" s="8">
        <v>154012.91400000002</v>
      </c>
    </row>
    <row r="70" spans="3:17" x14ac:dyDescent="0.25">
      <c r="C70" s="7" t="s">
        <v>142</v>
      </c>
      <c r="D70" s="7" t="s">
        <v>145</v>
      </c>
      <c r="E70" s="16">
        <v>104500</v>
      </c>
      <c r="F70" s="17">
        <f>IFERROR(VLOOKUP($C$7:$C$209,'REKAP TERIMA BARANG'!$B$5:$CU$199,98,0),"")</f>
        <v>101793</v>
      </c>
      <c r="G70" s="16"/>
      <c r="H70" s="16"/>
      <c r="I70" s="16">
        <v>103000</v>
      </c>
      <c r="J70" s="18"/>
      <c r="K70" s="16">
        <v>12</v>
      </c>
      <c r="L70" s="19"/>
      <c r="M70" s="19">
        <v>8583.3333333333339</v>
      </c>
      <c r="O70" s="8">
        <v>106330</v>
      </c>
      <c r="P70" s="8">
        <v>104192.55</v>
      </c>
      <c r="Q70" s="8">
        <v>103150.62450000001</v>
      </c>
    </row>
  </sheetData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showGridLines="0" workbookViewId="0">
      <selection activeCell="E5" sqref="E5"/>
    </sheetView>
  </sheetViews>
  <sheetFormatPr defaultRowHeight="15" x14ac:dyDescent="0.25"/>
  <cols>
    <col min="1" max="2" width="1.42578125" customWidth="1"/>
    <col min="4" max="4" width="30.140625" customWidth="1"/>
    <col min="6" max="6" width="4" customWidth="1"/>
    <col min="7" max="7" width="15.85546875" bestFit="1" customWidth="1"/>
    <col min="8" max="8" width="11.42578125" bestFit="1" customWidth="1"/>
  </cols>
  <sheetData>
    <row r="2" spans="2:8" x14ac:dyDescent="0.25">
      <c r="B2" t="s">
        <v>19</v>
      </c>
    </row>
    <row r="4" spans="2:8" x14ac:dyDescent="0.25">
      <c r="C4" s="6" t="s">
        <v>1</v>
      </c>
      <c r="D4" s="6" t="s">
        <v>2</v>
      </c>
      <c r="E4" s="6" t="s">
        <v>20</v>
      </c>
      <c r="G4" s="6" t="s">
        <v>21</v>
      </c>
      <c r="H4" s="6" t="s">
        <v>22</v>
      </c>
    </row>
    <row r="5" spans="2:8" x14ac:dyDescent="0.25">
      <c r="C5" s="7" t="s">
        <v>9</v>
      </c>
      <c r="D5" s="7" t="str">
        <f>IF(C5="","",VLOOKUP($C$5:$C$169,DBASE!$C$7:$D$201,2,0))</f>
        <v>NABATI WAFER KEJU 8GR</v>
      </c>
      <c r="E5" s="8">
        <f>G5-H5</f>
        <v>36</v>
      </c>
      <c r="G5" s="8">
        <f>IFERROR(VLOOKUP($C$5:$C$279,'REKAP TERIMA BARANG'!$B$5:$CT$383,97,0),0)</f>
        <v>69</v>
      </c>
      <c r="H5" s="8">
        <f>IFERROR(VLOOKUP($C5,'REKAP PENJUALAN'!$C$9:$E$419,3,0),0)</f>
        <v>33</v>
      </c>
    </row>
    <row r="6" spans="2:8" x14ac:dyDescent="0.25">
      <c r="C6" s="7" t="s">
        <v>10</v>
      </c>
      <c r="D6" s="7" t="str">
        <f>IF(C6="","",VLOOKUP($C$5:$C$169,DBASE!$C$7:$D$201,2,0))</f>
        <v>NABATI WAFER COKLAT 8GR</v>
      </c>
      <c r="E6" s="8">
        <f t="shared" ref="E6:E64" si="0">G6-H6</f>
        <v>23</v>
      </c>
      <c r="G6" s="8">
        <f>IFERROR(VLOOKUP($C$5:$C$279,'REKAP TERIMA BARANG'!$B$5:$CT$383,97,0),0)</f>
        <v>36</v>
      </c>
      <c r="H6" s="8">
        <f>IFERROR(VLOOKUP($C6,'REKAP PENJUALAN'!$C$9:$E$419,3,0),0)</f>
        <v>13</v>
      </c>
    </row>
    <row r="7" spans="2:8" x14ac:dyDescent="0.25">
      <c r="C7" s="7" t="s">
        <v>52</v>
      </c>
      <c r="D7" s="7" t="str">
        <f>IF(C7="","",VLOOKUP($C$5:$C$169,DBASE!$C$7:$D$201,2,0))</f>
        <v>NABATI WAFER KEJU 19GR</v>
      </c>
      <c r="E7" s="8">
        <f t="shared" si="0"/>
        <v>0</v>
      </c>
      <c r="G7" s="8">
        <f>IFERROR(VLOOKUP($C$5:$C$279,'REKAP TERIMA BARANG'!$B$5:$CT$383,97,0),0)</f>
        <v>0</v>
      </c>
      <c r="H7" s="8">
        <f>IFERROR(VLOOKUP($C7,'REKAP PENJUALAN'!$C$9:$E$419,3,0),0)</f>
        <v>0</v>
      </c>
    </row>
    <row r="8" spans="2:8" x14ac:dyDescent="0.25">
      <c r="C8" s="7" t="s">
        <v>53</v>
      </c>
      <c r="D8" s="7" t="str">
        <f>IF(C8="","",VLOOKUP($C$5:$C$169,DBASE!$C$7:$D$201,2,0))</f>
        <v>NABATI WAFER COKLAT 19GR</v>
      </c>
      <c r="E8" s="8">
        <f t="shared" si="0"/>
        <v>19</v>
      </c>
      <c r="G8" s="8">
        <f>IFERROR(VLOOKUP($C$5:$C$279,'REKAP TERIMA BARANG'!$B$5:$CT$383,97,0),0)</f>
        <v>20</v>
      </c>
      <c r="H8" s="8">
        <f>IFERROR(VLOOKUP($C8,'REKAP PENJUALAN'!$C$9:$E$419,3,0),0)</f>
        <v>1</v>
      </c>
    </row>
    <row r="9" spans="2:8" x14ac:dyDescent="0.25">
      <c r="C9" s="7" t="s">
        <v>11</v>
      </c>
      <c r="D9" s="7" t="str">
        <f>IF(C9="","",VLOOKUP($C$5:$C$169,DBASE!$C$7:$D$201,2,0))</f>
        <v>NABATI WAFER KEJU 52GR</v>
      </c>
      <c r="E9" s="8">
        <f t="shared" si="0"/>
        <v>70</v>
      </c>
      <c r="G9" s="8">
        <f>IFERROR(VLOOKUP($C$5:$C$279,'REKAP TERIMA BARANG'!$B$5:$CT$383,97,0),0)</f>
        <v>149</v>
      </c>
      <c r="H9" s="8">
        <f>IFERROR(VLOOKUP($C9,'REKAP PENJUALAN'!$C$9:$E$419,3,0),0)</f>
        <v>79</v>
      </c>
    </row>
    <row r="10" spans="2:8" x14ac:dyDescent="0.25">
      <c r="C10" s="7" t="s">
        <v>12</v>
      </c>
      <c r="D10" s="7" t="str">
        <f>IF(C10="","",VLOOKUP($C$5:$C$169,DBASE!$C$7:$D$201,2,0))</f>
        <v>NABATI WAFER COKLAT 52GR</v>
      </c>
      <c r="E10" s="8">
        <f t="shared" si="0"/>
        <v>0</v>
      </c>
      <c r="G10" s="8">
        <f>IFERROR(VLOOKUP($C$5:$C$279,'REKAP TERIMA BARANG'!$B$5:$CT$383,97,0),0)</f>
        <v>10</v>
      </c>
      <c r="H10" s="8">
        <f>IFERROR(VLOOKUP($C10,'REKAP PENJUALAN'!$C$9:$E$419,3,0),0)</f>
        <v>10</v>
      </c>
    </row>
    <row r="11" spans="2:8" x14ac:dyDescent="0.25">
      <c r="C11" s="7" t="s">
        <v>84</v>
      </c>
      <c r="D11" s="7" t="str">
        <f>IF(C11="","",VLOOKUP($C$5:$C$169,DBASE!$C$7:$D$201,2,0))</f>
        <v>NABATI WAFER KEJU 145GR</v>
      </c>
      <c r="E11" s="8">
        <f t="shared" si="0"/>
        <v>7.5</v>
      </c>
      <c r="G11" s="8">
        <f>IFERROR(VLOOKUP($C$5:$C$279,'REKAP TERIMA BARANG'!$B$5:$CT$383,97,0),0)</f>
        <v>10</v>
      </c>
      <c r="H11" s="8">
        <f>IFERROR(VLOOKUP($C11,'REKAP PENJUALAN'!$C$9:$E$419,3,0),0)</f>
        <v>2.5</v>
      </c>
    </row>
    <row r="12" spans="2:8" x14ac:dyDescent="0.25">
      <c r="C12" s="7" t="s">
        <v>85</v>
      </c>
      <c r="D12" s="7" t="str">
        <f>IF(C12="","",VLOOKUP($C$5:$C$169,DBASE!$C$7:$D$201,2,0))</f>
        <v>NABATI WAFER COKLAT 145GR</v>
      </c>
      <c r="E12" s="8">
        <f t="shared" si="0"/>
        <v>2.5</v>
      </c>
      <c r="G12" s="8">
        <f>IFERROR(VLOOKUP($C$5:$C$279,'REKAP TERIMA BARANG'!$B$5:$CT$383,97,0),0)</f>
        <v>5</v>
      </c>
      <c r="H12" s="8">
        <f>IFERROR(VLOOKUP($C12,'REKAP PENJUALAN'!$C$9:$E$419,3,0),0)</f>
        <v>2.5</v>
      </c>
    </row>
    <row r="13" spans="2:8" x14ac:dyDescent="0.25">
      <c r="C13" s="7" t="s">
        <v>65</v>
      </c>
      <c r="D13" s="7" t="str">
        <f>IF(C13="","",VLOOKUP($C$5:$C$169,DBASE!$C$7:$D$201,2,0))</f>
        <v>SIIP KEJU 500</v>
      </c>
      <c r="E13" s="8">
        <f t="shared" si="0"/>
        <v>8.6666666666666679</v>
      </c>
      <c r="G13" s="8">
        <f>IFERROR(VLOOKUP($C$5:$C$279,'REKAP TERIMA BARANG'!$B$5:$CT$383,97,0),0)</f>
        <v>28</v>
      </c>
      <c r="H13" s="8">
        <f>IFERROR(VLOOKUP($C13,'REKAP PENJUALAN'!$C$9:$E$419,3,0),0)</f>
        <v>19.333333333333332</v>
      </c>
    </row>
    <row r="14" spans="2:8" x14ac:dyDescent="0.25">
      <c r="C14" s="7" t="s">
        <v>88</v>
      </c>
      <c r="D14" s="7" t="str">
        <f>IF(C14="","",VLOOKUP($C$5:$C$169,DBASE!$C$7:$D$201,2,0))</f>
        <v>SIIP JGG 500</v>
      </c>
      <c r="E14" s="8">
        <f t="shared" si="0"/>
        <v>11.666666666666666</v>
      </c>
      <c r="G14" s="8">
        <f>IFERROR(VLOOKUP($C$5:$C$279,'REKAP TERIMA BARANG'!$B$5:$CT$383,97,0),0)</f>
        <v>23</v>
      </c>
      <c r="H14" s="8">
        <f>IFERROR(VLOOKUP($C14,'REKAP PENJUALAN'!$C$9:$E$419,3,0),0)</f>
        <v>11.333333333333334</v>
      </c>
    </row>
    <row r="15" spans="2:8" x14ac:dyDescent="0.25">
      <c r="C15" s="7" t="s">
        <v>89</v>
      </c>
      <c r="D15" s="7" t="str">
        <f>IF(C15="","",VLOOKUP($C$5:$C$169,DBASE!$C$7:$D$201,2,0))</f>
        <v>SIIP COKLAT 500</v>
      </c>
      <c r="E15" s="8">
        <f t="shared" si="0"/>
        <v>15.666666666666668</v>
      </c>
      <c r="G15" s="8">
        <f>IFERROR(VLOOKUP($C$5:$C$279,'REKAP TERIMA BARANG'!$B$5:$CT$383,97,0),0)</f>
        <v>23</v>
      </c>
      <c r="H15" s="8">
        <f>IFERROR(VLOOKUP($C15,'REKAP PENJUALAN'!$C$9:$E$419,3,0),0)</f>
        <v>7.333333333333333</v>
      </c>
    </row>
    <row r="16" spans="2:8" x14ac:dyDescent="0.25">
      <c r="C16" s="7" t="s">
        <v>67</v>
      </c>
      <c r="D16" s="7" t="str">
        <f>IF(C16="","",VLOOKUP($C$5:$C$169,DBASE!$C$7:$D$201,2,0))</f>
        <v>SIIP KEJU 2000</v>
      </c>
      <c r="E16" s="8">
        <f t="shared" si="0"/>
        <v>4</v>
      </c>
      <c r="G16" s="8">
        <f>IFERROR(VLOOKUP($C$5:$C$279,'REKAP TERIMA BARANG'!$B$5:$CT$383,97,0),0)</f>
        <v>15</v>
      </c>
      <c r="H16" s="8">
        <f>IFERROR(VLOOKUP($C16,'REKAP PENJUALAN'!$C$9:$E$419,3,0),0)</f>
        <v>11</v>
      </c>
    </row>
    <row r="17" spans="3:8" x14ac:dyDescent="0.25">
      <c r="C17" s="7" t="s">
        <v>68</v>
      </c>
      <c r="D17" s="7" t="str">
        <f>IF(C17="","",VLOOKUP($C$5:$C$169,DBASE!$C$7:$D$201,2,0))</f>
        <v>SIIP JAGUNG 2000</v>
      </c>
      <c r="E17" s="8">
        <f t="shared" si="0"/>
        <v>8</v>
      </c>
      <c r="G17" s="8">
        <f>IFERROR(VLOOKUP($C$5:$C$279,'REKAP TERIMA BARANG'!$B$5:$CT$383,97,0),0)</f>
        <v>15</v>
      </c>
      <c r="H17" s="8">
        <f>IFERROR(VLOOKUP($C17,'REKAP PENJUALAN'!$C$9:$E$419,3,0),0)</f>
        <v>7</v>
      </c>
    </row>
    <row r="18" spans="3:8" x14ac:dyDescent="0.25">
      <c r="C18" s="7" t="s">
        <v>69</v>
      </c>
      <c r="D18" s="7" t="str">
        <f>IF(C18="","",VLOOKUP($C$5:$C$169,DBASE!$C$7:$D$201,2,0))</f>
        <v>SIIP COKLAT 2000</v>
      </c>
      <c r="E18" s="8">
        <f t="shared" si="0"/>
        <v>0</v>
      </c>
      <c r="G18" s="8">
        <f>IFERROR(VLOOKUP($C$5:$C$279,'REKAP TERIMA BARANG'!$B$5:$CT$383,97,0),0)</f>
        <v>2</v>
      </c>
      <c r="H18" s="8">
        <f>IFERROR(VLOOKUP($C18,'REKAP PENJUALAN'!$C$9:$E$419,3,0),0)</f>
        <v>2</v>
      </c>
    </row>
    <row r="19" spans="3:8" x14ac:dyDescent="0.25">
      <c r="C19" s="7" t="s">
        <v>66</v>
      </c>
      <c r="D19" s="7" t="str">
        <f>IF(C19="","",VLOOKUP($C$5:$C$169,DBASE!$C$7:$D$201,2,0))</f>
        <v>ROLL KEJU 500</v>
      </c>
      <c r="E19" s="8">
        <f t="shared" si="0"/>
        <v>16</v>
      </c>
      <c r="G19" s="8">
        <f>IFERROR(VLOOKUP($C$5:$C$279,'REKAP TERIMA BARANG'!$B$5:$CT$383,97,0),0)</f>
        <v>44</v>
      </c>
      <c r="H19" s="8">
        <f>IFERROR(VLOOKUP($C19,'REKAP PENJUALAN'!$C$9:$E$419,3,0),0)</f>
        <v>28</v>
      </c>
    </row>
    <row r="20" spans="3:8" x14ac:dyDescent="0.25">
      <c r="C20" s="7" t="s">
        <v>70</v>
      </c>
      <c r="D20" s="7" t="str">
        <f>IF(C20="","",VLOOKUP($C$5:$C$169,DBASE!$C$7:$D$201,2,0))</f>
        <v>ROLL KEJU 2000</v>
      </c>
      <c r="E20" s="8">
        <f t="shared" si="0"/>
        <v>13.666666666666668</v>
      </c>
      <c r="G20" s="8">
        <f>IFERROR(VLOOKUP($C$5:$C$279,'REKAP TERIMA BARANG'!$B$5:$CT$383,97,0),0)</f>
        <v>20</v>
      </c>
      <c r="H20" s="8">
        <f>IFERROR(VLOOKUP($C20,'REKAP PENJUALAN'!$C$9:$E$419,3,0),0)</f>
        <v>6.333333333333333</v>
      </c>
    </row>
    <row r="21" spans="3:8" x14ac:dyDescent="0.25">
      <c r="C21" s="7" t="s">
        <v>71</v>
      </c>
      <c r="D21" s="7" t="str">
        <f>IF(C21="","",VLOOKUP($C$5:$C$169,DBASE!$C$7:$D$201,2,0))</f>
        <v>ROLL COKLAT 2000</v>
      </c>
      <c r="E21" s="8">
        <f t="shared" si="0"/>
        <v>17.666666666666668</v>
      </c>
      <c r="G21" s="8">
        <f>IFERROR(VLOOKUP($C$5:$C$279,'REKAP TERIMA BARANG'!$B$5:$CT$383,97,0),0)</f>
        <v>22</v>
      </c>
      <c r="H21" s="8">
        <f>IFERROR(VLOOKUP($C21,'REKAP PENJUALAN'!$C$9:$E$419,3,0),0)</f>
        <v>4.333333333333333</v>
      </c>
    </row>
    <row r="22" spans="3:8" x14ac:dyDescent="0.25">
      <c r="C22" s="7" t="s">
        <v>72</v>
      </c>
      <c r="D22" s="7" t="str">
        <f>IF(C22="","",VLOOKUP($C$5:$C$169,DBASE!$C$7:$D$201,2,0))</f>
        <v>AHH KEJU 500</v>
      </c>
      <c r="E22" s="8">
        <f t="shared" si="0"/>
        <v>15</v>
      </c>
      <c r="G22" s="8">
        <f>IFERROR(VLOOKUP($C$5:$C$279,'REKAP TERIMA BARANG'!$B$5:$CT$383,97,0),0)</f>
        <v>30</v>
      </c>
      <c r="H22" s="8">
        <f>IFERROR(VLOOKUP($C22,'REKAP PENJUALAN'!$C$9:$E$419,3,0),0)</f>
        <v>15</v>
      </c>
    </row>
    <row r="23" spans="3:8" x14ac:dyDescent="0.25">
      <c r="C23" s="7" t="s">
        <v>131</v>
      </c>
      <c r="D23" s="7" t="str">
        <f>IF(C23="","",VLOOKUP($C$5:$C$169,DBASE!$C$7:$D$201,2,0))</f>
        <v>AHH KEJU 2000</v>
      </c>
      <c r="E23" s="8">
        <f t="shared" si="0"/>
        <v>4.666666666666667</v>
      </c>
      <c r="G23" s="8">
        <f>IFERROR(VLOOKUP($C$5:$C$279,'REKAP TERIMA BARANG'!$B$5:$CT$383,97,0),0)</f>
        <v>6</v>
      </c>
      <c r="H23" s="8">
        <f>IFERROR(VLOOKUP($C23,'REKAP PENJUALAN'!$C$9:$E$419,3,0),0)</f>
        <v>1.3333333333333333</v>
      </c>
    </row>
    <row r="24" spans="3:8" x14ac:dyDescent="0.25">
      <c r="C24" s="7" t="s">
        <v>73</v>
      </c>
      <c r="D24" s="7" t="str">
        <f>IF(C24="","",VLOOKUP($C$5:$C$169,DBASE!$C$7:$D$201,2,0))</f>
        <v>SELIMUT KEJU 500</v>
      </c>
      <c r="E24" s="8">
        <f t="shared" si="0"/>
        <v>2.8000000000000007</v>
      </c>
      <c r="G24" s="8">
        <f>IFERROR(VLOOKUP($C$5:$C$279,'REKAP TERIMA BARANG'!$B$5:$CT$383,97,0),0)</f>
        <v>26</v>
      </c>
      <c r="H24" s="8">
        <f>IFERROR(VLOOKUP($C24,'REKAP PENJUALAN'!$C$9:$E$419,3,0),0)</f>
        <v>23.2</v>
      </c>
    </row>
    <row r="25" spans="3:8" x14ac:dyDescent="0.25">
      <c r="C25" s="7" t="s">
        <v>74</v>
      </c>
      <c r="D25" s="7" t="str">
        <f>IF(C25="","",VLOOKUP($C$5:$C$169,DBASE!$C$7:$D$201,2,0))</f>
        <v>SELIMUT COKLAT 500</v>
      </c>
      <c r="E25" s="8">
        <f t="shared" si="0"/>
        <v>0.80000000000000071</v>
      </c>
      <c r="G25" s="8">
        <f>IFERROR(VLOOKUP($C$5:$C$279,'REKAP TERIMA BARANG'!$B$5:$CT$383,97,0),0)</f>
        <v>17</v>
      </c>
      <c r="H25" s="8">
        <f>IFERROR(VLOOKUP($C25,'REKAP PENJUALAN'!$C$9:$E$419,3,0),0)</f>
        <v>16.2</v>
      </c>
    </row>
    <row r="26" spans="3:8" x14ac:dyDescent="0.25">
      <c r="C26" s="7" t="s">
        <v>130</v>
      </c>
      <c r="D26" s="7" t="str">
        <f>IF(C26="","",VLOOKUP($C$5:$C$169,DBASE!$C$7:$D$201,2,0))</f>
        <v>SELIMUT KEJU 2000</v>
      </c>
      <c r="E26" s="8">
        <f t="shared" si="0"/>
        <v>15</v>
      </c>
      <c r="G26" s="8">
        <f>IFERROR(VLOOKUP($C$5:$C$279,'REKAP TERIMA BARANG'!$B$5:$CT$383,97,0),0)</f>
        <v>20</v>
      </c>
      <c r="H26" s="8">
        <f>IFERROR(VLOOKUP($C26,'REKAP PENJUALAN'!$C$9:$E$419,3,0),0)</f>
        <v>5</v>
      </c>
    </row>
    <row r="27" spans="3:8" x14ac:dyDescent="0.25">
      <c r="C27" s="7" t="s">
        <v>40</v>
      </c>
      <c r="D27" s="7" t="str">
        <f>IF(C27="","",VLOOKUP($C$5:$C$169,DBASE!$C$7:$D$201,2,0))</f>
        <v>PASTA</v>
      </c>
      <c r="E27" s="8">
        <f t="shared" si="0"/>
        <v>9</v>
      </c>
      <c r="G27" s="8">
        <f>IFERROR(VLOOKUP($C$5:$C$279,'REKAP TERIMA BARANG'!$B$5:$CT$383,97,0),0)</f>
        <v>15</v>
      </c>
      <c r="H27" s="8">
        <f>IFERROR(VLOOKUP($C27,'REKAP PENJUALAN'!$C$9:$E$419,3,0),0)</f>
        <v>6</v>
      </c>
    </row>
    <row r="28" spans="3:8" x14ac:dyDescent="0.25">
      <c r="C28" s="7" t="s">
        <v>136</v>
      </c>
      <c r="D28" s="7" t="str">
        <f>IF(C28="","",VLOOKUP($C$5:$C$169,DBASE!$C$7:$D$201,2,0))</f>
        <v>NEXTAR 42GR</v>
      </c>
      <c r="E28" s="8">
        <f t="shared" si="0"/>
        <v>5.5</v>
      </c>
      <c r="G28" s="8">
        <f>IFERROR(VLOOKUP($C$5:$C$279,'REKAP TERIMA BARANG'!$B$5:$CT$383,97,0),0)</f>
        <v>6</v>
      </c>
      <c r="H28" s="8">
        <f>IFERROR(VLOOKUP($C28,'REKAP PENJUALAN'!$C$9:$E$419,3,0),0)</f>
        <v>0.5</v>
      </c>
    </row>
    <row r="29" spans="3:8" x14ac:dyDescent="0.25">
      <c r="C29" s="7" t="s">
        <v>137</v>
      </c>
      <c r="D29" s="7" t="str">
        <f>IF(C29="","",VLOOKUP($C$5:$C$169,DBASE!$C$7:$D$201,2,0))</f>
        <v>NEXTAR 112GR</v>
      </c>
      <c r="E29" s="8">
        <f t="shared" si="0"/>
        <v>1</v>
      </c>
      <c r="G29" s="8">
        <f>IFERROR(VLOOKUP($C$5:$C$279,'REKAP TERIMA BARANG'!$B$5:$CT$383,97,0),0)</f>
        <v>1</v>
      </c>
      <c r="H29" s="8">
        <f>IFERROR(VLOOKUP($C29,'REKAP PENJUALAN'!$C$9:$E$419,3,0),0)</f>
        <v>0</v>
      </c>
    </row>
    <row r="30" spans="3:8" x14ac:dyDescent="0.25">
      <c r="C30" s="7"/>
      <c r="D30" s="7" t="str">
        <f>IF(C30="","",VLOOKUP($C$5:$C$169,DBASE!$C$7:$D$201,2,0))</f>
        <v/>
      </c>
      <c r="E30" s="8">
        <f t="shared" si="0"/>
        <v>0</v>
      </c>
      <c r="G30" s="8">
        <f>IFERROR(VLOOKUP($C$5:$C$279,'REKAP TERIMA BARANG'!$B$5:$CT$383,97,0),0)</f>
        <v>0</v>
      </c>
      <c r="H30" s="8">
        <f>IFERROR(VLOOKUP($C30,'REKAP PENJUALAN'!$C$9:$E$419,3,0),0)</f>
        <v>0</v>
      </c>
    </row>
    <row r="31" spans="3:8" x14ac:dyDescent="0.25">
      <c r="C31" s="7" t="s">
        <v>61</v>
      </c>
      <c r="D31" s="7" t="str">
        <f>IF(C31="","",VLOOKUP($C$5:$C$169,DBASE!$C$7:$D$201,2,0))</f>
        <v>MINTZ PEPPERMINT</v>
      </c>
      <c r="E31" s="8">
        <f t="shared" si="0"/>
        <v>40</v>
      </c>
      <c r="G31" s="8">
        <f>IFERROR(VLOOKUP($C$5:$C$279,'REKAP TERIMA BARANG'!$B$5:$CT$383,97,0),0)</f>
        <v>50</v>
      </c>
      <c r="H31" s="8">
        <f>IFERROR(VLOOKUP($C31,'REKAP PENJUALAN'!$C$9:$E$419,3,0),0)</f>
        <v>10</v>
      </c>
    </row>
    <row r="32" spans="3:8" x14ac:dyDescent="0.25">
      <c r="C32" s="7" t="s">
        <v>62</v>
      </c>
      <c r="D32" s="7" t="str">
        <f>IF(C32="","",VLOOKUP($C$5:$C$169,DBASE!$C$7:$D$201,2,0))</f>
        <v>MINTZ DOUBLEMINT</v>
      </c>
      <c r="E32" s="8">
        <f t="shared" si="0"/>
        <v>42</v>
      </c>
      <c r="G32" s="8">
        <f>IFERROR(VLOOKUP($C$5:$C$279,'REKAP TERIMA BARANG'!$B$5:$CT$383,97,0),0)</f>
        <v>50</v>
      </c>
      <c r="H32" s="8">
        <f>IFERROR(VLOOKUP($C32,'REKAP PENJUALAN'!$C$9:$E$419,3,0),0)</f>
        <v>8</v>
      </c>
    </row>
    <row r="33" spans="3:8" x14ac:dyDescent="0.25">
      <c r="C33" s="7" t="s">
        <v>63</v>
      </c>
      <c r="D33" s="7" t="str">
        <f>IF(C33="","",VLOOKUP($C$5:$C$169,DBASE!$C$7:$D$201,2,0))</f>
        <v>BLASTER NEOPOLITAN</v>
      </c>
      <c r="E33" s="8">
        <f t="shared" si="0"/>
        <v>5</v>
      </c>
      <c r="G33" s="8">
        <f>IFERROR(VLOOKUP($C$5:$C$279,'REKAP TERIMA BARANG'!$B$5:$CT$383,97,0),0)</f>
        <v>10</v>
      </c>
      <c r="H33" s="8">
        <f>IFERROR(VLOOKUP($C33,'REKAP PENJUALAN'!$C$9:$E$419,3,0),0)</f>
        <v>5</v>
      </c>
    </row>
    <row r="34" spans="3:8" x14ac:dyDescent="0.25">
      <c r="C34" s="7" t="s">
        <v>64</v>
      </c>
      <c r="D34" s="7" t="str">
        <f>IF(C34="","",VLOOKUP($C$5:$C$169,DBASE!$C$7:$D$201,2,0))</f>
        <v>BLASTER POP FRUITFULL</v>
      </c>
      <c r="E34" s="8">
        <f t="shared" si="0"/>
        <v>19</v>
      </c>
      <c r="G34" s="8">
        <f>IFERROR(VLOOKUP($C$5:$C$279,'REKAP TERIMA BARANG'!$B$5:$CT$383,97,0),0)</f>
        <v>30</v>
      </c>
      <c r="H34" s="8">
        <f>IFERROR(VLOOKUP($C34,'REKAP PENJUALAN'!$C$9:$E$419,3,0),0)</f>
        <v>11</v>
      </c>
    </row>
    <row r="35" spans="3:8" x14ac:dyDescent="0.25">
      <c r="C35" s="7" t="s">
        <v>54</v>
      </c>
      <c r="D35" s="7" t="str">
        <f>IF(C35="","",VLOOKUP($C$5:$C$169,DBASE!$C$7:$D$201,2,0))</f>
        <v>WAFER TANGGO LONG COKLAT 8GR</v>
      </c>
      <c r="E35" s="8">
        <f t="shared" si="0"/>
        <v>2.5</v>
      </c>
      <c r="G35" s="8">
        <f>IFERROR(VLOOKUP($C$5:$C$279,'REKAP TERIMA BARANG'!$B$5:$CT$383,97,0),0)</f>
        <v>10</v>
      </c>
      <c r="H35" s="8">
        <f>IFERROR(VLOOKUP($C35,'REKAP PENJUALAN'!$C$9:$E$419,3,0),0)</f>
        <v>7.5</v>
      </c>
    </row>
    <row r="36" spans="3:8" x14ac:dyDescent="0.25">
      <c r="C36" s="7" t="s">
        <v>55</v>
      </c>
      <c r="D36" s="7" t="str">
        <f>IF(C36="","",VLOOKUP($C$5:$C$169,DBASE!$C$7:$D$201,2,0))</f>
        <v>WAFER TANGGO LONG VANILA 8GR</v>
      </c>
      <c r="E36" s="8">
        <f t="shared" si="0"/>
        <v>2</v>
      </c>
      <c r="G36" s="8">
        <f>IFERROR(VLOOKUP($C$5:$C$279,'REKAP TERIMA BARANG'!$B$5:$CT$383,97,0),0)</f>
        <v>10</v>
      </c>
      <c r="H36" s="8">
        <f>IFERROR(VLOOKUP($C36,'REKAP PENJUALAN'!$C$9:$E$419,3,0),0)</f>
        <v>8</v>
      </c>
    </row>
    <row r="37" spans="3:8" x14ac:dyDescent="0.25">
      <c r="C37" s="7" t="s">
        <v>56</v>
      </c>
      <c r="D37" s="7" t="str">
        <f>IF(C37="","",VLOOKUP($C$5:$C$169,DBASE!$C$7:$D$201,2,0))</f>
        <v>WAFER TANGGO LONG KEJU 8GR</v>
      </c>
      <c r="E37" s="8">
        <f t="shared" si="0"/>
        <v>0.5</v>
      </c>
      <c r="G37" s="8">
        <f>IFERROR(VLOOKUP($C$5:$C$279,'REKAP TERIMA BARANG'!$B$5:$CT$383,97,0),0)</f>
        <v>10</v>
      </c>
      <c r="H37" s="8">
        <f>IFERROR(VLOOKUP($C37,'REKAP PENJUALAN'!$C$9:$E$419,3,0),0)</f>
        <v>9.5</v>
      </c>
    </row>
    <row r="38" spans="3:8" x14ac:dyDescent="0.25">
      <c r="C38" s="7" t="s">
        <v>57</v>
      </c>
      <c r="D38" s="7" t="str">
        <f>IF(C38="","",VLOOKUP($C$5:$C$169,DBASE!$C$7:$D$201,2,0))</f>
        <v>WAFER TANGGO LONG COKLAT 52GR</v>
      </c>
      <c r="E38" s="8">
        <f t="shared" si="0"/>
        <v>12.666666666666668</v>
      </c>
      <c r="G38" s="8">
        <f>IFERROR(VLOOKUP($C$5:$C$279,'REKAP TERIMA BARANG'!$B$5:$CT$383,97,0),0)</f>
        <v>40</v>
      </c>
      <c r="H38" s="8">
        <f>IFERROR(VLOOKUP($C38,'REKAP PENJUALAN'!$C$9:$E$419,3,0),0)</f>
        <v>27.333333333333332</v>
      </c>
    </row>
    <row r="39" spans="3:8" x14ac:dyDescent="0.25">
      <c r="C39" s="7" t="s">
        <v>58</v>
      </c>
      <c r="D39" s="7" t="str">
        <f>IF(C39="","",VLOOKUP($C$5:$C$169,DBASE!$C$7:$D$201,2,0))</f>
        <v>WAFER TANGGO LONG VANILA 52GR</v>
      </c>
      <c r="E39" s="8">
        <f t="shared" si="0"/>
        <v>2.6666666666666679</v>
      </c>
      <c r="G39" s="8">
        <f>IFERROR(VLOOKUP($C$5:$C$279,'REKAP TERIMA BARANG'!$B$5:$CT$383,97,0),0)</f>
        <v>20</v>
      </c>
      <c r="H39" s="8">
        <f>IFERROR(VLOOKUP($C39,'REKAP PENJUALAN'!$C$9:$E$419,3,0),0)</f>
        <v>17.333333333333332</v>
      </c>
    </row>
    <row r="40" spans="3:8" x14ac:dyDescent="0.25">
      <c r="C40" s="7" t="s">
        <v>59</v>
      </c>
      <c r="D40" s="7" t="str">
        <f>IF(C40="","",VLOOKUP($C$5:$C$169,DBASE!$C$7:$D$201,2,0))</f>
        <v>WAFER TANGGO LONG KEJU 52GR</v>
      </c>
      <c r="E40" s="8">
        <f t="shared" si="0"/>
        <v>28.666666666666664</v>
      </c>
      <c r="G40" s="8">
        <f>IFERROR(VLOOKUP($C$5:$C$279,'REKAP TERIMA BARANG'!$B$5:$CT$383,97,0),0)</f>
        <v>40</v>
      </c>
      <c r="H40" s="8">
        <f>IFERROR(VLOOKUP($C40,'REKAP PENJUALAN'!$C$9:$E$419,3,0),0)</f>
        <v>11.333333333333334</v>
      </c>
    </row>
    <row r="41" spans="3:8" x14ac:dyDescent="0.25">
      <c r="C41" s="7" t="s">
        <v>60</v>
      </c>
      <c r="D41" s="7" t="str">
        <f>IF(C41="","",VLOOKUP($C$5:$C$169,DBASE!$C$7:$D$201,2,0))</f>
        <v>WAFFLE CRUNCHOX 8GR</v>
      </c>
      <c r="E41" s="8">
        <f t="shared" si="0"/>
        <v>1</v>
      </c>
      <c r="G41" s="8">
        <f>IFERROR(VLOOKUP($C$5:$C$279,'REKAP TERIMA BARANG'!$B$5:$CT$383,97,0),0)</f>
        <v>5</v>
      </c>
      <c r="H41" s="8">
        <f>IFERROR(VLOOKUP($C41,'REKAP PENJUALAN'!$C$9:$E$419,3,0),0)</f>
        <v>4</v>
      </c>
    </row>
    <row r="42" spans="3:8" x14ac:dyDescent="0.25">
      <c r="C42" s="7"/>
      <c r="D42" s="7" t="str">
        <f>IF(C42="","",VLOOKUP($C$5:$C$169,DBASE!$C$7:$D$201,2,0))</f>
        <v/>
      </c>
      <c r="E42" s="8">
        <f t="shared" si="0"/>
        <v>0</v>
      </c>
      <c r="G42" s="8">
        <f>IFERROR(VLOOKUP($C$5:$C$279,'REKAP TERIMA BARANG'!$B$5:$CT$383,97,0),0)</f>
        <v>0</v>
      </c>
      <c r="H42" s="8">
        <f>IFERROR(VLOOKUP($C42,'REKAP PENJUALAN'!$C$9:$E$419,3,0),0)</f>
        <v>0</v>
      </c>
    </row>
    <row r="43" spans="3:8" x14ac:dyDescent="0.25">
      <c r="C43" s="7" t="s">
        <v>90</v>
      </c>
      <c r="D43" s="7" t="str">
        <f>IF(C43="","",VLOOKUP($C$5:$C$169,DBASE!$C$7:$D$201,2,0))</f>
        <v>INUL JELLY</v>
      </c>
      <c r="E43" s="8">
        <f t="shared" si="0"/>
        <v>3</v>
      </c>
      <c r="G43" s="8">
        <f>IFERROR(VLOOKUP($C$5:$C$279,'REKAP TERIMA BARANG'!$B$5:$CT$383,97,0),0)</f>
        <v>10</v>
      </c>
      <c r="H43" s="8">
        <f>IFERROR(VLOOKUP($C43,'REKAP PENJUALAN'!$C$9:$E$419,3,0),0)</f>
        <v>7</v>
      </c>
    </row>
    <row r="44" spans="3:8" x14ac:dyDescent="0.25">
      <c r="C44" s="7" t="s">
        <v>91</v>
      </c>
      <c r="D44" s="7" t="str">
        <f>IF(C44="","",VLOOKUP($C$5:$C$169,DBASE!$C$7:$D$201,2,0))</f>
        <v>DONALD PUDING CUP</v>
      </c>
      <c r="E44" s="8">
        <f t="shared" si="0"/>
        <v>16</v>
      </c>
      <c r="G44" s="8">
        <f>IFERROR(VLOOKUP($C$5:$C$279,'REKAP TERIMA BARANG'!$B$5:$CT$383,97,0),0)</f>
        <v>31</v>
      </c>
      <c r="H44" s="8">
        <f>IFERROR(VLOOKUP($C44,'REKAP PENJUALAN'!$C$9:$E$419,3,0),0)</f>
        <v>15</v>
      </c>
    </row>
    <row r="45" spans="3:8" x14ac:dyDescent="0.25">
      <c r="C45" s="7" t="s">
        <v>126</v>
      </c>
      <c r="D45" s="7" t="str">
        <f>IF(C45="","",VLOOKUP($C$5:$C$169,DBASE!$C$7:$D$201,2,0))</f>
        <v>DONALD BIG STICK TUPPERWARE</v>
      </c>
      <c r="E45" s="8">
        <f t="shared" si="0"/>
        <v>0</v>
      </c>
      <c r="G45" s="8">
        <f>IFERROR(VLOOKUP($C$5:$C$279,'REKAP TERIMA BARANG'!$B$5:$CT$383,97,0),0)</f>
        <v>10</v>
      </c>
      <c r="H45" s="8">
        <f>IFERROR(VLOOKUP($C45,'REKAP PENJUALAN'!$C$9:$E$419,3,0),0)</f>
        <v>10</v>
      </c>
    </row>
    <row r="46" spans="3:8" x14ac:dyDescent="0.25">
      <c r="C46" s="7" t="s">
        <v>125</v>
      </c>
      <c r="D46" s="7" t="str">
        <f>IF(C46="","",VLOOKUP($C$5:$C$169,DBASE!$C$7:$D$201,2,0))</f>
        <v>DONALD BIG STICK TOPLES</v>
      </c>
      <c r="E46" s="8">
        <f t="shared" si="0"/>
        <v>8</v>
      </c>
      <c r="G46" s="8">
        <f>IFERROR(VLOOKUP($C$5:$C$279,'REKAP TERIMA BARANG'!$B$5:$CT$383,97,0),0)</f>
        <v>20</v>
      </c>
      <c r="H46" s="8">
        <f>IFERROR(VLOOKUP($C46,'REKAP PENJUALAN'!$C$9:$E$419,3,0),0)</f>
        <v>12</v>
      </c>
    </row>
    <row r="47" spans="3:8" x14ac:dyDescent="0.25">
      <c r="C47" s="7" t="s">
        <v>124</v>
      </c>
      <c r="D47" s="7" t="str">
        <f>IF(C47="","",VLOOKUP($C$5:$C$169,DBASE!$C$7:$D$201,2,0))</f>
        <v>DONALD BIG STICK PAK</v>
      </c>
      <c r="E47" s="8">
        <f t="shared" si="0"/>
        <v>3</v>
      </c>
      <c r="G47" s="8">
        <f>IFERROR(VLOOKUP($C$5:$C$279,'REKAP TERIMA BARANG'!$B$5:$CT$383,97,0),0)</f>
        <v>10</v>
      </c>
      <c r="H47" s="8">
        <f>IFERROR(VLOOKUP($C47,'REKAP PENJUALAN'!$C$9:$E$419,3,0),0)</f>
        <v>7</v>
      </c>
    </row>
    <row r="48" spans="3:8" x14ac:dyDescent="0.25">
      <c r="C48" s="7" t="s">
        <v>122</v>
      </c>
      <c r="D48" s="7" t="str">
        <f>IF(C48="","",VLOOKUP($C$5:$C$169,DBASE!$C$7:$D$201,2,0))</f>
        <v>LPK ICE CREAM</v>
      </c>
      <c r="E48" s="8">
        <f t="shared" si="0"/>
        <v>9</v>
      </c>
      <c r="G48" s="8">
        <f>IFERROR(VLOOKUP($C$5:$C$279,'REKAP TERIMA BARANG'!$B$5:$CT$383,97,0),0)</f>
        <v>10</v>
      </c>
      <c r="H48" s="8">
        <f>IFERROR(VLOOKUP($C48,'REKAP PENJUALAN'!$C$9:$E$419,3,0),0)</f>
        <v>1</v>
      </c>
    </row>
    <row r="49" spans="3:8" x14ac:dyDescent="0.25">
      <c r="C49" s="7" t="s">
        <v>123</v>
      </c>
      <c r="D49" s="7" t="str">
        <f>IF(C49="","",VLOOKUP($C$5:$C$169,DBASE!$C$7:$D$201,2,0))</f>
        <v>LPK JELLY BOX DUS</v>
      </c>
      <c r="E49" s="8">
        <f t="shared" si="0"/>
        <v>9</v>
      </c>
      <c r="G49" s="8">
        <f>IFERROR(VLOOKUP($C$5:$C$279,'REKAP TERIMA BARANG'!$B$5:$CT$383,97,0),0)</f>
        <v>10</v>
      </c>
      <c r="H49" s="8">
        <f>IFERROR(VLOOKUP($C49,'REKAP PENJUALAN'!$C$9:$E$419,3,0),0)</f>
        <v>1</v>
      </c>
    </row>
    <row r="50" spans="3:8" x14ac:dyDescent="0.25">
      <c r="C50" s="7" t="s">
        <v>120</v>
      </c>
      <c r="D50" s="7" t="str">
        <f>IF(C50="","",VLOOKUP($C$5:$C$169,DBASE!$C$7:$D$201,2,0))</f>
        <v>NITCHI MEISES</v>
      </c>
      <c r="E50" s="8">
        <f t="shared" si="0"/>
        <v>9</v>
      </c>
      <c r="G50" s="8">
        <f>IFERROR(VLOOKUP($C$5:$C$279,'REKAP TERIMA BARANG'!$B$5:$CT$383,97,0),0)</f>
        <v>10</v>
      </c>
      <c r="H50" s="8">
        <f>IFERROR(VLOOKUP($C50,'REKAP PENJUALAN'!$C$9:$E$419,3,0),0)</f>
        <v>1</v>
      </c>
    </row>
    <row r="51" spans="3:8" x14ac:dyDescent="0.25">
      <c r="C51" s="7" t="s">
        <v>121</v>
      </c>
      <c r="D51" s="7" t="str">
        <f>IF(C51="","",VLOOKUP($C$5:$C$169,DBASE!$C$7:$D$201,2,0))</f>
        <v>WASUKA NITCHI PASTA</v>
      </c>
      <c r="E51" s="8">
        <f t="shared" si="0"/>
        <v>9</v>
      </c>
      <c r="G51" s="8">
        <f>IFERROR(VLOOKUP($C$5:$C$279,'REKAP TERIMA BARANG'!$B$5:$CT$383,97,0),0)</f>
        <v>10</v>
      </c>
      <c r="H51" s="8">
        <f>IFERROR(VLOOKUP($C51,'REKAP PENJUALAN'!$C$9:$E$419,3,0),0)</f>
        <v>1</v>
      </c>
    </row>
    <row r="52" spans="3:8" x14ac:dyDescent="0.25">
      <c r="C52" s="7" t="s">
        <v>101</v>
      </c>
      <c r="D52" s="7" t="str">
        <f>IF(C52="","",VLOOKUP($C$5:$C$169,DBASE!$C$7:$D$201,2,0))</f>
        <v>LAZERY</v>
      </c>
      <c r="E52" s="8">
        <f t="shared" si="0"/>
        <v>2</v>
      </c>
      <c r="G52" s="8">
        <f>IFERROR(VLOOKUP($C$5:$C$279,'REKAP TERIMA BARANG'!$B$5:$CT$383,97,0),0)</f>
        <v>2</v>
      </c>
      <c r="H52" s="8">
        <f>IFERROR(VLOOKUP($C52,'REKAP PENJUALAN'!$C$9:$E$419,3,0),0)</f>
        <v>0</v>
      </c>
    </row>
    <row r="53" spans="3:8" x14ac:dyDescent="0.25">
      <c r="C53" s="7" t="s">
        <v>102</v>
      </c>
      <c r="D53" s="7" t="str">
        <f>IF(C53="","",VLOOKUP($C$5:$C$169,DBASE!$C$7:$D$201,2,0))</f>
        <v>CHIKORY</v>
      </c>
      <c r="E53" s="8">
        <f t="shared" si="0"/>
        <v>2</v>
      </c>
      <c r="G53" s="8">
        <f>IFERROR(VLOOKUP($C$5:$C$279,'REKAP TERIMA BARANG'!$B$5:$CT$383,97,0),0)</f>
        <v>2</v>
      </c>
      <c r="H53" s="8">
        <f>IFERROR(VLOOKUP($C53,'REKAP PENJUALAN'!$C$9:$E$419,3,0),0)</f>
        <v>0</v>
      </c>
    </row>
    <row r="54" spans="3:8" x14ac:dyDescent="0.25">
      <c r="C54" s="7" t="s">
        <v>113</v>
      </c>
      <c r="D54" s="7" t="str">
        <f>IF(C54="","",VLOOKUP($C$5:$C$169,DBASE!$C$7:$D$201,2,0))</f>
        <v>BABALOON</v>
      </c>
      <c r="E54" s="8">
        <f t="shared" si="0"/>
        <v>1</v>
      </c>
      <c r="G54" s="8">
        <f>IFERROR(VLOOKUP($C$5:$C$279,'REKAP TERIMA BARANG'!$B$5:$CT$383,97,0),0)</f>
        <v>2</v>
      </c>
      <c r="H54" s="8">
        <f>IFERROR(VLOOKUP($C54,'REKAP PENJUALAN'!$C$9:$E$419,3,0),0)</f>
        <v>1</v>
      </c>
    </row>
    <row r="55" spans="3:8" x14ac:dyDescent="0.25">
      <c r="C55" s="7" t="s">
        <v>108</v>
      </c>
      <c r="D55" s="7" t="str">
        <f>IF(C55="","",VLOOKUP($C$5:$C$169,DBASE!$C$7:$D$201,2,0))</f>
        <v>MAGNUS</v>
      </c>
      <c r="E55" s="8">
        <f t="shared" si="0"/>
        <v>5</v>
      </c>
      <c r="G55" s="8">
        <f>IFERROR(VLOOKUP($C$5:$C$279,'REKAP TERIMA BARANG'!$B$5:$CT$383,97,0),0)</f>
        <v>10</v>
      </c>
      <c r="H55" s="8">
        <f>IFERROR(VLOOKUP($C55,'REKAP PENJUALAN'!$C$9:$E$419,3,0),0)</f>
        <v>5</v>
      </c>
    </row>
    <row r="56" spans="3:8" x14ac:dyDescent="0.25">
      <c r="C56" s="7" t="s">
        <v>114</v>
      </c>
      <c r="D56" s="7" t="str">
        <f>IF(C56="","",VLOOKUP($C$5:$C$169,DBASE!$C$7:$D$201,2,0))</f>
        <v>KUACI REBO</v>
      </c>
      <c r="E56" s="8">
        <f t="shared" si="0"/>
        <v>40</v>
      </c>
      <c r="G56" s="8">
        <f>IFERROR(VLOOKUP($C$5:$C$279,'REKAP TERIMA BARANG'!$B$5:$CT$383,97,0),0)</f>
        <v>50</v>
      </c>
      <c r="H56" s="8">
        <f>IFERROR(VLOOKUP($C56,'REKAP PENJUALAN'!$C$9:$E$419,3,0),0)</f>
        <v>10</v>
      </c>
    </row>
    <row r="57" spans="3:8" x14ac:dyDescent="0.25">
      <c r="C57" s="7" t="s">
        <v>115</v>
      </c>
      <c r="D57" s="7" t="str">
        <f>IF(C57="","",VLOOKUP($C$5:$C$169,DBASE!$C$7:$D$201,2,0))</f>
        <v>WASUKA CHOKU</v>
      </c>
      <c r="E57" s="8">
        <f t="shared" si="0"/>
        <v>3</v>
      </c>
      <c r="G57" s="8">
        <f>IFERROR(VLOOKUP($C$5:$C$279,'REKAP TERIMA BARANG'!$B$5:$CT$383,97,0),0)</f>
        <v>5</v>
      </c>
      <c r="H57" s="8">
        <f>IFERROR(VLOOKUP($C57,'REKAP PENJUALAN'!$C$9:$E$419,3,0),0)</f>
        <v>2</v>
      </c>
    </row>
    <row r="58" spans="3:8" x14ac:dyDescent="0.25">
      <c r="C58" s="7" t="s">
        <v>116</v>
      </c>
      <c r="D58" s="7" t="str">
        <f>IF(C58="","",VLOOKUP($C$5:$C$169,DBASE!$C$7:$D$201,2,0))</f>
        <v>WAFER JUMBO KITA</v>
      </c>
      <c r="E58" s="8">
        <f t="shared" si="0"/>
        <v>10</v>
      </c>
      <c r="G58" s="8">
        <f>IFERROR(VLOOKUP($C$5:$C$279,'REKAP TERIMA BARANG'!$B$5:$CT$383,97,0),0)</f>
        <v>10</v>
      </c>
      <c r="H58" s="8">
        <f>IFERROR(VLOOKUP($C58,'REKAP PENJUALAN'!$C$9:$E$419,3,0),0)</f>
        <v>0</v>
      </c>
    </row>
    <row r="59" spans="3:8" x14ac:dyDescent="0.25">
      <c r="C59" s="7" t="s">
        <v>117</v>
      </c>
      <c r="D59" s="7" t="str">
        <f>IF(C59="","",VLOOKUP($C$5:$C$169,DBASE!$C$7:$D$201,2,0))</f>
        <v>PANGPANG KOREA</v>
      </c>
      <c r="E59" s="8">
        <f t="shared" si="0"/>
        <v>0</v>
      </c>
      <c r="G59" s="8">
        <f>IFERROR(VLOOKUP($C$5:$C$279,'REKAP TERIMA BARANG'!$B$5:$CT$383,97,0),0)</f>
        <v>10</v>
      </c>
      <c r="H59" s="8">
        <f>IFERROR(VLOOKUP($C59,'REKAP PENJUALAN'!$C$9:$E$419,3,0),0)</f>
        <v>10</v>
      </c>
    </row>
    <row r="60" spans="3:8" x14ac:dyDescent="0.25">
      <c r="C60" s="7" t="s">
        <v>107</v>
      </c>
      <c r="D60" s="7" t="str">
        <f>IF(C60="","",VLOOKUP($C$5:$C$169,DBASE!$C$7:$D$201,2,0))</f>
        <v>NGETOP</v>
      </c>
      <c r="E60" s="8">
        <f t="shared" si="0"/>
        <v>0</v>
      </c>
      <c r="G60" s="8">
        <f>IFERROR(VLOOKUP($C$5:$C$279,'REKAP TERIMA BARANG'!$B$5:$CT$383,97,0),0)</f>
        <v>10</v>
      </c>
      <c r="H60" s="8">
        <f>IFERROR(VLOOKUP($C60,'REKAP PENJUALAN'!$C$9:$E$419,3,0),0)</f>
        <v>10</v>
      </c>
    </row>
    <row r="61" spans="3:8" x14ac:dyDescent="0.25">
      <c r="C61" s="7" t="s">
        <v>109</v>
      </c>
      <c r="D61" s="7" t="str">
        <f>IF(C61="","",VLOOKUP($C$5:$C$169,DBASE!$C$7:$D$201,2,0))</f>
        <v>ASTAGA</v>
      </c>
      <c r="E61" s="8">
        <f t="shared" si="0"/>
        <v>0</v>
      </c>
      <c r="G61" s="8">
        <f>IFERROR(VLOOKUP($C$5:$C$279,'REKAP TERIMA BARANG'!$B$5:$CT$383,97,0),0)</f>
        <v>10</v>
      </c>
      <c r="H61" s="8">
        <f>IFERROR(VLOOKUP($C61,'REKAP PENJUALAN'!$C$9:$E$419,3,0),0)</f>
        <v>10</v>
      </c>
    </row>
    <row r="62" spans="3:8" x14ac:dyDescent="0.25">
      <c r="C62" s="7" t="s">
        <v>118</v>
      </c>
      <c r="D62" s="7" t="str">
        <f>IF(C62="","",VLOOKUP($C$5:$C$169,DBASE!$C$7:$D$201,2,0))</f>
        <v>NORISOBA</v>
      </c>
      <c r="E62" s="8">
        <f t="shared" si="0"/>
        <v>18</v>
      </c>
      <c r="G62" s="8">
        <f>IFERROR(VLOOKUP($C$5:$C$279,'REKAP TERIMA BARANG'!$B$5:$CT$383,97,0),0)</f>
        <v>30</v>
      </c>
      <c r="H62" s="8">
        <f>IFERROR(VLOOKUP($C62,'REKAP PENJUALAN'!$C$9:$E$419,3,0),0)</f>
        <v>12</v>
      </c>
    </row>
    <row r="63" spans="3:8" x14ac:dyDescent="0.25">
      <c r="C63" s="7" t="s">
        <v>119</v>
      </c>
      <c r="D63" s="7" t="str">
        <f>IF(C63="","",VLOOKUP($C$5:$C$169,DBASE!$C$7:$D$201,2,0))</f>
        <v>YAKISOBA</v>
      </c>
      <c r="E63" s="8">
        <f t="shared" si="0"/>
        <v>20</v>
      </c>
      <c r="G63" s="8">
        <f>IFERROR(VLOOKUP($C$5:$C$279,'REKAP TERIMA BARANG'!$B$5:$CT$383,97,0),0)</f>
        <v>30</v>
      </c>
      <c r="H63" s="8">
        <f>IFERROR(VLOOKUP($C63,'REKAP PENJUALAN'!$C$9:$E$419,3,0),0)</f>
        <v>10</v>
      </c>
    </row>
    <row r="64" spans="3:8" x14ac:dyDescent="0.25">
      <c r="C64" s="7" t="s">
        <v>112</v>
      </c>
      <c r="D64" s="7" t="str">
        <f>IF(C64="","",VLOOKUP($C$5:$C$169,DBASE!$C$7:$D$201,2,0))</f>
        <v>ASYIK</v>
      </c>
      <c r="E64" s="8">
        <f t="shared" si="0"/>
        <v>1</v>
      </c>
      <c r="G64" s="8">
        <f>IFERROR(VLOOKUP($C$5:$C$279,'REKAP TERIMA BARANG'!$B$5:$CT$383,97,0),0)</f>
        <v>10</v>
      </c>
      <c r="H64" s="8">
        <f>IFERROR(VLOOKUP($C64,'REKAP PENJUALAN'!$C$9:$E$419,3,0),0)</f>
        <v>9</v>
      </c>
    </row>
    <row r="65" spans="3:8" x14ac:dyDescent="0.25">
      <c r="C65" s="7"/>
      <c r="D65" s="7" t="str">
        <f>IF(C65="","",VLOOKUP($C$5:$C$169,DBASE!$C$7:$D$201,2,0))</f>
        <v/>
      </c>
      <c r="E65" s="8">
        <f t="shared" ref="E65:E68" si="1">G65-H65</f>
        <v>0</v>
      </c>
      <c r="G65" s="8">
        <f>IFERROR(VLOOKUP($C$5:$C$279,'REKAP TERIMA BARANG'!$B$5:$CT$383,97,0),0)</f>
        <v>0</v>
      </c>
      <c r="H65" s="8">
        <f>IFERROR(VLOOKUP($C65,'REKAP PENJUALAN'!$C$9:$E$419,3,0),0)</f>
        <v>0</v>
      </c>
    </row>
    <row r="66" spans="3:8" x14ac:dyDescent="0.25">
      <c r="C66" s="7" t="s">
        <v>140</v>
      </c>
      <c r="D66" s="7" t="str">
        <f>IF(C66="","",VLOOKUP($C$5:$C$169,DBASE!$C$7:$D$201,2,0))</f>
        <v>TORA BIKA DUO</v>
      </c>
      <c r="E66" s="8">
        <f t="shared" si="1"/>
        <v>10</v>
      </c>
      <c r="G66" s="8">
        <f>IFERROR(VLOOKUP($C$5:$C$279,'REKAP TERIMA BARANG'!$B$5:$CT$383,97,0),0)</f>
        <v>10</v>
      </c>
      <c r="H66" s="8">
        <f>IFERROR(VLOOKUP($C66,'REKAP PENJUALAN'!$C$9:$E$419,3,0),0)</f>
        <v>0</v>
      </c>
    </row>
    <row r="67" spans="3:8" x14ac:dyDescent="0.25">
      <c r="C67" s="7" t="s">
        <v>141</v>
      </c>
      <c r="D67" s="7" t="str">
        <f>IF(C67="","",VLOOKUP($C$5:$C$169,DBASE!$C$7:$D$201,2,0))</f>
        <v>TORA BIKA CREAMY</v>
      </c>
      <c r="E67" s="8">
        <f t="shared" si="1"/>
        <v>6</v>
      </c>
      <c r="G67" s="8">
        <f>IFERROR(VLOOKUP($C$5:$C$279,'REKAP TERIMA BARANG'!$B$5:$CT$383,97,0),0)</f>
        <v>6</v>
      </c>
      <c r="H67" s="8">
        <f>IFERROR(VLOOKUP($C67,'REKAP PENJUALAN'!$C$9:$E$419,3,0),0)</f>
        <v>0</v>
      </c>
    </row>
    <row r="68" spans="3:8" x14ac:dyDescent="0.25">
      <c r="C68" s="7" t="s">
        <v>142</v>
      </c>
      <c r="D68" s="7" t="str">
        <f>IF(C68="","",VLOOKUP($C$5:$C$169,DBASE!$C$7:$D$201,2,0))</f>
        <v>TORA BIKA SUSU</v>
      </c>
      <c r="E68" s="8">
        <f t="shared" si="1"/>
        <v>10</v>
      </c>
      <c r="G68" s="8">
        <f>IFERROR(VLOOKUP($C$5:$C$279,'REKAP TERIMA BARANG'!$B$5:$CT$383,97,0),0)</f>
        <v>10</v>
      </c>
      <c r="H68" s="8">
        <f>IFERROR(VLOOKUP($C68,'REKAP PENJUALAN'!$C$9:$E$419,3,0),0)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104"/>
  <sheetViews>
    <sheetView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B9" sqref="AB9"/>
    </sheetView>
  </sheetViews>
  <sheetFormatPr defaultRowHeight="15" x14ac:dyDescent="0.25"/>
  <cols>
    <col min="1" max="1" width="1.85546875" customWidth="1"/>
    <col min="2" max="2" width="21.85546875" bestFit="1" customWidth="1"/>
    <col min="3" max="3" width="33.85546875" bestFit="1" customWidth="1"/>
    <col min="4" max="96" width="14.28515625" customWidth="1"/>
    <col min="98" max="98" width="9.5703125" bestFit="1" customWidth="1"/>
    <col min="99" max="99" width="12.28515625" bestFit="1" customWidth="1"/>
    <col min="100" max="100" width="11.5703125" bestFit="1" customWidth="1"/>
    <col min="102" max="102" width="13.5703125" bestFit="1" customWidth="1"/>
  </cols>
  <sheetData>
    <row r="1" spans="2:102" ht="8.25" customHeight="1" x14ac:dyDescent="0.25"/>
    <row r="2" spans="2:102" x14ac:dyDescent="0.25">
      <c r="B2" t="s">
        <v>14</v>
      </c>
    </row>
    <row r="3" spans="2:102" x14ac:dyDescent="0.25">
      <c r="D3" s="2">
        <v>42370</v>
      </c>
      <c r="E3" s="2"/>
      <c r="F3" s="2"/>
      <c r="G3" s="2">
        <v>42371</v>
      </c>
      <c r="H3" s="2"/>
      <c r="I3" s="2"/>
      <c r="J3" s="2">
        <v>42372</v>
      </c>
      <c r="K3" s="2"/>
      <c r="L3" s="2"/>
      <c r="M3" s="2">
        <v>42373</v>
      </c>
      <c r="N3" s="2"/>
      <c r="O3" s="2"/>
      <c r="P3" s="2">
        <v>42374</v>
      </c>
      <c r="Q3" s="2"/>
      <c r="R3" s="2"/>
      <c r="S3" s="2">
        <v>42375</v>
      </c>
      <c r="T3" s="2"/>
      <c r="U3" s="2"/>
      <c r="V3" s="2">
        <v>42376</v>
      </c>
      <c r="W3" s="2"/>
      <c r="X3" s="2"/>
      <c r="Y3" s="2">
        <v>42377</v>
      </c>
      <c r="Z3" s="2"/>
      <c r="AA3" s="2"/>
      <c r="AB3" s="2">
        <v>42378</v>
      </c>
      <c r="AC3" s="2"/>
      <c r="AD3" s="2"/>
      <c r="AE3" s="2">
        <v>42379</v>
      </c>
      <c r="AF3" s="2"/>
      <c r="AG3" s="2"/>
      <c r="AH3" s="2">
        <v>42380</v>
      </c>
      <c r="AI3" s="2"/>
      <c r="AJ3" s="2"/>
      <c r="AK3" s="2">
        <v>42381</v>
      </c>
      <c r="AL3" s="2"/>
      <c r="AM3" s="2"/>
      <c r="AN3" s="2">
        <v>42382</v>
      </c>
      <c r="AO3" s="2"/>
      <c r="AP3" s="2"/>
      <c r="AQ3" s="2">
        <v>42383</v>
      </c>
      <c r="AR3" s="2"/>
      <c r="AS3" s="2"/>
      <c r="AT3" s="2">
        <v>42384</v>
      </c>
      <c r="AU3" s="2"/>
      <c r="AV3" s="2"/>
      <c r="AW3" s="2">
        <v>42385</v>
      </c>
      <c r="AX3" s="2"/>
      <c r="AY3" s="2"/>
      <c r="AZ3" s="2">
        <v>42386</v>
      </c>
      <c r="BA3" s="2"/>
      <c r="BB3" s="2"/>
      <c r="BC3" s="2">
        <v>42387</v>
      </c>
      <c r="BD3" s="2"/>
      <c r="BE3" s="2"/>
      <c r="BF3" s="2">
        <v>42388</v>
      </c>
      <c r="BG3" s="2"/>
      <c r="BH3" s="2"/>
      <c r="BI3" s="2">
        <v>42389</v>
      </c>
      <c r="BJ3" s="2"/>
      <c r="BK3" s="2"/>
      <c r="BL3" s="2">
        <v>42390</v>
      </c>
      <c r="BM3" s="2"/>
      <c r="BN3" s="2"/>
      <c r="BO3" s="2">
        <v>42391</v>
      </c>
      <c r="BP3" s="2"/>
      <c r="BQ3" s="2"/>
      <c r="BR3" s="2">
        <v>42392</v>
      </c>
      <c r="BS3" s="2"/>
      <c r="BT3" s="2"/>
      <c r="BU3" s="2">
        <v>42393</v>
      </c>
      <c r="BV3" s="2"/>
      <c r="BW3" s="2"/>
      <c r="BX3" s="2">
        <v>42394</v>
      </c>
      <c r="BY3" s="2"/>
      <c r="BZ3" s="2"/>
      <c r="CA3" s="2">
        <v>42395</v>
      </c>
      <c r="CB3" s="2"/>
      <c r="CC3" s="2"/>
      <c r="CD3" s="2">
        <v>42396</v>
      </c>
      <c r="CE3" s="2"/>
      <c r="CF3" s="2"/>
      <c r="CG3" s="2">
        <v>42397</v>
      </c>
      <c r="CH3" s="2"/>
      <c r="CI3" s="2"/>
      <c r="CJ3" s="2">
        <v>42398</v>
      </c>
      <c r="CK3" s="2"/>
      <c r="CL3" s="2"/>
      <c r="CM3" s="2">
        <v>42399</v>
      </c>
      <c r="CN3" s="2"/>
      <c r="CO3" s="2"/>
      <c r="CP3" s="2">
        <v>42400</v>
      </c>
      <c r="CQ3" s="2"/>
      <c r="CR3" s="2"/>
      <c r="CT3" s="2" t="s">
        <v>15</v>
      </c>
      <c r="CU3" s="2"/>
      <c r="CV3" s="2"/>
    </row>
    <row r="4" spans="2:102" x14ac:dyDescent="0.25">
      <c r="B4" s="1" t="s">
        <v>1</v>
      </c>
      <c r="C4" s="1" t="s">
        <v>2</v>
      </c>
      <c r="D4" s="1" t="s">
        <v>16</v>
      </c>
      <c r="E4" s="1" t="s">
        <v>17</v>
      </c>
      <c r="F4" s="1" t="s">
        <v>18</v>
      </c>
      <c r="G4" s="1" t="s">
        <v>16</v>
      </c>
      <c r="H4" s="1" t="s">
        <v>17</v>
      </c>
      <c r="I4" s="1" t="s">
        <v>18</v>
      </c>
      <c r="J4" s="1" t="s">
        <v>16</v>
      </c>
      <c r="K4" s="1" t="s">
        <v>17</v>
      </c>
      <c r="L4" s="1" t="s">
        <v>18</v>
      </c>
      <c r="M4" s="1" t="s">
        <v>16</v>
      </c>
      <c r="N4" s="1" t="s">
        <v>17</v>
      </c>
      <c r="O4" s="1" t="s">
        <v>18</v>
      </c>
      <c r="P4" s="1" t="s">
        <v>16</v>
      </c>
      <c r="Q4" s="1" t="s">
        <v>17</v>
      </c>
      <c r="R4" s="1" t="s">
        <v>18</v>
      </c>
      <c r="S4" s="1" t="s">
        <v>16</v>
      </c>
      <c r="T4" s="1" t="s">
        <v>17</v>
      </c>
      <c r="U4" s="1" t="s">
        <v>18</v>
      </c>
      <c r="V4" s="1" t="s">
        <v>16</v>
      </c>
      <c r="W4" s="1" t="s">
        <v>17</v>
      </c>
      <c r="X4" s="1" t="s">
        <v>18</v>
      </c>
      <c r="Y4" s="1" t="s">
        <v>16</v>
      </c>
      <c r="Z4" s="1" t="s">
        <v>17</v>
      </c>
      <c r="AA4" s="1" t="s">
        <v>18</v>
      </c>
      <c r="AB4" s="1" t="s">
        <v>16</v>
      </c>
      <c r="AC4" s="1" t="s">
        <v>17</v>
      </c>
      <c r="AD4" s="1" t="s">
        <v>18</v>
      </c>
      <c r="AE4" s="1" t="s">
        <v>16</v>
      </c>
      <c r="AF4" s="1" t="s">
        <v>17</v>
      </c>
      <c r="AG4" s="1" t="s">
        <v>18</v>
      </c>
      <c r="AH4" s="1" t="s">
        <v>16</v>
      </c>
      <c r="AI4" s="1" t="s">
        <v>17</v>
      </c>
      <c r="AJ4" s="1" t="s">
        <v>18</v>
      </c>
      <c r="AK4" s="1" t="s">
        <v>16</v>
      </c>
      <c r="AL4" s="1" t="s">
        <v>17</v>
      </c>
      <c r="AM4" s="1" t="s">
        <v>18</v>
      </c>
      <c r="AN4" s="1" t="s">
        <v>16</v>
      </c>
      <c r="AO4" s="1" t="s">
        <v>17</v>
      </c>
      <c r="AP4" s="1" t="s">
        <v>18</v>
      </c>
      <c r="AQ4" s="1" t="s">
        <v>16</v>
      </c>
      <c r="AR4" s="1" t="s">
        <v>17</v>
      </c>
      <c r="AS4" s="1" t="s">
        <v>18</v>
      </c>
      <c r="AT4" s="1" t="s">
        <v>16</v>
      </c>
      <c r="AU4" s="1" t="s">
        <v>17</v>
      </c>
      <c r="AV4" s="1" t="s">
        <v>18</v>
      </c>
      <c r="AW4" s="1" t="s">
        <v>16</v>
      </c>
      <c r="AX4" s="1" t="s">
        <v>17</v>
      </c>
      <c r="AY4" s="1" t="s">
        <v>18</v>
      </c>
      <c r="AZ4" s="1" t="s">
        <v>16</v>
      </c>
      <c r="BA4" s="1" t="s">
        <v>17</v>
      </c>
      <c r="BB4" s="1" t="s">
        <v>18</v>
      </c>
      <c r="BC4" s="1" t="s">
        <v>16</v>
      </c>
      <c r="BD4" s="1" t="s">
        <v>17</v>
      </c>
      <c r="BE4" s="1" t="s">
        <v>18</v>
      </c>
      <c r="BF4" s="1" t="s">
        <v>16</v>
      </c>
      <c r="BG4" s="1" t="s">
        <v>17</v>
      </c>
      <c r="BH4" s="1" t="s">
        <v>18</v>
      </c>
      <c r="BI4" s="1" t="s">
        <v>16</v>
      </c>
      <c r="BJ4" s="1" t="s">
        <v>17</v>
      </c>
      <c r="BK4" s="1" t="s">
        <v>18</v>
      </c>
      <c r="BL4" s="1" t="s">
        <v>16</v>
      </c>
      <c r="BM4" s="1" t="s">
        <v>17</v>
      </c>
      <c r="BN4" s="1" t="s">
        <v>18</v>
      </c>
      <c r="BO4" s="1" t="s">
        <v>16</v>
      </c>
      <c r="BP4" s="1" t="s">
        <v>17</v>
      </c>
      <c r="BQ4" s="1" t="s">
        <v>18</v>
      </c>
      <c r="BR4" s="1" t="s">
        <v>16</v>
      </c>
      <c r="BS4" s="1" t="s">
        <v>17</v>
      </c>
      <c r="BT4" s="1" t="s">
        <v>18</v>
      </c>
      <c r="BU4" s="1" t="s">
        <v>16</v>
      </c>
      <c r="BV4" s="1" t="s">
        <v>17</v>
      </c>
      <c r="BW4" s="1" t="s">
        <v>18</v>
      </c>
      <c r="BX4" s="1" t="s">
        <v>16</v>
      </c>
      <c r="BY4" s="1" t="s">
        <v>17</v>
      </c>
      <c r="BZ4" s="1" t="s">
        <v>18</v>
      </c>
      <c r="CA4" s="1" t="s">
        <v>16</v>
      </c>
      <c r="CB4" s="1" t="s">
        <v>17</v>
      </c>
      <c r="CC4" s="1" t="s">
        <v>18</v>
      </c>
      <c r="CD4" s="1" t="s">
        <v>16</v>
      </c>
      <c r="CE4" s="1" t="s">
        <v>17</v>
      </c>
      <c r="CF4" s="1" t="s">
        <v>18</v>
      </c>
      <c r="CG4" s="1" t="s">
        <v>16</v>
      </c>
      <c r="CH4" s="1" t="s">
        <v>17</v>
      </c>
      <c r="CI4" s="1" t="s">
        <v>18</v>
      </c>
      <c r="CJ4" s="1" t="s">
        <v>16</v>
      </c>
      <c r="CK4" s="1" t="s">
        <v>17</v>
      </c>
      <c r="CL4" s="1" t="s">
        <v>18</v>
      </c>
      <c r="CM4" s="1" t="s">
        <v>16</v>
      </c>
      <c r="CN4" s="1" t="s">
        <v>17</v>
      </c>
      <c r="CO4" s="1" t="s">
        <v>18</v>
      </c>
      <c r="CP4" s="1" t="s">
        <v>16</v>
      </c>
      <c r="CQ4" s="1" t="s">
        <v>17</v>
      </c>
      <c r="CR4" s="1" t="s">
        <v>18</v>
      </c>
      <c r="CT4" s="1" t="s">
        <v>16</v>
      </c>
      <c r="CU4" s="1" t="s">
        <v>17</v>
      </c>
      <c r="CV4" s="1" t="s">
        <v>18</v>
      </c>
    </row>
    <row r="5" spans="2:102" x14ac:dyDescent="0.25">
      <c r="B5" s="7" t="s">
        <v>9</v>
      </c>
      <c r="C5" s="7" t="str">
        <f>VLOOKUP($B5,DBASE!$C$7:$D$403,2,0)</f>
        <v>NABATI WAFER KEJU 8GR</v>
      </c>
      <c r="D5" s="8">
        <f>IFERROR(VLOOKUP($B$5:$B$199,'[2]1'!$B$5:$D$200,3,0),"")</f>
        <v>13</v>
      </c>
      <c r="E5" s="8">
        <f>IFERROR(VLOOKUP($B$5:$B$199,'[2]1'!$B$5:$G$200,6,0),"")</f>
        <v>74441.150174294118</v>
      </c>
      <c r="F5" s="8">
        <f>IFERROR(E5*D5,"")</f>
        <v>967734.95226582349</v>
      </c>
      <c r="G5" s="8" t="str">
        <f>IFERROR(VLOOKUP($B$5:$B$199,'[2]2'!$B$5:$D$200,3,0),"")</f>
        <v/>
      </c>
      <c r="H5" s="8" t="str">
        <f>IFERROR(VLOOKUP($B$5:$B$199,'[2]2'!$B$5:$G$200,6,0),"")</f>
        <v/>
      </c>
      <c r="I5" s="8" t="str">
        <f>IFERROR(H5*G5,"")</f>
        <v/>
      </c>
      <c r="J5" s="8" t="str">
        <f>IFERROR(VLOOKUP($B$5:$B$199,'[2]3'!$B$5:$D$200,3,0),"")</f>
        <v/>
      </c>
      <c r="K5" s="8" t="str">
        <f>IFERROR(VLOOKUP($B$5:$B$199,'[2]3'!$B$5:$G$200,6,0),"")</f>
        <v/>
      </c>
      <c r="L5" s="8" t="str">
        <f>IFERROR(K5*J5,"")</f>
        <v/>
      </c>
      <c r="M5" s="8">
        <f>IFERROR(VLOOKUP($B$5:$B$199,'[2]4'!$B$5:$D$200,3,0),"")</f>
        <v>45</v>
      </c>
      <c r="N5" s="8">
        <f>IFERROR(VLOOKUP($B$5:$B$199,'[2]4'!$B$5:$G$200,6,0),"")</f>
        <v>75438.174760479043</v>
      </c>
      <c r="O5" s="8">
        <f>IFERROR(N5*M5,"")</f>
        <v>3394717.864221557</v>
      </c>
      <c r="P5" s="8" t="str">
        <f>IFERROR(VLOOKUP($B$5:$B$199,'[2]5'!$B$5:$D$200,3,0),"")</f>
        <v/>
      </c>
      <c r="Q5" s="8" t="str">
        <f>IFERROR(VLOOKUP($B$5:$B$199,'[2]5'!$B$5:$G$200,6,0),"")</f>
        <v/>
      </c>
      <c r="R5" s="8" t="str">
        <f>IFERROR(Q5*P5,"")</f>
        <v/>
      </c>
      <c r="S5" s="8">
        <f>IFERROR(VLOOKUP($B$5:$B$199,'[2]6'!$B$5:$D$200,3,0),"")</f>
        <v>10</v>
      </c>
      <c r="T5" s="8">
        <f>IFERROR(VLOOKUP($B$5:$B$199,'[2]6'!$B$5:$G$200,6,0),"")</f>
        <v>75148.44988571429</v>
      </c>
      <c r="U5" s="8">
        <f>IFERROR(T5*S5,"")</f>
        <v>751484.49885714287</v>
      </c>
      <c r="V5" s="8">
        <f>IFERROR(VLOOKUP($B$5:$B$199,'[2]7'!$B$5:$D$200,3,0),"")</f>
        <v>1</v>
      </c>
      <c r="W5" s="8">
        <f>IFERROR(VLOOKUP($B$5:$B$199,'[2]7'!$B$5:$G$200,6,0),"")</f>
        <v>74934.734903278688</v>
      </c>
      <c r="X5" s="8">
        <f>IFERROR(W5*V5,"")</f>
        <v>74934.734903278688</v>
      </c>
      <c r="Y5" s="8" t="str">
        <f>IFERROR(VLOOKUP($B$5:$B$199,'[2]8'!$B$5:$D$200,3,0),"")</f>
        <v/>
      </c>
      <c r="Z5" s="8" t="str">
        <f>IFERROR(VLOOKUP($B$5:$B$199,'[2]8'!$B$5:$G$200,6,0),"")</f>
        <v/>
      </c>
      <c r="AA5" s="8" t="str">
        <f>IFERROR(Z5*Y5,"")</f>
        <v/>
      </c>
      <c r="AB5" s="8" t="str">
        <f>IFERROR(VLOOKUP($B$5:$B$199,'[2]9'!$B$5:$D$200,3,0),"")</f>
        <v/>
      </c>
      <c r="AC5" s="8" t="str">
        <f>IFERROR(VLOOKUP($B$5:$B$199,'[2]9'!$B$5:$G$200,6,0),"")</f>
        <v/>
      </c>
      <c r="AD5" s="8" t="str">
        <f>IFERROR(AC5*AB5,"")</f>
        <v/>
      </c>
      <c r="AE5" s="8" t="str">
        <f>IFERROR(VLOOKUP($B$5:$B$199,'[2]10'!$B$5:$D$200,3,0),"")</f>
        <v/>
      </c>
      <c r="AF5" s="8" t="str">
        <f>IFERROR(VLOOKUP($B$5:$B$199,'[2]10'!$B$5:$G$200,6,0),"")</f>
        <v/>
      </c>
      <c r="AG5" s="8" t="str">
        <f>IFERROR(AF5*AE5,"")</f>
        <v/>
      </c>
      <c r="AH5" s="8" t="str">
        <f>IFERROR(VLOOKUP($B$5:$B$199,'[2]11'!$B$5:$D$200,3,0),"")</f>
        <v/>
      </c>
      <c r="AI5" s="8" t="str">
        <f>IFERROR(VLOOKUP($B$5:$B$199,'[2]11'!$B$5:$G$200,6,0),"")</f>
        <v/>
      </c>
      <c r="AJ5" s="8" t="str">
        <f>IFERROR(AI5*AH5,"")</f>
        <v/>
      </c>
      <c r="AK5" s="8" t="str">
        <f>IFERROR(VLOOKUP($B$5:$B$199,'[2]12'!$B$5:$D$200,3,0),"")</f>
        <v/>
      </c>
      <c r="AL5" s="8" t="str">
        <f>IFERROR(VLOOKUP($B$5:$B$199,'[2]12'!$B$5:$G$200,6,0),"")</f>
        <v/>
      </c>
      <c r="AM5" s="8" t="str">
        <f>IFERROR(AL5*AK5,"")</f>
        <v/>
      </c>
      <c r="AN5" s="8" t="str">
        <f>IFERROR(VLOOKUP($B$5:$B$199,'[2]13'!$B$5:$D$200,3,0),"")</f>
        <v/>
      </c>
      <c r="AO5" s="8" t="str">
        <f>IFERROR(VLOOKUP($B$5:$B$199,'[2]13'!$B$5:$G$200,6,0),"")</f>
        <v/>
      </c>
      <c r="AP5" s="8" t="str">
        <f>IFERROR(AO5*AN5,"")</f>
        <v/>
      </c>
      <c r="AQ5" s="8" t="str">
        <f>IFERROR(VLOOKUP($B$5:$B$199,'[2]14'!$B$5:$D$200,3,0),"")</f>
        <v/>
      </c>
      <c r="AR5" s="8" t="str">
        <f>IFERROR(VLOOKUP($B$5:$B$199,'[2]14'!$B$5:$G$200,6,0),"")</f>
        <v/>
      </c>
      <c r="AS5" s="8" t="str">
        <f>IFERROR(AR5*AQ5,"")</f>
        <v/>
      </c>
      <c r="AT5" s="8" t="str">
        <f>IFERROR(VLOOKUP($B$5:$B$199,'[2]15'!$B$5:$D$200,3,0),"")</f>
        <v/>
      </c>
      <c r="AU5" s="8" t="str">
        <f>IFERROR(VLOOKUP($B$5:$B$199,'[2]15'!$B$5:$G$200,6,0),"")</f>
        <v/>
      </c>
      <c r="AV5" s="8" t="str">
        <f>IFERROR(AU5*AT5,"")</f>
        <v/>
      </c>
      <c r="AW5" s="8" t="str">
        <f>IFERROR(VLOOKUP($B$5:$B$199,'[2]16'!$B$5:$D$200,3,0),"")</f>
        <v/>
      </c>
      <c r="AX5" s="8" t="str">
        <f>IFERROR(VLOOKUP($B$5:$B$199,'[2]16'!$B$5:$G$200,6,0),"")</f>
        <v/>
      </c>
      <c r="AY5" s="8" t="str">
        <f>IFERROR(AX5*AW5,"")</f>
        <v/>
      </c>
      <c r="AZ5" s="8" t="str">
        <f>IFERROR(VLOOKUP($B$5:$B$199,'[2]17'!$B$5:$D$200,3,0),"")</f>
        <v/>
      </c>
      <c r="BA5" s="8" t="str">
        <f>IFERROR(VLOOKUP($B$5:$B$199,'[2]17'!$B$5:$G$200,6,0),"")</f>
        <v/>
      </c>
      <c r="BB5" s="8" t="str">
        <f>IFERROR(BA5*AZ5,"")</f>
        <v/>
      </c>
      <c r="BC5" s="8" t="str">
        <f>IFERROR(VLOOKUP($B$5:$B$199,'[2]18'!$B$5:$D$200,3,0),"")</f>
        <v/>
      </c>
      <c r="BD5" s="8" t="str">
        <f>IFERROR(VLOOKUP($B$5:$B$199,'[2]18'!$B$5:$G$200,6,0),"")</f>
        <v/>
      </c>
      <c r="BE5" s="8" t="str">
        <f>IFERROR(BD5*BC5,"")</f>
        <v/>
      </c>
      <c r="BF5" s="8" t="str">
        <f>IFERROR(VLOOKUP($B$5:$B$199,'[2]19'!$B$5:$D$200,3,0),"")</f>
        <v/>
      </c>
      <c r="BG5" s="8" t="str">
        <f>IFERROR(VLOOKUP($B$5:$B$199,'[2]19'!$B$5:$G$200,6,0),"")</f>
        <v/>
      </c>
      <c r="BH5" s="8" t="str">
        <f>IFERROR(BG5*BF5,"")</f>
        <v/>
      </c>
      <c r="BI5" s="8" t="str">
        <f>IFERROR(VLOOKUP($B$5:$B$199,'[2]20'!$B$5:$D$200,3,0),"")</f>
        <v/>
      </c>
      <c r="BJ5" s="8" t="str">
        <f>IFERROR(VLOOKUP($B$5:$B$199,'[2]20'!$B$5:$G$200,6,0),"")</f>
        <v/>
      </c>
      <c r="BK5" s="8" t="str">
        <f>IFERROR(BJ5*BI5,"")</f>
        <v/>
      </c>
      <c r="BL5" s="8" t="str">
        <f>IFERROR(VLOOKUP($B$5:$B$199,'[2]21'!$B$5:$D$200,3,0),"")</f>
        <v/>
      </c>
      <c r="BM5" s="8" t="str">
        <f>IFERROR(VLOOKUP($B$5:$B$199,'[2]21'!$B$5:$G$200,6,0),"")</f>
        <v/>
      </c>
      <c r="BN5" s="8" t="str">
        <f>IFERROR(BM5*BL5,"")</f>
        <v/>
      </c>
      <c r="BO5" s="8" t="str">
        <f>IFERROR(VLOOKUP($B$5:$B$199,'[2]22'!$B$5:$D$200,3,0),"")</f>
        <v/>
      </c>
      <c r="BP5" s="8" t="str">
        <f>IFERROR(VLOOKUP($B$5:$B$199,'[2]22'!$B$5:$G$200,6,0),"")</f>
        <v/>
      </c>
      <c r="BQ5" s="8" t="str">
        <f>IFERROR(BP5*BO5,"")</f>
        <v/>
      </c>
      <c r="BR5" s="8" t="str">
        <f>IFERROR(VLOOKUP($B$5:$B$199,'[2]23'!$B$5:$D$200,3,0),"")</f>
        <v/>
      </c>
      <c r="BS5" s="8" t="str">
        <f>IFERROR(VLOOKUP($B$5:$B$199,'[2]23'!$B$5:$G$200,6,0),"")</f>
        <v/>
      </c>
      <c r="BT5" s="8" t="str">
        <f>IFERROR(BS5*BR5,"")</f>
        <v/>
      </c>
      <c r="BU5" s="8" t="str">
        <f>IFERROR(VLOOKUP($B$5:$B$199,'[2]24'!$B$5:$D$200,3,0),"")</f>
        <v/>
      </c>
      <c r="BV5" s="8" t="str">
        <f>IFERROR(VLOOKUP($B$5:$B$199,'[2]24'!$B$5:$G$200,6,0),"")</f>
        <v/>
      </c>
      <c r="BW5" s="8" t="str">
        <f>IFERROR(BV5*BU5,"")</f>
        <v/>
      </c>
      <c r="BX5" s="8" t="str">
        <f>IFERROR(VLOOKUP($B$5:$B$199,'[2]25'!$B$5:$D$200,3,0),"")</f>
        <v/>
      </c>
      <c r="BY5" s="8" t="str">
        <f>IFERROR(VLOOKUP($B$5:$B$199,'[2]25'!$B$5:$G$200,6,0),"")</f>
        <v/>
      </c>
      <c r="BZ5" s="8" t="str">
        <f>IFERROR(BY5*BX5,"")</f>
        <v/>
      </c>
      <c r="CA5" s="8" t="str">
        <f>IFERROR(VLOOKUP($B$5:$B$199,'[2]26'!$B$5:$D$200,3,0),"")</f>
        <v/>
      </c>
      <c r="CB5" s="8" t="str">
        <f>IFERROR(VLOOKUP($B$5:$B$199,'[2]26'!$B$5:$G$200,6,0),"")</f>
        <v/>
      </c>
      <c r="CC5" s="8" t="str">
        <f>IFERROR(CB5*CA5,"")</f>
        <v/>
      </c>
      <c r="CD5" s="8" t="str">
        <f>IFERROR(VLOOKUP($B$5:$B$199,'[2]27'!$B$5:$D$200,3,0),"")</f>
        <v/>
      </c>
      <c r="CE5" s="8" t="str">
        <f>IFERROR(VLOOKUP($B$5:$B$199,'[2]27'!$B$5:$G$200,6,0),"")</f>
        <v/>
      </c>
      <c r="CF5" s="8" t="str">
        <f>IFERROR(CE5*CD5,"")</f>
        <v/>
      </c>
      <c r="CG5" s="8" t="str">
        <f>IFERROR(VLOOKUP($B$5:$B$199,'[2]28'!$B$5:$D$200,3,0),"")</f>
        <v/>
      </c>
      <c r="CH5" s="8" t="str">
        <f>IFERROR(VLOOKUP($B$5:$B$199,'[2]28'!$B$5:$G$200,6,0),"")</f>
        <v/>
      </c>
      <c r="CI5" s="8" t="str">
        <f>IFERROR(CH5*CG5,"")</f>
        <v/>
      </c>
      <c r="CJ5" s="8" t="str">
        <f>IFERROR(VLOOKUP($B$5:$B$199,'[2]29'!$B$5:$D$200,3,0),"")</f>
        <v/>
      </c>
      <c r="CK5" s="8" t="str">
        <f>IFERROR(VLOOKUP($B$5:$B$199,'[2]29'!$B$5:$G$200,6,0),"")</f>
        <v/>
      </c>
      <c r="CL5" s="8" t="str">
        <f>IFERROR(CK5*CJ5,"")</f>
        <v/>
      </c>
      <c r="CM5" s="8" t="str">
        <f>IFERROR(VLOOKUP($B$5:$B$199,'[2]30'!$B$5:$D$200,3,0),"")</f>
        <v/>
      </c>
      <c r="CN5" s="8" t="str">
        <f>IFERROR(VLOOKUP($B$5:$B$199,'[2]30'!$B$5:$G$200,6,0),"")</f>
        <v/>
      </c>
      <c r="CO5" s="8" t="str">
        <f>IFERROR(CN5*CM5,"")</f>
        <v/>
      </c>
      <c r="CP5" s="8" t="str">
        <f>IFERROR(VLOOKUP($B$5:$B$199,'[2]31'!$B$5:$D$200,3,0),"")</f>
        <v/>
      </c>
      <c r="CQ5" s="8" t="str">
        <f>IFERROR(VLOOKUP($B$5:$B$199,'[2]31'!$B$5:$G$200,6,0),"")</f>
        <v/>
      </c>
      <c r="CR5" s="8" t="str">
        <f>IFERROR(CQ5*CP5,"")</f>
        <v/>
      </c>
      <c r="CT5" s="3">
        <f>IFERROR(SUMIF($D$4:$CR$4,CT$4,$D5:$CR5),"")</f>
        <v>69</v>
      </c>
      <c r="CU5" s="3">
        <f>IFERROR(SUMIF($D$4:$CR$4,CU$4,$D5:$CR5)/CX5,"")</f>
        <v>74990.627430941531</v>
      </c>
      <c r="CV5" s="3">
        <f>IFERROR(CT5*CU5,"")</f>
        <v>5174353.2927349657</v>
      </c>
      <c r="CX5">
        <f>COUNT(E5,H5,K5,N5,Q5,T5,W5,Z5,AC5,AF5,AI5,AL5,AO5,AR5,AU5,AX5,BA5,BD5,BG5,BJ5,BM5,BP5,BS5,BV5,BY5,CB5,CE5,CH5,CK5,CN5,CQ5)</f>
        <v>4</v>
      </c>
    </row>
    <row r="6" spans="2:102" x14ac:dyDescent="0.25">
      <c r="B6" s="7" t="s">
        <v>10</v>
      </c>
      <c r="C6" s="7" t="str">
        <f>VLOOKUP($B6,DBASE!$C$7:$D$403,2,0)</f>
        <v>NABATI WAFER COKLAT 8GR</v>
      </c>
      <c r="D6" s="8">
        <f>IFERROR(VLOOKUP($B$5:$B$199,'[2]1'!$B$5:$D$200,3,0),"")</f>
        <v>5</v>
      </c>
      <c r="E6" s="8">
        <f>IFERROR(VLOOKUP($B$5:$B$199,'[2]1'!$B$5:$G$200,6,0),"")</f>
        <v>74441.150174294118</v>
      </c>
      <c r="F6" s="8">
        <f t="shared" ref="F6:F62" si="0">IFERROR(E6*D6,"")</f>
        <v>372205.75087147061</v>
      </c>
      <c r="G6" s="8" t="str">
        <f>IFERROR(VLOOKUP($B$5:$B$199,'[2]2'!$B$5:$D$200,3,0),"")</f>
        <v/>
      </c>
      <c r="H6" s="8" t="str">
        <f>IFERROR(VLOOKUP($B$5:$B$199,'[2]2'!$B$5:$G$200,6,0),"")</f>
        <v/>
      </c>
      <c r="I6" s="8" t="str">
        <f t="shared" ref="I6:I62" si="1">IFERROR(H6*G6,"")</f>
        <v/>
      </c>
      <c r="J6" s="8" t="str">
        <f>IFERROR(VLOOKUP($B$5:$B$199,'[2]3'!$B$5:$D$200,3,0),"")</f>
        <v/>
      </c>
      <c r="K6" s="8" t="str">
        <f>IFERROR(VLOOKUP($B$5:$B$199,'[2]3'!$B$5:$G$200,6,0),"")</f>
        <v/>
      </c>
      <c r="L6" s="8" t="str">
        <f t="shared" ref="L6:L62" si="2">IFERROR(K6*J6,"")</f>
        <v/>
      </c>
      <c r="M6" s="8" t="str">
        <f>IFERROR(VLOOKUP($B$5:$B$199,'[2]4'!$B$5:$D$200,3,0),"")</f>
        <v/>
      </c>
      <c r="N6" s="8" t="str">
        <f>IFERROR(VLOOKUP($B$5:$B$199,'[2]4'!$B$5:$G$200,6,0),"")</f>
        <v/>
      </c>
      <c r="O6" s="8" t="str">
        <f t="shared" ref="O6:O62" si="3">IFERROR(N6*M6,"")</f>
        <v/>
      </c>
      <c r="P6" s="8" t="str">
        <f>IFERROR(VLOOKUP($B$5:$B$199,'[2]5'!$B$5:$D$200,3,0),"")</f>
        <v/>
      </c>
      <c r="Q6" s="8" t="str">
        <f>IFERROR(VLOOKUP($B$5:$B$199,'[2]5'!$B$5:$G$200,6,0),"")</f>
        <v/>
      </c>
      <c r="R6" s="8" t="str">
        <f t="shared" ref="R6:R62" si="4">IFERROR(Q6*P6,"")</f>
        <v/>
      </c>
      <c r="S6" s="8">
        <f>IFERROR(VLOOKUP($B$5:$B$199,'[2]6'!$B$5:$D$200,3,0),"")</f>
        <v>30</v>
      </c>
      <c r="T6" s="8">
        <f>IFERROR(VLOOKUP($B$5:$B$199,'[2]6'!$B$5:$G$200,6,0),"")</f>
        <v>75148.44988571429</v>
      </c>
      <c r="U6" s="8">
        <f t="shared" ref="U6:U62" si="5">IFERROR(T6*S6,"")</f>
        <v>2254453.4965714286</v>
      </c>
      <c r="V6" s="8">
        <f>IFERROR(VLOOKUP($B$5:$B$199,'[2]7'!$B$5:$D$200,3,0),"")</f>
        <v>1</v>
      </c>
      <c r="W6" s="8">
        <f>IFERROR(VLOOKUP($B$5:$B$199,'[2]7'!$B$5:$G$200,6,0),"")</f>
        <v>74934.734903278688</v>
      </c>
      <c r="X6" s="8">
        <f t="shared" ref="X6:X62" si="6">IFERROR(W6*V6,"")</f>
        <v>74934.734903278688</v>
      </c>
      <c r="Y6" s="8" t="str">
        <f>IFERROR(VLOOKUP($B$5:$B$199,'[2]8'!$B$5:$D$200,3,0),"")</f>
        <v/>
      </c>
      <c r="Z6" s="8" t="str">
        <f>IFERROR(VLOOKUP($B$5:$B$199,'[2]8'!$B$5:$G$200,6,0),"")</f>
        <v/>
      </c>
      <c r="AA6" s="8" t="str">
        <f t="shared" ref="AA6:AA62" si="7">IFERROR(Z6*Y6,"")</f>
        <v/>
      </c>
      <c r="AB6" s="8" t="str">
        <f>IFERROR(VLOOKUP($B$5:$B$199,'[2]9'!$B$5:$D$200,3,0),"")</f>
        <v/>
      </c>
      <c r="AC6" s="8" t="str">
        <f>IFERROR(VLOOKUP($B$5:$B$199,'[2]9'!$B$5:$G$200,6,0),"")</f>
        <v/>
      </c>
      <c r="AD6" s="8" t="str">
        <f t="shared" ref="AD6:AD62" si="8">IFERROR(AC6*AB6,"")</f>
        <v/>
      </c>
      <c r="AE6" s="8" t="str">
        <f>IFERROR(VLOOKUP($B$5:$B$199,'[2]10'!$B$5:$D$200,3,0),"")</f>
        <v/>
      </c>
      <c r="AF6" s="8" t="str">
        <f>IFERROR(VLOOKUP($B$5:$B$199,'[2]10'!$B$5:$G$200,6,0),"")</f>
        <v/>
      </c>
      <c r="AG6" s="8" t="str">
        <f t="shared" ref="AG6:AG62" si="9">IFERROR(AF6*AE6,"")</f>
        <v/>
      </c>
      <c r="AH6" s="8" t="str">
        <f>IFERROR(VLOOKUP($B$5:$B$199,'[2]11'!$B$5:$D$200,3,0),"")</f>
        <v/>
      </c>
      <c r="AI6" s="8" t="str">
        <f>IFERROR(VLOOKUP($B$5:$B$199,'[2]11'!$B$5:$G$200,6,0),"")</f>
        <v/>
      </c>
      <c r="AJ6" s="8" t="str">
        <f t="shared" ref="AJ6:AJ62" si="10">IFERROR(AI6*AH6,"")</f>
        <v/>
      </c>
      <c r="AK6" s="8" t="str">
        <f>IFERROR(VLOOKUP($B$5:$B$199,'[2]12'!$B$5:$D$200,3,0),"")</f>
        <v/>
      </c>
      <c r="AL6" s="8" t="str">
        <f>IFERROR(VLOOKUP($B$5:$B$199,'[2]12'!$B$5:$G$200,6,0),"")</f>
        <v/>
      </c>
      <c r="AM6" s="8" t="str">
        <f t="shared" ref="AM6:AM62" si="11">IFERROR(AL6*AK6,"")</f>
        <v/>
      </c>
      <c r="AN6" s="8" t="str">
        <f>IFERROR(VLOOKUP($B$5:$B$199,'[2]13'!$B$5:$D$200,3,0),"")</f>
        <v/>
      </c>
      <c r="AO6" s="8" t="str">
        <f>IFERROR(VLOOKUP($B$5:$B$199,'[2]13'!$B$5:$G$200,6,0),"")</f>
        <v/>
      </c>
      <c r="AP6" s="8" t="str">
        <f t="shared" ref="AP6:AP62" si="12">IFERROR(AO6*AN6,"")</f>
        <v/>
      </c>
      <c r="AQ6" s="8" t="str">
        <f>IFERROR(VLOOKUP($B$5:$B$199,'[2]14'!$B$5:$D$200,3,0),"")</f>
        <v/>
      </c>
      <c r="AR6" s="8" t="str">
        <f>IFERROR(VLOOKUP($B$5:$B$199,'[2]14'!$B$5:$G$200,6,0),"")</f>
        <v/>
      </c>
      <c r="AS6" s="8" t="str">
        <f t="shared" ref="AS6:AS62" si="13">IFERROR(AR6*AQ6,"")</f>
        <v/>
      </c>
      <c r="AT6" s="8" t="str">
        <f>IFERROR(VLOOKUP($B$5:$B$199,'[2]15'!$B$5:$D$200,3,0),"")</f>
        <v/>
      </c>
      <c r="AU6" s="8" t="str">
        <f>IFERROR(VLOOKUP($B$5:$B$199,'[2]15'!$B$5:$G$200,6,0),"")</f>
        <v/>
      </c>
      <c r="AV6" s="8" t="str">
        <f t="shared" ref="AV6:AV62" si="14">IFERROR(AU6*AT6,"")</f>
        <v/>
      </c>
      <c r="AW6" s="8" t="str">
        <f>IFERROR(VLOOKUP($B$5:$B$199,'[2]16'!$B$5:$D$200,3,0),"")</f>
        <v/>
      </c>
      <c r="AX6" s="8" t="str">
        <f>IFERROR(VLOOKUP($B$5:$B$199,'[2]16'!$B$5:$G$200,6,0),"")</f>
        <v/>
      </c>
      <c r="AY6" s="8" t="str">
        <f t="shared" ref="AY6:AY62" si="15">IFERROR(AX6*AW6,"")</f>
        <v/>
      </c>
      <c r="AZ6" s="8" t="str">
        <f>IFERROR(VLOOKUP($B$5:$B$199,'[2]17'!$B$5:$D$200,3,0),"")</f>
        <v/>
      </c>
      <c r="BA6" s="8" t="str">
        <f>IFERROR(VLOOKUP($B$5:$B$199,'[2]17'!$B$5:$G$200,6,0),"")</f>
        <v/>
      </c>
      <c r="BB6" s="8" t="str">
        <f t="shared" ref="BB6:BB62" si="16">IFERROR(BA6*AZ6,"")</f>
        <v/>
      </c>
      <c r="BC6" s="8" t="str">
        <f>IFERROR(VLOOKUP($B$5:$B$199,'[2]18'!$B$5:$D$200,3,0),"")</f>
        <v/>
      </c>
      <c r="BD6" s="8" t="str">
        <f>IFERROR(VLOOKUP($B$5:$B$199,'[2]18'!$B$5:$G$200,6,0),"")</f>
        <v/>
      </c>
      <c r="BE6" s="8" t="str">
        <f t="shared" ref="BE6:BE62" si="17">IFERROR(BD6*BC6,"")</f>
        <v/>
      </c>
      <c r="BF6" s="8" t="str">
        <f>IFERROR(VLOOKUP($B$5:$B$199,'[2]19'!$B$5:$D$200,3,0),"")</f>
        <v/>
      </c>
      <c r="BG6" s="8" t="str">
        <f>IFERROR(VLOOKUP($B$5:$B$199,'[2]19'!$B$5:$G$200,6,0),"")</f>
        <v/>
      </c>
      <c r="BH6" s="8" t="str">
        <f t="shared" ref="BH6:BH62" si="18">IFERROR(BG6*BF6,"")</f>
        <v/>
      </c>
      <c r="BI6" s="8" t="str">
        <f>IFERROR(VLOOKUP($B$5:$B$199,'[2]20'!$B$5:$D$200,3,0),"")</f>
        <v/>
      </c>
      <c r="BJ6" s="8" t="str">
        <f>IFERROR(VLOOKUP($B$5:$B$199,'[2]20'!$B$5:$G$200,6,0),"")</f>
        <v/>
      </c>
      <c r="BK6" s="8" t="str">
        <f t="shared" ref="BK6:BK62" si="19">IFERROR(BJ6*BI6,"")</f>
        <v/>
      </c>
      <c r="BL6" s="8" t="str">
        <f>IFERROR(VLOOKUP($B$5:$B$199,'[2]21'!$B$5:$D$200,3,0),"")</f>
        <v/>
      </c>
      <c r="BM6" s="8" t="str">
        <f>IFERROR(VLOOKUP($B$5:$B$199,'[2]21'!$B$5:$G$200,6,0),"")</f>
        <v/>
      </c>
      <c r="BN6" s="8" t="str">
        <f t="shared" ref="BN6:BN62" si="20">IFERROR(BM6*BL6,"")</f>
        <v/>
      </c>
      <c r="BO6" s="8" t="str">
        <f>IFERROR(VLOOKUP($B$5:$B$199,'[2]22'!$B$5:$D$200,3,0),"")</f>
        <v/>
      </c>
      <c r="BP6" s="8" t="str">
        <f>IFERROR(VLOOKUP($B$5:$B$199,'[2]22'!$B$5:$G$200,6,0),"")</f>
        <v/>
      </c>
      <c r="BQ6" s="8" t="str">
        <f t="shared" ref="BQ6:BQ62" si="21">IFERROR(BP6*BO6,"")</f>
        <v/>
      </c>
      <c r="BR6" s="8" t="str">
        <f>IFERROR(VLOOKUP($B$5:$B$199,'[2]23'!$B$5:$D$200,3,0),"")</f>
        <v/>
      </c>
      <c r="BS6" s="8" t="str">
        <f>IFERROR(VLOOKUP($B$5:$B$199,'[2]23'!$B$5:$G$200,6,0),"")</f>
        <v/>
      </c>
      <c r="BT6" s="8" t="str">
        <f t="shared" ref="BT6:BT62" si="22">IFERROR(BS6*BR6,"")</f>
        <v/>
      </c>
      <c r="BU6" s="8" t="str">
        <f>IFERROR(VLOOKUP($B$5:$B$199,'[2]24'!$B$5:$D$200,3,0),"")</f>
        <v/>
      </c>
      <c r="BV6" s="8" t="str">
        <f>IFERROR(VLOOKUP($B$5:$B$199,'[2]24'!$B$5:$G$200,6,0),"")</f>
        <v/>
      </c>
      <c r="BW6" s="8" t="str">
        <f t="shared" ref="BW6:BW62" si="23">IFERROR(BV6*BU6,"")</f>
        <v/>
      </c>
      <c r="BX6" s="8" t="str">
        <f>IFERROR(VLOOKUP($B$5:$B$199,'[2]25'!$B$5:$D$200,3,0),"")</f>
        <v/>
      </c>
      <c r="BY6" s="8" t="str">
        <f>IFERROR(VLOOKUP($B$5:$B$199,'[2]25'!$B$5:$G$200,6,0),"")</f>
        <v/>
      </c>
      <c r="BZ6" s="8" t="str">
        <f t="shared" ref="BZ6:BZ62" si="24">IFERROR(BY6*BX6,"")</f>
        <v/>
      </c>
      <c r="CA6" s="8" t="str">
        <f>IFERROR(VLOOKUP($B$5:$B$199,'[2]26'!$B$5:$D$200,3,0),"")</f>
        <v/>
      </c>
      <c r="CB6" s="8" t="str">
        <f>IFERROR(VLOOKUP($B$5:$B$199,'[2]26'!$B$5:$G$200,6,0),"")</f>
        <v/>
      </c>
      <c r="CC6" s="8" t="str">
        <f t="shared" ref="CC6:CC62" si="25">IFERROR(CB6*CA6,"")</f>
        <v/>
      </c>
      <c r="CD6" s="8" t="str">
        <f>IFERROR(VLOOKUP($B$5:$B$199,'[2]27'!$B$5:$D$200,3,0),"")</f>
        <v/>
      </c>
      <c r="CE6" s="8" t="str">
        <f>IFERROR(VLOOKUP($B$5:$B$199,'[2]27'!$B$5:$G$200,6,0),"")</f>
        <v/>
      </c>
      <c r="CF6" s="8" t="str">
        <f t="shared" ref="CF6:CF62" si="26">IFERROR(CE6*CD6,"")</f>
        <v/>
      </c>
      <c r="CG6" s="8" t="str">
        <f>IFERROR(VLOOKUP($B$5:$B$199,'[2]28'!$B$5:$D$200,3,0),"")</f>
        <v/>
      </c>
      <c r="CH6" s="8" t="str">
        <f>IFERROR(VLOOKUP($B$5:$B$199,'[2]28'!$B$5:$G$200,6,0),"")</f>
        <v/>
      </c>
      <c r="CI6" s="8" t="str">
        <f t="shared" ref="CI6:CI62" si="27">IFERROR(CH6*CG6,"")</f>
        <v/>
      </c>
      <c r="CJ6" s="8" t="str">
        <f>IFERROR(VLOOKUP($B$5:$B$199,'[2]29'!$B$5:$D$200,3,0),"")</f>
        <v/>
      </c>
      <c r="CK6" s="8" t="str">
        <f>IFERROR(VLOOKUP($B$5:$B$199,'[2]29'!$B$5:$G$200,6,0),"")</f>
        <v/>
      </c>
      <c r="CL6" s="8" t="str">
        <f t="shared" ref="CL6:CL62" si="28">IFERROR(CK6*CJ6,"")</f>
        <v/>
      </c>
      <c r="CM6" s="8" t="str">
        <f>IFERROR(VLOOKUP($B$5:$B$199,'[2]30'!$B$5:$D$200,3,0),"")</f>
        <v/>
      </c>
      <c r="CN6" s="8" t="str">
        <f>IFERROR(VLOOKUP($B$5:$B$199,'[2]30'!$B$5:$G$200,6,0),"")</f>
        <v/>
      </c>
      <c r="CO6" s="8" t="str">
        <f t="shared" ref="CO6:CO62" si="29">IFERROR(CN6*CM6,"")</f>
        <v/>
      </c>
      <c r="CP6" s="8" t="str">
        <f>IFERROR(VLOOKUP($B$5:$B$199,'[2]31'!$B$5:$D$200,3,0),"")</f>
        <v/>
      </c>
      <c r="CQ6" s="8" t="str">
        <f>IFERROR(VLOOKUP($B$5:$B$199,'[2]31'!$B$5:$G$200,6,0),"")</f>
        <v/>
      </c>
      <c r="CR6" s="8" t="str">
        <f t="shared" ref="CR6:CR62" si="30">IFERROR(CQ6*CP6,"")</f>
        <v/>
      </c>
      <c r="CT6" s="3">
        <f t="shared" ref="CT6:CT68" si="31">IFERROR(SUMIF($D$4:$CR$4,CT$4,$D6:$CR6),"")</f>
        <v>36</v>
      </c>
      <c r="CU6" s="3">
        <f t="shared" ref="CU6:CU62" si="32">IFERROR(SUMIF($D$4:$CR$4,CU$4,$D6:$CR6)/CX6,"")</f>
        <v>74841.44498776237</v>
      </c>
      <c r="CV6" s="3">
        <f t="shared" ref="CV6:CV62" si="33">IFERROR(CT6*CU6,"")</f>
        <v>2694292.0195594453</v>
      </c>
      <c r="CX6">
        <f t="shared" ref="CX6:CX62" si="34">COUNT(E6,H6,K6,N6,Q6,T6,W6,Z6,AC6,AF6,AI6,AL6,AO6,AR6,AU6,AX6,BA6,BD6,BG6,BJ6,BM6,BP6,BS6,BV6,BY6,CB6,CE6,CH6,CK6,CN6,CQ6)</f>
        <v>3</v>
      </c>
    </row>
    <row r="7" spans="2:102" x14ac:dyDescent="0.25">
      <c r="B7" s="7" t="s">
        <v>52</v>
      </c>
      <c r="C7" s="7" t="str">
        <f>VLOOKUP($B7,DBASE!$C$7:$D$403,2,0)</f>
        <v>NABATI WAFER KEJU 19GR</v>
      </c>
      <c r="D7" s="8" t="str">
        <f>IFERROR(VLOOKUP($B$5:$B$199,'[2]1'!$B$5:$D$200,3,0),"")</f>
        <v/>
      </c>
      <c r="E7" s="8" t="str">
        <f>IFERROR(VLOOKUP($B$5:$B$199,'[2]1'!$B$5:$G$200,6,0),"")</f>
        <v/>
      </c>
      <c r="F7" s="8" t="str">
        <f t="shared" si="0"/>
        <v/>
      </c>
      <c r="G7" s="8" t="str">
        <f>IFERROR(VLOOKUP($B$5:$B$199,'[2]2'!$B$5:$D$200,3,0),"")</f>
        <v/>
      </c>
      <c r="H7" s="8" t="str">
        <f>IFERROR(VLOOKUP($B$5:$B$199,'[2]2'!$B$5:$G$200,6,0),"")</f>
        <v/>
      </c>
      <c r="I7" s="8" t="str">
        <f t="shared" si="1"/>
        <v/>
      </c>
      <c r="J7" s="8" t="str">
        <f>IFERROR(VLOOKUP($B$5:$B$199,'[2]3'!$B$5:$D$200,3,0),"")</f>
        <v/>
      </c>
      <c r="K7" s="8" t="str">
        <f>IFERROR(VLOOKUP($B$5:$B$199,'[2]3'!$B$5:$G$200,6,0),"")</f>
        <v/>
      </c>
      <c r="L7" s="8" t="str">
        <f t="shared" si="2"/>
        <v/>
      </c>
      <c r="M7" s="8" t="str">
        <f>IFERROR(VLOOKUP($B$5:$B$199,'[2]4'!$B$5:$D$200,3,0),"")</f>
        <v/>
      </c>
      <c r="N7" s="8" t="str">
        <f>IFERROR(VLOOKUP($B$5:$B$199,'[2]4'!$B$5:$G$200,6,0),"")</f>
        <v/>
      </c>
      <c r="O7" s="8" t="str">
        <f t="shared" si="3"/>
        <v/>
      </c>
      <c r="P7" s="8" t="str">
        <f>IFERROR(VLOOKUP($B$5:$B$199,'[2]5'!$B$5:$D$200,3,0),"")</f>
        <v/>
      </c>
      <c r="Q7" s="8" t="str">
        <f>IFERROR(VLOOKUP($B$5:$B$199,'[2]5'!$B$5:$G$200,6,0),"")</f>
        <v/>
      </c>
      <c r="R7" s="8" t="str">
        <f t="shared" si="4"/>
        <v/>
      </c>
      <c r="S7" s="8" t="str">
        <f>IFERROR(VLOOKUP($B$5:$B$199,'[2]6'!$B$5:$D$200,3,0),"")</f>
        <v/>
      </c>
      <c r="T7" s="8" t="str">
        <f>IFERROR(VLOOKUP($B$5:$B$199,'[2]6'!$B$5:$G$200,6,0),"")</f>
        <v/>
      </c>
      <c r="U7" s="8" t="str">
        <f t="shared" si="5"/>
        <v/>
      </c>
      <c r="V7" s="8" t="str">
        <f>IFERROR(VLOOKUP($B$5:$B$199,'[2]7'!$B$5:$D$200,3,0),"")</f>
        <v/>
      </c>
      <c r="W7" s="8" t="str">
        <f>IFERROR(VLOOKUP($B$5:$B$199,'[2]7'!$B$5:$G$200,6,0),"")</f>
        <v/>
      </c>
      <c r="X7" s="8" t="str">
        <f t="shared" si="6"/>
        <v/>
      </c>
      <c r="Y7" s="8" t="str">
        <f>IFERROR(VLOOKUP($B$5:$B$199,'[2]8'!$B$5:$D$200,3,0),"")</f>
        <v/>
      </c>
      <c r="Z7" s="8" t="str">
        <f>IFERROR(VLOOKUP($B$5:$B$199,'[2]8'!$B$5:$G$200,6,0),"")</f>
        <v/>
      </c>
      <c r="AA7" s="8" t="str">
        <f t="shared" si="7"/>
        <v/>
      </c>
      <c r="AB7" s="8" t="str">
        <f>IFERROR(VLOOKUP($B$5:$B$199,'[2]9'!$B$5:$D$200,3,0),"")</f>
        <v/>
      </c>
      <c r="AC7" s="8" t="str">
        <f>IFERROR(VLOOKUP($B$5:$B$199,'[2]9'!$B$5:$G$200,6,0),"")</f>
        <v/>
      </c>
      <c r="AD7" s="8" t="str">
        <f t="shared" si="8"/>
        <v/>
      </c>
      <c r="AE7" s="8" t="str">
        <f>IFERROR(VLOOKUP($B$5:$B$199,'[2]10'!$B$5:$D$200,3,0),"")</f>
        <v/>
      </c>
      <c r="AF7" s="8" t="str">
        <f>IFERROR(VLOOKUP($B$5:$B$199,'[2]10'!$B$5:$G$200,6,0),"")</f>
        <v/>
      </c>
      <c r="AG7" s="8" t="str">
        <f t="shared" si="9"/>
        <v/>
      </c>
      <c r="AH7" s="8" t="str">
        <f>IFERROR(VLOOKUP($B$5:$B$199,'[2]11'!$B$5:$D$200,3,0),"")</f>
        <v/>
      </c>
      <c r="AI7" s="8" t="str">
        <f>IFERROR(VLOOKUP($B$5:$B$199,'[2]11'!$B$5:$G$200,6,0),"")</f>
        <v/>
      </c>
      <c r="AJ7" s="8" t="str">
        <f t="shared" si="10"/>
        <v/>
      </c>
      <c r="AK7" s="8" t="str">
        <f>IFERROR(VLOOKUP($B$5:$B$199,'[2]12'!$B$5:$D$200,3,0),"")</f>
        <v/>
      </c>
      <c r="AL7" s="8" t="str">
        <f>IFERROR(VLOOKUP($B$5:$B$199,'[2]12'!$B$5:$G$200,6,0),"")</f>
        <v/>
      </c>
      <c r="AM7" s="8" t="str">
        <f t="shared" si="11"/>
        <v/>
      </c>
      <c r="AN7" s="8" t="str">
        <f>IFERROR(VLOOKUP($B$5:$B$199,'[2]13'!$B$5:$D$200,3,0),"")</f>
        <v/>
      </c>
      <c r="AO7" s="8" t="str">
        <f>IFERROR(VLOOKUP($B$5:$B$199,'[2]13'!$B$5:$G$200,6,0),"")</f>
        <v/>
      </c>
      <c r="AP7" s="8" t="str">
        <f t="shared" si="12"/>
        <v/>
      </c>
      <c r="AQ7" s="8" t="str">
        <f>IFERROR(VLOOKUP($B$5:$B$199,'[2]14'!$B$5:$D$200,3,0),"")</f>
        <v/>
      </c>
      <c r="AR7" s="8" t="str">
        <f>IFERROR(VLOOKUP($B$5:$B$199,'[2]14'!$B$5:$G$200,6,0),"")</f>
        <v/>
      </c>
      <c r="AS7" s="8" t="str">
        <f t="shared" si="13"/>
        <v/>
      </c>
      <c r="AT7" s="8" t="str">
        <f>IFERROR(VLOOKUP($B$5:$B$199,'[2]15'!$B$5:$D$200,3,0),"")</f>
        <v/>
      </c>
      <c r="AU7" s="8" t="str">
        <f>IFERROR(VLOOKUP($B$5:$B$199,'[2]15'!$B$5:$G$200,6,0),"")</f>
        <v/>
      </c>
      <c r="AV7" s="8" t="str">
        <f t="shared" si="14"/>
        <v/>
      </c>
      <c r="AW7" s="8" t="str">
        <f>IFERROR(VLOOKUP($B$5:$B$199,'[2]16'!$B$5:$D$200,3,0),"")</f>
        <v/>
      </c>
      <c r="AX7" s="8" t="str">
        <f>IFERROR(VLOOKUP($B$5:$B$199,'[2]16'!$B$5:$G$200,6,0),"")</f>
        <v/>
      </c>
      <c r="AY7" s="8" t="str">
        <f t="shared" si="15"/>
        <v/>
      </c>
      <c r="AZ7" s="8" t="str">
        <f>IFERROR(VLOOKUP($B$5:$B$199,'[2]17'!$B$5:$D$200,3,0),"")</f>
        <v/>
      </c>
      <c r="BA7" s="8" t="str">
        <f>IFERROR(VLOOKUP($B$5:$B$199,'[2]17'!$B$5:$G$200,6,0),"")</f>
        <v/>
      </c>
      <c r="BB7" s="8" t="str">
        <f t="shared" si="16"/>
        <v/>
      </c>
      <c r="BC7" s="8" t="str">
        <f>IFERROR(VLOOKUP($B$5:$B$199,'[2]18'!$B$5:$D$200,3,0),"")</f>
        <v/>
      </c>
      <c r="BD7" s="8" t="str">
        <f>IFERROR(VLOOKUP($B$5:$B$199,'[2]18'!$B$5:$G$200,6,0),"")</f>
        <v/>
      </c>
      <c r="BE7" s="8" t="str">
        <f t="shared" si="17"/>
        <v/>
      </c>
      <c r="BF7" s="8" t="str">
        <f>IFERROR(VLOOKUP($B$5:$B$199,'[2]19'!$B$5:$D$200,3,0),"")</f>
        <v/>
      </c>
      <c r="BG7" s="8" t="str">
        <f>IFERROR(VLOOKUP($B$5:$B$199,'[2]19'!$B$5:$G$200,6,0),"")</f>
        <v/>
      </c>
      <c r="BH7" s="8" t="str">
        <f t="shared" si="18"/>
        <v/>
      </c>
      <c r="BI7" s="8" t="str">
        <f>IFERROR(VLOOKUP($B$5:$B$199,'[2]20'!$B$5:$D$200,3,0),"")</f>
        <v/>
      </c>
      <c r="BJ7" s="8" t="str">
        <f>IFERROR(VLOOKUP($B$5:$B$199,'[2]20'!$B$5:$G$200,6,0),"")</f>
        <v/>
      </c>
      <c r="BK7" s="8" t="str">
        <f t="shared" si="19"/>
        <v/>
      </c>
      <c r="BL7" s="8" t="str">
        <f>IFERROR(VLOOKUP($B$5:$B$199,'[2]21'!$B$5:$D$200,3,0),"")</f>
        <v/>
      </c>
      <c r="BM7" s="8" t="str">
        <f>IFERROR(VLOOKUP($B$5:$B$199,'[2]21'!$B$5:$G$200,6,0),"")</f>
        <v/>
      </c>
      <c r="BN7" s="8" t="str">
        <f t="shared" si="20"/>
        <v/>
      </c>
      <c r="BO7" s="8" t="str">
        <f>IFERROR(VLOOKUP($B$5:$B$199,'[2]22'!$B$5:$D$200,3,0),"")</f>
        <v/>
      </c>
      <c r="BP7" s="8" t="str">
        <f>IFERROR(VLOOKUP($B$5:$B$199,'[2]22'!$B$5:$G$200,6,0),"")</f>
        <v/>
      </c>
      <c r="BQ7" s="8" t="str">
        <f t="shared" si="21"/>
        <v/>
      </c>
      <c r="BR7" s="8" t="str">
        <f>IFERROR(VLOOKUP($B$5:$B$199,'[2]23'!$B$5:$D$200,3,0),"")</f>
        <v/>
      </c>
      <c r="BS7" s="8" t="str">
        <f>IFERROR(VLOOKUP($B$5:$B$199,'[2]23'!$B$5:$G$200,6,0),"")</f>
        <v/>
      </c>
      <c r="BT7" s="8" t="str">
        <f t="shared" si="22"/>
        <v/>
      </c>
      <c r="BU7" s="8" t="str">
        <f>IFERROR(VLOOKUP($B$5:$B$199,'[2]24'!$B$5:$D$200,3,0),"")</f>
        <v/>
      </c>
      <c r="BV7" s="8" t="str">
        <f>IFERROR(VLOOKUP($B$5:$B$199,'[2]24'!$B$5:$G$200,6,0),"")</f>
        <v/>
      </c>
      <c r="BW7" s="8" t="str">
        <f t="shared" si="23"/>
        <v/>
      </c>
      <c r="BX7" s="8" t="str">
        <f>IFERROR(VLOOKUP($B$5:$B$199,'[2]25'!$B$5:$D$200,3,0),"")</f>
        <v/>
      </c>
      <c r="BY7" s="8" t="str">
        <f>IFERROR(VLOOKUP($B$5:$B$199,'[2]25'!$B$5:$G$200,6,0),"")</f>
        <v/>
      </c>
      <c r="BZ7" s="8" t="str">
        <f t="shared" si="24"/>
        <v/>
      </c>
      <c r="CA7" s="8" t="str">
        <f>IFERROR(VLOOKUP($B$5:$B$199,'[2]26'!$B$5:$D$200,3,0),"")</f>
        <v/>
      </c>
      <c r="CB7" s="8" t="str">
        <f>IFERROR(VLOOKUP($B$5:$B$199,'[2]26'!$B$5:$G$200,6,0),"")</f>
        <v/>
      </c>
      <c r="CC7" s="8" t="str">
        <f t="shared" si="25"/>
        <v/>
      </c>
      <c r="CD7" s="8" t="str">
        <f>IFERROR(VLOOKUP($B$5:$B$199,'[2]27'!$B$5:$D$200,3,0),"")</f>
        <v/>
      </c>
      <c r="CE7" s="8" t="str">
        <f>IFERROR(VLOOKUP($B$5:$B$199,'[2]27'!$B$5:$G$200,6,0),"")</f>
        <v/>
      </c>
      <c r="CF7" s="8" t="str">
        <f t="shared" si="26"/>
        <v/>
      </c>
      <c r="CG7" s="8" t="str">
        <f>IFERROR(VLOOKUP($B$5:$B$199,'[2]28'!$B$5:$D$200,3,0),"")</f>
        <v/>
      </c>
      <c r="CH7" s="8" t="str">
        <f>IFERROR(VLOOKUP($B$5:$B$199,'[2]28'!$B$5:$G$200,6,0),"")</f>
        <v/>
      </c>
      <c r="CI7" s="8" t="str">
        <f t="shared" si="27"/>
        <v/>
      </c>
      <c r="CJ7" s="8" t="str">
        <f>IFERROR(VLOOKUP($B$5:$B$199,'[2]29'!$B$5:$D$200,3,0),"")</f>
        <v/>
      </c>
      <c r="CK7" s="8" t="str">
        <f>IFERROR(VLOOKUP($B$5:$B$199,'[2]29'!$B$5:$G$200,6,0),"")</f>
        <v/>
      </c>
      <c r="CL7" s="8" t="str">
        <f t="shared" si="28"/>
        <v/>
      </c>
      <c r="CM7" s="8" t="str">
        <f>IFERROR(VLOOKUP($B$5:$B$199,'[2]30'!$B$5:$D$200,3,0),"")</f>
        <v/>
      </c>
      <c r="CN7" s="8" t="str">
        <f>IFERROR(VLOOKUP($B$5:$B$199,'[2]30'!$B$5:$G$200,6,0),"")</f>
        <v/>
      </c>
      <c r="CO7" s="8" t="str">
        <f t="shared" si="29"/>
        <v/>
      </c>
      <c r="CP7" s="8" t="str">
        <f>IFERROR(VLOOKUP($B$5:$B$199,'[2]31'!$B$5:$D$200,3,0),"")</f>
        <v/>
      </c>
      <c r="CQ7" s="8" t="str">
        <f>IFERROR(VLOOKUP($B$5:$B$199,'[2]31'!$B$5:$G$200,6,0),"")</f>
        <v/>
      </c>
      <c r="CR7" s="8" t="str">
        <f t="shared" si="30"/>
        <v/>
      </c>
      <c r="CT7" s="3">
        <f t="shared" si="31"/>
        <v>0</v>
      </c>
      <c r="CU7" s="3" t="str">
        <f t="shared" si="32"/>
        <v/>
      </c>
      <c r="CV7" s="3" t="str">
        <f t="shared" si="33"/>
        <v/>
      </c>
      <c r="CX7">
        <f t="shared" si="34"/>
        <v>0</v>
      </c>
    </row>
    <row r="8" spans="2:102" x14ac:dyDescent="0.25">
      <c r="B8" s="7" t="s">
        <v>53</v>
      </c>
      <c r="C8" s="7" t="str">
        <f>VLOOKUP($B8,DBASE!$C$7:$D$403,2,0)</f>
        <v>NABATI WAFER COKLAT 19GR</v>
      </c>
      <c r="D8" s="8" t="str">
        <f>IFERROR(VLOOKUP($B$5:$B$199,'[2]1'!$B$5:$D$200,3,0),"")</f>
        <v/>
      </c>
      <c r="E8" s="8" t="str">
        <f>IFERROR(VLOOKUP($B$5:$B$199,'[2]1'!$B$5:$G$200,6,0),"")</f>
        <v/>
      </c>
      <c r="F8" s="8" t="str">
        <f t="shared" si="0"/>
        <v/>
      </c>
      <c r="G8" s="8" t="str">
        <f>IFERROR(VLOOKUP($B$5:$B$199,'[2]2'!$B$5:$D$200,3,0),"")</f>
        <v/>
      </c>
      <c r="H8" s="8" t="str">
        <f>IFERROR(VLOOKUP($B$5:$B$199,'[2]2'!$B$5:$G$200,6,0),"")</f>
        <v/>
      </c>
      <c r="I8" s="8" t="str">
        <f t="shared" si="1"/>
        <v/>
      </c>
      <c r="J8" s="8" t="str">
        <f>IFERROR(VLOOKUP($B$5:$B$199,'[2]3'!$B$5:$D$200,3,0),"")</f>
        <v/>
      </c>
      <c r="K8" s="8" t="str">
        <f>IFERROR(VLOOKUP($B$5:$B$199,'[2]3'!$B$5:$G$200,6,0),"")</f>
        <v/>
      </c>
      <c r="L8" s="8" t="str">
        <f t="shared" si="2"/>
        <v/>
      </c>
      <c r="M8" s="8" t="str">
        <f>IFERROR(VLOOKUP($B$5:$B$199,'[2]4'!$B$5:$D$200,3,0),"")</f>
        <v/>
      </c>
      <c r="N8" s="8" t="str">
        <f>IFERROR(VLOOKUP($B$5:$B$199,'[2]4'!$B$5:$G$200,6,0),"")</f>
        <v/>
      </c>
      <c r="O8" s="8" t="str">
        <f t="shared" si="3"/>
        <v/>
      </c>
      <c r="P8" s="8" t="str">
        <f>IFERROR(VLOOKUP($B$5:$B$199,'[2]5'!$B$5:$D$200,3,0),"")</f>
        <v/>
      </c>
      <c r="Q8" s="8" t="str">
        <f>IFERROR(VLOOKUP($B$5:$B$199,'[2]5'!$B$5:$G$200,6,0),"")</f>
        <v/>
      </c>
      <c r="R8" s="8" t="str">
        <f t="shared" si="4"/>
        <v/>
      </c>
      <c r="S8" s="8">
        <f>IFERROR(VLOOKUP($B$5:$B$199,'[2]6'!$B$5:$D$200,3,0),"")</f>
        <v>20</v>
      </c>
      <c r="T8" s="8">
        <f>IFERROR(VLOOKUP($B$5:$B$199,'[2]6'!$B$5:$G$200,6,0),"")</f>
        <v>86348.44988571429</v>
      </c>
      <c r="U8" s="8">
        <f t="shared" si="5"/>
        <v>1726968.9977142857</v>
      </c>
      <c r="V8" s="8" t="str">
        <f>IFERROR(VLOOKUP($B$5:$B$199,'[2]7'!$B$5:$D$200,3,0),"")</f>
        <v/>
      </c>
      <c r="W8" s="8" t="str">
        <f>IFERROR(VLOOKUP($B$5:$B$199,'[2]7'!$B$5:$G$200,6,0),"")</f>
        <v/>
      </c>
      <c r="X8" s="8" t="str">
        <f t="shared" si="6"/>
        <v/>
      </c>
      <c r="Y8" s="8" t="str">
        <f>IFERROR(VLOOKUP($B$5:$B$199,'[2]8'!$B$5:$D$200,3,0),"")</f>
        <v/>
      </c>
      <c r="Z8" s="8" t="str">
        <f>IFERROR(VLOOKUP($B$5:$B$199,'[2]8'!$B$5:$G$200,6,0),"")</f>
        <v/>
      </c>
      <c r="AA8" s="8" t="str">
        <f t="shared" si="7"/>
        <v/>
      </c>
      <c r="AB8" s="8" t="str">
        <f>IFERROR(VLOOKUP($B$5:$B$199,'[2]9'!$B$5:$D$200,3,0),"")</f>
        <v/>
      </c>
      <c r="AC8" s="8" t="str">
        <f>IFERROR(VLOOKUP($B$5:$B$199,'[2]9'!$B$5:$G$200,6,0),"")</f>
        <v/>
      </c>
      <c r="AD8" s="8" t="str">
        <f t="shared" si="8"/>
        <v/>
      </c>
      <c r="AE8" s="8" t="str">
        <f>IFERROR(VLOOKUP($B$5:$B$199,'[2]10'!$B$5:$D$200,3,0),"")</f>
        <v/>
      </c>
      <c r="AF8" s="8" t="str">
        <f>IFERROR(VLOOKUP($B$5:$B$199,'[2]10'!$B$5:$G$200,6,0),"")</f>
        <v/>
      </c>
      <c r="AG8" s="8" t="str">
        <f t="shared" si="9"/>
        <v/>
      </c>
      <c r="AH8" s="8" t="str">
        <f>IFERROR(VLOOKUP($B$5:$B$199,'[2]11'!$B$5:$D$200,3,0),"")</f>
        <v/>
      </c>
      <c r="AI8" s="8" t="str">
        <f>IFERROR(VLOOKUP($B$5:$B$199,'[2]11'!$B$5:$G$200,6,0),"")</f>
        <v/>
      </c>
      <c r="AJ8" s="8" t="str">
        <f t="shared" si="10"/>
        <v/>
      </c>
      <c r="AK8" s="8" t="str">
        <f>IFERROR(VLOOKUP($B$5:$B$199,'[2]12'!$B$5:$D$200,3,0),"")</f>
        <v/>
      </c>
      <c r="AL8" s="8" t="str">
        <f>IFERROR(VLOOKUP($B$5:$B$199,'[2]12'!$B$5:$G$200,6,0),"")</f>
        <v/>
      </c>
      <c r="AM8" s="8" t="str">
        <f t="shared" si="11"/>
        <v/>
      </c>
      <c r="AN8" s="8" t="str">
        <f>IFERROR(VLOOKUP($B$5:$B$199,'[2]13'!$B$5:$D$200,3,0),"")</f>
        <v/>
      </c>
      <c r="AO8" s="8" t="str">
        <f>IFERROR(VLOOKUP($B$5:$B$199,'[2]13'!$B$5:$G$200,6,0),"")</f>
        <v/>
      </c>
      <c r="AP8" s="8" t="str">
        <f t="shared" si="12"/>
        <v/>
      </c>
      <c r="AQ8" s="8" t="str">
        <f>IFERROR(VLOOKUP($B$5:$B$199,'[2]14'!$B$5:$D$200,3,0),"")</f>
        <v/>
      </c>
      <c r="AR8" s="8" t="str">
        <f>IFERROR(VLOOKUP($B$5:$B$199,'[2]14'!$B$5:$G$200,6,0),"")</f>
        <v/>
      </c>
      <c r="AS8" s="8" t="str">
        <f t="shared" si="13"/>
        <v/>
      </c>
      <c r="AT8" s="8" t="str">
        <f>IFERROR(VLOOKUP($B$5:$B$199,'[2]15'!$B$5:$D$200,3,0),"")</f>
        <v/>
      </c>
      <c r="AU8" s="8" t="str">
        <f>IFERROR(VLOOKUP($B$5:$B$199,'[2]15'!$B$5:$G$200,6,0),"")</f>
        <v/>
      </c>
      <c r="AV8" s="8" t="str">
        <f t="shared" si="14"/>
        <v/>
      </c>
      <c r="AW8" s="8" t="str">
        <f>IFERROR(VLOOKUP($B$5:$B$199,'[2]16'!$B$5:$D$200,3,0),"")</f>
        <v/>
      </c>
      <c r="AX8" s="8" t="str">
        <f>IFERROR(VLOOKUP($B$5:$B$199,'[2]16'!$B$5:$G$200,6,0),"")</f>
        <v/>
      </c>
      <c r="AY8" s="8" t="str">
        <f t="shared" si="15"/>
        <v/>
      </c>
      <c r="AZ8" s="8" t="str">
        <f>IFERROR(VLOOKUP($B$5:$B$199,'[2]17'!$B$5:$D$200,3,0),"")</f>
        <v/>
      </c>
      <c r="BA8" s="8" t="str">
        <f>IFERROR(VLOOKUP($B$5:$B$199,'[2]17'!$B$5:$G$200,6,0),"")</f>
        <v/>
      </c>
      <c r="BB8" s="8" t="str">
        <f t="shared" si="16"/>
        <v/>
      </c>
      <c r="BC8" s="8" t="str">
        <f>IFERROR(VLOOKUP($B$5:$B$199,'[2]18'!$B$5:$D$200,3,0),"")</f>
        <v/>
      </c>
      <c r="BD8" s="8" t="str">
        <f>IFERROR(VLOOKUP($B$5:$B$199,'[2]18'!$B$5:$G$200,6,0),"")</f>
        <v/>
      </c>
      <c r="BE8" s="8" t="str">
        <f t="shared" si="17"/>
        <v/>
      </c>
      <c r="BF8" s="8" t="str">
        <f>IFERROR(VLOOKUP($B$5:$B$199,'[2]19'!$B$5:$D$200,3,0),"")</f>
        <v/>
      </c>
      <c r="BG8" s="8" t="str">
        <f>IFERROR(VLOOKUP($B$5:$B$199,'[2]19'!$B$5:$G$200,6,0),"")</f>
        <v/>
      </c>
      <c r="BH8" s="8" t="str">
        <f t="shared" si="18"/>
        <v/>
      </c>
      <c r="BI8" s="8" t="str">
        <f>IFERROR(VLOOKUP($B$5:$B$199,'[2]20'!$B$5:$D$200,3,0),"")</f>
        <v/>
      </c>
      <c r="BJ8" s="8" t="str">
        <f>IFERROR(VLOOKUP($B$5:$B$199,'[2]20'!$B$5:$G$200,6,0),"")</f>
        <v/>
      </c>
      <c r="BK8" s="8" t="str">
        <f t="shared" si="19"/>
        <v/>
      </c>
      <c r="BL8" s="8" t="str">
        <f>IFERROR(VLOOKUP($B$5:$B$199,'[2]21'!$B$5:$D$200,3,0),"")</f>
        <v/>
      </c>
      <c r="BM8" s="8" t="str">
        <f>IFERROR(VLOOKUP($B$5:$B$199,'[2]21'!$B$5:$G$200,6,0),"")</f>
        <v/>
      </c>
      <c r="BN8" s="8" t="str">
        <f t="shared" si="20"/>
        <v/>
      </c>
      <c r="BO8" s="8" t="str">
        <f>IFERROR(VLOOKUP($B$5:$B$199,'[2]22'!$B$5:$D$200,3,0),"")</f>
        <v/>
      </c>
      <c r="BP8" s="8" t="str">
        <f>IFERROR(VLOOKUP($B$5:$B$199,'[2]22'!$B$5:$G$200,6,0),"")</f>
        <v/>
      </c>
      <c r="BQ8" s="8" t="str">
        <f t="shared" si="21"/>
        <v/>
      </c>
      <c r="BR8" s="8" t="str">
        <f>IFERROR(VLOOKUP($B$5:$B$199,'[2]23'!$B$5:$D$200,3,0),"")</f>
        <v/>
      </c>
      <c r="BS8" s="8" t="str">
        <f>IFERROR(VLOOKUP($B$5:$B$199,'[2]23'!$B$5:$G$200,6,0),"")</f>
        <v/>
      </c>
      <c r="BT8" s="8" t="str">
        <f t="shared" si="22"/>
        <v/>
      </c>
      <c r="BU8" s="8" t="str">
        <f>IFERROR(VLOOKUP($B$5:$B$199,'[2]24'!$B$5:$D$200,3,0),"")</f>
        <v/>
      </c>
      <c r="BV8" s="8" t="str">
        <f>IFERROR(VLOOKUP($B$5:$B$199,'[2]24'!$B$5:$G$200,6,0),"")</f>
        <v/>
      </c>
      <c r="BW8" s="8" t="str">
        <f t="shared" si="23"/>
        <v/>
      </c>
      <c r="BX8" s="8" t="str">
        <f>IFERROR(VLOOKUP($B$5:$B$199,'[2]25'!$B$5:$D$200,3,0),"")</f>
        <v/>
      </c>
      <c r="BY8" s="8" t="str">
        <f>IFERROR(VLOOKUP($B$5:$B$199,'[2]25'!$B$5:$G$200,6,0),"")</f>
        <v/>
      </c>
      <c r="BZ8" s="8" t="str">
        <f t="shared" si="24"/>
        <v/>
      </c>
      <c r="CA8" s="8" t="str">
        <f>IFERROR(VLOOKUP($B$5:$B$199,'[2]26'!$B$5:$D$200,3,0),"")</f>
        <v/>
      </c>
      <c r="CB8" s="8" t="str">
        <f>IFERROR(VLOOKUP($B$5:$B$199,'[2]26'!$B$5:$G$200,6,0),"")</f>
        <v/>
      </c>
      <c r="CC8" s="8" t="str">
        <f t="shared" si="25"/>
        <v/>
      </c>
      <c r="CD8" s="8" t="str">
        <f>IFERROR(VLOOKUP($B$5:$B$199,'[2]27'!$B$5:$D$200,3,0),"")</f>
        <v/>
      </c>
      <c r="CE8" s="8" t="str">
        <f>IFERROR(VLOOKUP($B$5:$B$199,'[2]27'!$B$5:$G$200,6,0),"")</f>
        <v/>
      </c>
      <c r="CF8" s="8" t="str">
        <f t="shared" si="26"/>
        <v/>
      </c>
      <c r="CG8" s="8" t="str">
        <f>IFERROR(VLOOKUP($B$5:$B$199,'[2]28'!$B$5:$D$200,3,0),"")</f>
        <v/>
      </c>
      <c r="CH8" s="8" t="str">
        <f>IFERROR(VLOOKUP($B$5:$B$199,'[2]28'!$B$5:$G$200,6,0),"")</f>
        <v/>
      </c>
      <c r="CI8" s="8" t="str">
        <f t="shared" si="27"/>
        <v/>
      </c>
      <c r="CJ8" s="8" t="str">
        <f>IFERROR(VLOOKUP($B$5:$B$199,'[2]29'!$B$5:$D$200,3,0),"")</f>
        <v/>
      </c>
      <c r="CK8" s="8" t="str">
        <f>IFERROR(VLOOKUP($B$5:$B$199,'[2]29'!$B$5:$G$200,6,0),"")</f>
        <v/>
      </c>
      <c r="CL8" s="8" t="str">
        <f t="shared" si="28"/>
        <v/>
      </c>
      <c r="CM8" s="8" t="str">
        <f>IFERROR(VLOOKUP($B$5:$B$199,'[2]30'!$B$5:$D$200,3,0),"")</f>
        <v/>
      </c>
      <c r="CN8" s="8" t="str">
        <f>IFERROR(VLOOKUP($B$5:$B$199,'[2]30'!$B$5:$G$200,6,0),"")</f>
        <v/>
      </c>
      <c r="CO8" s="8" t="str">
        <f t="shared" si="29"/>
        <v/>
      </c>
      <c r="CP8" s="8" t="str">
        <f>IFERROR(VLOOKUP($B$5:$B$199,'[2]31'!$B$5:$D$200,3,0),"")</f>
        <v/>
      </c>
      <c r="CQ8" s="8" t="str">
        <f>IFERROR(VLOOKUP($B$5:$B$199,'[2]31'!$B$5:$G$200,6,0),"")</f>
        <v/>
      </c>
      <c r="CR8" s="8" t="str">
        <f t="shared" si="30"/>
        <v/>
      </c>
      <c r="CT8" s="3">
        <f t="shared" si="31"/>
        <v>20</v>
      </c>
      <c r="CU8" s="3">
        <f t="shared" si="32"/>
        <v>86348.44988571429</v>
      </c>
      <c r="CV8" s="3">
        <f t="shared" si="33"/>
        <v>1726968.9977142857</v>
      </c>
      <c r="CX8">
        <f t="shared" si="34"/>
        <v>1</v>
      </c>
    </row>
    <row r="9" spans="2:102" x14ac:dyDescent="0.25">
      <c r="B9" s="7" t="s">
        <v>11</v>
      </c>
      <c r="C9" s="7" t="str">
        <f>VLOOKUP($B9,DBASE!$C$7:$D$403,2,0)</f>
        <v>NABATI WAFER KEJU 52GR</v>
      </c>
      <c r="D9" s="8">
        <f>IFERROR(VLOOKUP($B$5:$B$199,'[2]1'!$B$5:$D$200,3,0),"")</f>
        <v>22</v>
      </c>
      <c r="E9" s="8">
        <f>IFERROR(VLOOKUP($B$5:$B$199,'[2]1'!$B$5:$G$200,6,0),"")</f>
        <v>89241.150174294118</v>
      </c>
      <c r="F9" s="8">
        <f t="shared" si="0"/>
        <v>1963305.3038344707</v>
      </c>
      <c r="G9" s="8" t="str">
        <f>IFERROR(VLOOKUP($B$5:$B$199,'[2]2'!$B$5:$D$200,3,0),"")</f>
        <v/>
      </c>
      <c r="H9" s="8" t="str">
        <f>IFERROR(VLOOKUP($B$5:$B$199,'[2]2'!$B$5:$G$200,6,0),"")</f>
        <v/>
      </c>
      <c r="I9" s="8" t="str">
        <f t="shared" si="1"/>
        <v/>
      </c>
      <c r="J9" s="8" t="str">
        <f>IFERROR(VLOOKUP($B$5:$B$199,'[2]3'!$B$5:$D$200,3,0),"")</f>
        <v/>
      </c>
      <c r="K9" s="8" t="str">
        <f>IFERROR(VLOOKUP($B$5:$B$199,'[2]3'!$B$5:$G$200,6,0),"")</f>
        <v/>
      </c>
      <c r="L9" s="8" t="str">
        <f t="shared" si="2"/>
        <v/>
      </c>
      <c r="M9" s="8">
        <f>IFERROR(VLOOKUP($B$5:$B$199,'[2]4'!$B$5:$D$200,3,0),"")</f>
        <v>2</v>
      </c>
      <c r="N9" s="8">
        <f>IFERROR(VLOOKUP($B$5:$B$199,'[2]4'!$B$5:$G$200,6,0),"")</f>
        <v>90238.174760479043</v>
      </c>
      <c r="O9" s="8">
        <f t="shared" si="3"/>
        <v>180476.34952095809</v>
      </c>
      <c r="P9" s="8" t="str">
        <f>IFERROR(VLOOKUP($B$5:$B$199,'[2]5'!$B$5:$D$200,3,0),"")</f>
        <v/>
      </c>
      <c r="Q9" s="8" t="str">
        <f>IFERROR(VLOOKUP($B$5:$B$199,'[2]5'!$B$5:$G$200,6,0),"")</f>
        <v/>
      </c>
      <c r="R9" s="8" t="str">
        <f t="shared" si="4"/>
        <v/>
      </c>
      <c r="S9" s="8">
        <f>IFERROR(VLOOKUP($B$5:$B$199,'[2]6'!$B$5:$D$200,3,0),"")</f>
        <v>100</v>
      </c>
      <c r="T9" s="8">
        <f>IFERROR(VLOOKUP($B$5:$B$199,'[2]6'!$B$5:$G$200,6,0),"")</f>
        <v>89948.44988571429</v>
      </c>
      <c r="U9" s="8">
        <f t="shared" si="5"/>
        <v>8994844.9885714296</v>
      </c>
      <c r="V9" s="8">
        <f>IFERROR(VLOOKUP($B$5:$B$199,'[2]7'!$B$5:$D$200,3,0),"")</f>
        <v>25</v>
      </c>
      <c r="W9" s="8">
        <f>IFERROR(VLOOKUP($B$5:$B$199,'[2]7'!$B$5:$G$200,6,0),"")</f>
        <v>89734.734903278688</v>
      </c>
      <c r="X9" s="8">
        <f t="shared" si="6"/>
        <v>2243368.3725819672</v>
      </c>
      <c r="Y9" s="8" t="str">
        <f>IFERROR(VLOOKUP($B$5:$B$199,'[2]8'!$B$5:$D$200,3,0),"")</f>
        <v/>
      </c>
      <c r="Z9" s="8" t="str">
        <f>IFERROR(VLOOKUP($B$5:$B$199,'[2]8'!$B$5:$G$200,6,0),"")</f>
        <v/>
      </c>
      <c r="AA9" s="8" t="str">
        <f t="shared" si="7"/>
        <v/>
      </c>
      <c r="AB9" s="8" t="str">
        <f>IFERROR(VLOOKUP($B$5:$B$199,'[2]9'!$B$5:$D$200,3,0),"")</f>
        <v/>
      </c>
      <c r="AC9" s="8" t="str">
        <f>IFERROR(VLOOKUP($B$5:$B$199,'[2]9'!$B$5:$G$200,6,0),"")</f>
        <v/>
      </c>
      <c r="AD9" s="8" t="str">
        <f t="shared" si="8"/>
        <v/>
      </c>
      <c r="AE9" s="8" t="str">
        <f>IFERROR(VLOOKUP($B$5:$B$199,'[2]10'!$B$5:$D$200,3,0),"")</f>
        <v/>
      </c>
      <c r="AF9" s="8" t="str">
        <f>IFERROR(VLOOKUP($B$5:$B$199,'[2]10'!$B$5:$G$200,6,0),"")</f>
        <v/>
      </c>
      <c r="AG9" s="8" t="str">
        <f t="shared" si="9"/>
        <v/>
      </c>
      <c r="AH9" s="8" t="str">
        <f>IFERROR(VLOOKUP($B$5:$B$199,'[2]11'!$B$5:$D$200,3,0),"")</f>
        <v/>
      </c>
      <c r="AI9" s="8" t="str">
        <f>IFERROR(VLOOKUP($B$5:$B$199,'[2]11'!$B$5:$G$200,6,0),"")</f>
        <v/>
      </c>
      <c r="AJ9" s="8" t="str">
        <f t="shared" si="10"/>
        <v/>
      </c>
      <c r="AK9" s="8" t="str">
        <f>IFERROR(VLOOKUP($B$5:$B$199,'[2]12'!$B$5:$D$200,3,0),"")</f>
        <v/>
      </c>
      <c r="AL9" s="8" t="str">
        <f>IFERROR(VLOOKUP($B$5:$B$199,'[2]12'!$B$5:$G$200,6,0),"")</f>
        <v/>
      </c>
      <c r="AM9" s="8" t="str">
        <f t="shared" si="11"/>
        <v/>
      </c>
      <c r="AN9" s="8" t="str">
        <f>IFERROR(VLOOKUP($B$5:$B$199,'[2]13'!$B$5:$D$200,3,0),"")</f>
        <v/>
      </c>
      <c r="AO9" s="8" t="str">
        <f>IFERROR(VLOOKUP($B$5:$B$199,'[2]13'!$B$5:$G$200,6,0),"")</f>
        <v/>
      </c>
      <c r="AP9" s="8" t="str">
        <f t="shared" si="12"/>
        <v/>
      </c>
      <c r="AQ9" s="8" t="str">
        <f>IFERROR(VLOOKUP($B$5:$B$199,'[2]14'!$B$5:$D$200,3,0),"")</f>
        <v/>
      </c>
      <c r="AR9" s="8" t="str">
        <f>IFERROR(VLOOKUP($B$5:$B$199,'[2]14'!$B$5:$G$200,6,0),"")</f>
        <v/>
      </c>
      <c r="AS9" s="8" t="str">
        <f t="shared" si="13"/>
        <v/>
      </c>
      <c r="AT9" s="8" t="str">
        <f>IFERROR(VLOOKUP($B$5:$B$199,'[2]15'!$B$5:$D$200,3,0),"")</f>
        <v/>
      </c>
      <c r="AU9" s="8" t="str">
        <f>IFERROR(VLOOKUP($B$5:$B$199,'[2]15'!$B$5:$G$200,6,0),"")</f>
        <v/>
      </c>
      <c r="AV9" s="8" t="str">
        <f t="shared" si="14"/>
        <v/>
      </c>
      <c r="AW9" s="8" t="str">
        <f>IFERROR(VLOOKUP($B$5:$B$199,'[2]16'!$B$5:$D$200,3,0),"")</f>
        <v/>
      </c>
      <c r="AX9" s="8" t="str">
        <f>IFERROR(VLOOKUP($B$5:$B$199,'[2]16'!$B$5:$G$200,6,0),"")</f>
        <v/>
      </c>
      <c r="AY9" s="8" t="str">
        <f t="shared" si="15"/>
        <v/>
      </c>
      <c r="AZ9" s="8" t="str">
        <f>IFERROR(VLOOKUP($B$5:$B$199,'[2]17'!$B$5:$D$200,3,0),"")</f>
        <v/>
      </c>
      <c r="BA9" s="8" t="str">
        <f>IFERROR(VLOOKUP($B$5:$B$199,'[2]17'!$B$5:$G$200,6,0),"")</f>
        <v/>
      </c>
      <c r="BB9" s="8" t="str">
        <f t="shared" si="16"/>
        <v/>
      </c>
      <c r="BC9" s="8" t="str">
        <f>IFERROR(VLOOKUP($B$5:$B$199,'[2]18'!$B$5:$D$200,3,0),"")</f>
        <v/>
      </c>
      <c r="BD9" s="8" t="str">
        <f>IFERROR(VLOOKUP($B$5:$B$199,'[2]18'!$B$5:$G$200,6,0),"")</f>
        <v/>
      </c>
      <c r="BE9" s="8" t="str">
        <f t="shared" si="17"/>
        <v/>
      </c>
      <c r="BF9" s="8" t="str">
        <f>IFERROR(VLOOKUP($B$5:$B$199,'[2]19'!$B$5:$D$200,3,0),"")</f>
        <v/>
      </c>
      <c r="BG9" s="8" t="str">
        <f>IFERROR(VLOOKUP($B$5:$B$199,'[2]19'!$B$5:$G$200,6,0),"")</f>
        <v/>
      </c>
      <c r="BH9" s="8" t="str">
        <f t="shared" si="18"/>
        <v/>
      </c>
      <c r="BI9" s="8" t="str">
        <f>IFERROR(VLOOKUP($B$5:$B$199,'[2]20'!$B$5:$D$200,3,0),"")</f>
        <v/>
      </c>
      <c r="BJ9" s="8" t="str">
        <f>IFERROR(VLOOKUP($B$5:$B$199,'[2]20'!$B$5:$G$200,6,0),"")</f>
        <v/>
      </c>
      <c r="BK9" s="8" t="str">
        <f t="shared" si="19"/>
        <v/>
      </c>
      <c r="BL9" s="8" t="str">
        <f>IFERROR(VLOOKUP($B$5:$B$199,'[2]21'!$B$5:$D$200,3,0),"")</f>
        <v/>
      </c>
      <c r="BM9" s="8" t="str">
        <f>IFERROR(VLOOKUP($B$5:$B$199,'[2]21'!$B$5:$G$200,6,0),"")</f>
        <v/>
      </c>
      <c r="BN9" s="8" t="str">
        <f t="shared" si="20"/>
        <v/>
      </c>
      <c r="BO9" s="8" t="str">
        <f>IFERROR(VLOOKUP($B$5:$B$199,'[2]22'!$B$5:$D$200,3,0),"")</f>
        <v/>
      </c>
      <c r="BP9" s="8" t="str">
        <f>IFERROR(VLOOKUP($B$5:$B$199,'[2]22'!$B$5:$G$200,6,0),"")</f>
        <v/>
      </c>
      <c r="BQ9" s="8" t="str">
        <f t="shared" si="21"/>
        <v/>
      </c>
      <c r="BR9" s="8" t="str">
        <f>IFERROR(VLOOKUP($B$5:$B$199,'[2]23'!$B$5:$D$200,3,0),"")</f>
        <v/>
      </c>
      <c r="BS9" s="8" t="str">
        <f>IFERROR(VLOOKUP($B$5:$B$199,'[2]23'!$B$5:$G$200,6,0),"")</f>
        <v/>
      </c>
      <c r="BT9" s="8" t="str">
        <f t="shared" si="22"/>
        <v/>
      </c>
      <c r="BU9" s="8" t="str">
        <f>IFERROR(VLOOKUP($B$5:$B$199,'[2]24'!$B$5:$D$200,3,0),"")</f>
        <v/>
      </c>
      <c r="BV9" s="8" t="str">
        <f>IFERROR(VLOOKUP($B$5:$B$199,'[2]24'!$B$5:$G$200,6,0),"")</f>
        <v/>
      </c>
      <c r="BW9" s="8" t="str">
        <f t="shared" si="23"/>
        <v/>
      </c>
      <c r="BX9" s="8" t="str">
        <f>IFERROR(VLOOKUP($B$5:$B$199,'[2]25'!$B$5:$D$200,3,0),"")</f>
        <v/>
      </c>
      <c r="BY9" s="8" t="str">
        <f>IFERROR(VLOOKUP($B$5:$B$199,'[2]25'!$B$5:$G$200,6,0),"")</f>
        <v/>
      </c>
      <c r="BZ9" s="8" t="str">
        <f t="shared" si="24"/>
        <v/>
      </c>
      <c r="CA9" s="8" t="str">
        <f>IFERROR(VLOOKUP($B$5:$B$199,'[2]26'!$B$5:$D$200,3,0),"")</f>
        <v/>
      </c>
      <c r="CB9" s="8" t="str">
        <f>IFERROR(VLOOKUP($B$5:$B$199,'[2]26'!$B$5:$G$200,6,0),"")</f>
        <v/>
      </c>
      <c r="CC9" s="8" t="str">
        <f t="shared" si="25"/>
        <v/>
      </c>
      <c r="CD9" s="8" t="str">
        <f>IFERROR(VLOOKUP($B$5:$B$199,'[2]27'!$B$5:$D$200,3,0),"")</f>
        <v/>
      </c>
      <c r="CE9" s="8" t="str">
        <f>IFERROR(VLOOKUP($B$5:$B$199,'[2]27'!$B$5:$G$200,6,0),"")</f>
        <v/>
      </c>
      <c r="CF9" s="8" t="str">
        <f t="shared" si="26"/>
        <v/>
      </c>
      <c r="CG9" s="8" t="str">
        <f>IFERROR(VLOOKUP($B$5:$B$199,'[2]28'!$B$5:$D$200,3,0),"")</f>
        <v/>
      </c>
      <c r="CH9" s="8" t="str">
        <f>IFERROR(VLOOKUP($B$5:$B$199,'[2]28'!$B$5:$G$200,6,0),"")</f>
        <v/>
      </c>
      <c r="CI9" s="8" t="str">
        <f t="shared" si="27"/>
        <v/>
      </c>
      <c r="CJ9" s="8" t="str">
        <f>IFERROR(VLOOKUP($B$5:$B$199,'[2]29'!$B$5:$D$200,3,0),"")</f>
        <v/>
      </c>
      <c r="CK9" s="8" t="str">
        <f>IFERROR(VLOOKUP($B$5:$B$199,'[2]29'!$B$5:$G$200,6,0),"")</f>
        <v/>
      </c>
      <c r="CL9" s="8" t="str">
        <f t="shared" si="28"/>
        <v/>
      </c>
      <c r="CM9" s="8" t="str">
        <f>IFERROR(VLOOKUP($B$5:$B$199,'[2]30'!$B$5:$D$200,3,0),"")</f>
        <v/>
      </c>
      <c r="CN9" s="8" t="str">
        <f>IFERROR(VLOOKUP($B$5:$B$199,'[2]30'!$B$5:$G$200,6,0),"")</f>
        <v/>
      </c>
      <c r="CO9" s="8" t="str">
        <f t="shared" si="29"/>
        <v/>
      </c>
      <c r="CP9" s="8" t="str">
        <f>IFERROR(VLOOKUP($B$5:$B$199,'[2]31'!$B$5:$D$200,3,0),"")</f>
        <v/>
      </c>
      <c r="CQ9" s="8" t="str">
        <f>IFERROR(VLOOKUP($B$5:$B$199,'[2]31'!$B$5:$G$200,6,0),"")</f>
        <v/>
      </c>
      <c r="CR9" s="8" t="str">
        <f t="shared" si="30"/>
        <v/>
      </c>
      <c r="CS9" s="4"/>
      <c r="CT9" s="3">
        <f t="shared" si="31"/>
        <v>149</v>
      </c>
      <c r="CU9" s="3">
        <f t="shared" si="32"/>
        <v>89790.627430941531</v>
      </c>
      <c r="CV9" s="3">
        <f t="shared" si="33"/>
        <v>13378803.487210289</v>
      </c>
      <c r="CX9">
        <f t="shared" si="34"/>
        <v>4</v>
      </c>
    </row>
    <row r="10" spans="2:102" x14ac:dyDescent="0.25">
      <c r="B10" s="7" t="s">
        <v>12</v>
      </c>
      <c r="C10" s="7" t="str">
        <f>VLOOKUP($B10,DBASE!$C$7:$D$403,2,0)</f>
        <v>NABATI WAFER COKLAT 52GR</v>
      </c>
      <c r="D10" s="8" t="str">
        <f>IFERROR(VLOOKUP($B$5:$B$199,'[2]1'!$B$5:$D$200,3,0),"")</f>
        <v/>
      </c>
      <c r="E10" s="8" t="str">
        <f>IFERROR(VLOOKUP($B$5:$B$199,'[2]1'!$B$5:$G$200,6,0),"")</f>
        <v/>
      </c>
      <c r="F10" s="8" t="str">
        <f t="shared" si="0"/>
        <v/>
      </c>
      <c r="G10" s="8" t="str">
        <f>IFERROR(VLOOKUP($B$5:$B$199,'[2]2'!$B$5:$D$200,3,0),"")</f>
        <v/>
      </c>
      <c r="H10" s="8" t="str">
        <f>IFERROR(VLOOKUP($B$5:$B$199,'[2]2'!$B$5:$G$200,6,0),"")</f>
        <v/>
      </c>
      <c r="I10" s="8" t="str">
        <f t="shared" si="1"/>
        <v/>
      </c>
      <c r="J10" s="8" t="str">
        <f>IFERROR(VLOOKUP($B$5:$B$199,'[2]3'!$B$5:$D$200,3,0),"")</f>
        <v/>
      </c>
      <c r="K10" s="8" t="str">
        <f>IFERROR(VLOOKUP($B$5:$B$199,'[2]3'!$B$5:$G$200,6,0),"")</f>
        <v/>
      </c>
      <c r="L10" s="8" t="str">
        <f t="shared" si="2"/>
        <v/>
      </c>
      <c r="M10" s="8" t="str">
        <f>IFERROR(VLOOKUP($B$5:$B$199,'[2]4'!$B$5:$D$200,3,0),"")</f>
        <v/>
      </c>
      <c r="N10" s="8" t="str">
        <f>IFERROR(VLOOKUP($B$5:$B$199,'[2]4'!$B$5:$G$200,6,0),"")</f>
        <v/>
      </c>
      <c r="O10" s="8" t="str">
        <f t="shared" si="3"/>
        <v/>
      </c>
      <c r="P10" s="8" t="str">
        <f>IFERROR(VLOOKUP($B$5:$B$199,'[2]5'!$B$5:$D$200,3,0),"")</f>
        <v/>
      </c>
      <c r="Q10" s="8" t="str">
        <f>IFERROR(VLOOKUP($B$5:$B$199,'[2]5'!$B$5:$G$200,6,0),"")</f>
        <v/>
      </c>
      <c r="R10" s="8" t="str">
        <f t="shared" si="4"/>
        <v/>
      </c>
      <c r="S10" s="8">
        <f>IFERROR(VLOOKUP($B$5:$B$199,'[2]6'!$B$5:$D$200,3,0),"")</f>
        <v>10</v>
      </c>
      <c r="T10" s="8">
        <f>IFERROR(VLOOKUP($B$5:$B$199,'[2]6'!$B$5:$G$200,6,0),"")</f>
        <v>89948.44988571429</v>
      </c>
      <c r="U10" s="8">
        <f t="shared" si="5"/>
        <v>899484.49885714287</v>
      </c>
      <c r="V10" s="8" t="str">
        <f>IFERROR(VLOOKUP($B$5:$B$199,'[2]7'!$B$5:$D$200,3,0),"")</f>
        <v/>
      </c>
      <c r="W10" s="8" t="str">
        <f>IFERROR(VLOOKUP($B$5:$B$199,'[2]7'!$B$5:$G$200,6,0),"")</f>
        <v/>
      </c>
      <c r="X10" s="8" t="str">
        <f t="shared" si="6"/>
        <v/>
      </c>
      <c r="Y10" s="8" t="str">
        <f>IFERROR(VLOOKUP($B$5:$B$199,'[2]8'!$B$5:$D$200,3,0),"")</f>
        <v/>
      </c>
      <c r="Z10" s="8" t="str">
        <f>IFERROR(VLOOKUP($B$5:$B$199,'[2]8'!$B$5:$G$200,6,0),"")</f>
        <v/>
      </c>
      <c r="AA10" s="8" t="str">
        <f t="shared" si="7"/>
        <v/>
      </c>
      <c r="AB10" s="8" t="str">
        <f>IFERROR(VLOOKUP($B$5:$B$199,'[2]9'!$B$5:$D$200,3,0),"")</f>
        <v/>
      </c>
      <c r="AC10" s="8" t="str">
        <f>IFERROR(VLOOKUP($B$5:$B$199,'[2]9'!$B$5:$G$200,6,0),"")</f>
        <v/>
      </c>
      <c r="AD10" s="8" t="str">
        <f t="shared" si="8"/>
        <v/>
      </c>
      <c r="AE10" s="8" t="str">
        <f>IFERROR(VLOOKUP($B$5:$B$199,'[2]10'!$B$5:$D$200,3,0),"")</f>
        <v/>
      </c>
      <c r="AF10" s="8" t="str">
        <f>IFERROR(VLOOKUP($B$5:$B$199,'[2]10'!$B$5:$G$200,6,0),"")</f>
        <v/>
      </c>
      <c r="AG10" s="8" t="str">
        <f t="shared" si="9"/>
        <v/>
      </c>
      <c r="AH10" s="8" t="str">
        <f>IFERROR(VLOOKUP($B$5:$B$199,'[2]11'!$B$5:$D$200,3,0),"")</f>
        <v/>
      </c>
      <c r="AI10" s="8" t="str">
        <f>IFERROR(VLOOKUP($B$5:$B$199,'[2]11'!$B$5:$G$200,6,0),"")</f>
        <v/>
      </c>
      <c r="AJ10" s="8" t="str">
        <f t="shared" si="10"/>
        <v/>
      </c>
      <c r="AK10" s="8" t="str">
        <f>IFERROR(VLOOKUP($B$5:$B$199,'[2]12'!$B$5:$D$200,3,0),"")</f>
        <v/>
      </c>
      <c r="AL10" s="8" t="str">
        <f>IFERROR(VLOOKUP($B$5:$B$199,'[2]12'!$B$5:$G$200,6,0),"")</f>
        <v/>
      </c>
      <c r="AM10" s="8" t="str">
        <f t="shared" si="11"/>
        <v/>
      </c>
      <c r="AN10" s="8" t="str">
        <f>IFERROR(VLOOKUP($B$5:$B$199,'[2]13'!$B$5:$D$200,3,0),"")</f>
        <v/>
      </c>
      <c r="AO10" s="8" t="str">
        <f>IFERROR(VLOOKUP($B$5:$B$199,'[2]13'!$B$5:$G$200,6,0),"")</f>
        <v/>
      </c>
      <c r="AP10" s="8" t="str">
        <f t="shared" si="12"/>
        <v/>
      </c>
      <c r="AQ10" s="8" t="str">
        <f>IFERROR(VLOOKUP($B$5:$B$199,'[2]14'!$B$5:$D$200,3,0),"")</f>
        <v/>
      </c>
      <c r="AR10" s="8" t="str">
        <f>IFERROR(VLOOKUP($B$5:$B$199,'[2]14'!$B$5:$G$200,6,0),"")</f>
        <v/>
      </c>
      <c r="AS10" s="8" t="str">
        <f t="shared" si="13"/>
        <v/>
      </c>
      <c r="AT10" s="8" t="str">
        <f>IFERROR(VLOOKUP($B$5:$B$199,'[2]15'!$B$5:$D$200,3,0),"")</f>
        <v/>
      </c>
      <c r="AU10" s="8" t="str">
        <f>IFERROR(VLOOKUP($B$5:$B$199,'[2]15'!$B$5:$G$200,6,0),"")</f>
        <v/>
      </c>
      <c r="AV10" s="8" t="str">
        <f t="shared" si="14"/>
        <v/>
      </c>
      <c r="AW10" s="8" t="str">
        <f>IFERROR(VLOOKUP($B$5:$B$199,'[2]16'!$B$5:$D$200,3,0),"")</f>
        <v/>
      </c>
      <c r="AX10" s="8" t="str">
        <f>IFERROR(VLOOKUP($B$5:$B$199,'[2]16'!$B$5:$G$200,6,0),"")</f>
        <v/>
      </c>
      <c r="AY10" s="8" t="str">
        <f t="shared" si="15"/>
        <v/>
      </c>
      <c r="AZ10" s="8" t="str">
        <f>IFERROR(VLOOKUP($B$5:$B$199,'[2]17'!$B$5:$D$200,3,0),"")</f>
        <v/>
      </c>
      <c r="BA10" s="8" t="str">
        <f>IFERROR(VLOOKUP($B$5:$B$199,'[2]17'!$B$5:$G$200,6,0),"")</f>
        <v/>
      </c>
      <c r="BB10" s="8" t="str">
        <f t="shared" si="16"/>
        <v/>
      </c>
      <c r="BC10" s="8" t="str">
        <f>IFERROR(VLOOKUP($B$5:$B$199,'[2]18'!$B$5:$D$200,3,0),"")</f>
        <v/>
      </c>
      <c r="BD10" s="8" t="str">
        <f>IFERROR(VLOOKUP($B$5:$B$199,'[2]18'!$B$5:$G$200,6,0),"")</f>
        <v/>
      </c>
      <c r="BE10" s="8" t="str">
        <f t="shared" si="17"/>
        <v/>
      </c>
      <c r="BF10" s="8" t="str">
        <f>IFERROR(VLOOKUP($B$5:$B$199,'[2]19'!$B$5:$D$200,3,0),"")</f>
        <v/>
      </c>
      <c r="BG10" s="8" t="str">
        <f>IFERROR(VLOOKUP($B$5:$B$199,'[2]19'!$B$5:$G$200,6,0),"")</f>
        <v/>
      </c>
      <c r="BH10" s="8" t="str">
        <f t="shared" si="18"/>
        <v/>
      </c>
      <c r="BI10" s="8" t="str">
        <f>IFERROR(VLOOKUP($B$5:$B$199,'[2]20'!$B$5:$D$200,3,0),"")</f>
        <v/>
      </c>
      <c r="BJ10" s="8" t="str">
        <f>IFERROR(VLOOKUP($B$5:$B$199,'[2]20'!$B$5:$G$200,6,0),"")</f>
        <v/>
      </c>
      <c r="BK10" s="8" t="str">
        <f t="shared" si="19"/>
        <v/>
      </c>
      <c r="BL10" s="8" t="str">
        <f>IFERROR(VLOOKUP($B$5:$B$199,'[2]21'!$B$5:$D$200,3,0),"")</f>
        <v/>
      </c>
      <c r="BM10" s="8" t="str">
        <f>IFERROR(VLOOKUP($B$5:$B$199,'[2]21'!$B$5:$G$200,6,0),"")</f>
        <v/>
      </c>
      <c r="BN10" s="8" t="str">
        <f t="shared" si="20"/>
        <v/>
      </c>
      <c r="BO10" s="8" t="str">
        <f>IFERROR(VLOOKUP($B$5:$B$199,'[2]22'!$B$5:$D$200,3,0),"")</f>
        <v/>
      </c>
      <c r="BP10" s="8" t="str">
        <f>IFERROR(VLOOKUP($B$5:$B$199,'[2]22'!$B$5:$G$200,6,0),"")</f>
        <v/>
      </c>
      <c r="BQ10" s="8" t="str">
        <f t="shared" si="21"/>
        <v/>
      </c>
      <c r="BR10" s="8" t="str">
        <f>IFERROR(VLOOKUP($B$5:$B$199,'[2]23'!$B$5:$D$200,3,0),"")</f>
        <v/>
      </c>
      <c r="BS10" s="8" t="str">
        <f>IFERROR(VLOOKUP($B$5:$B$199,'[2]23'!$B$5:$G$200,6,0),"")</f>
        <v/>
      </c>
      <c r="BT10" s="8" t="str">
        <f t="shared" si="22"/>
        <v/>
      </c>
      <c r="BU10" s="8" t="str">
        <f>IFERROR(VLOOKUP($B$5:$B$199,'[2]24'!$B$5:$D$200,3,0),"")</f>
        <v/>
      </c>
      <c r="BV10" s="8" t="str">
        <f>IFERROR(VLOOKUP($B$5:$B$199,'[2]24'!$B$5:$G$200,6,0),"")</f>
        <v/>
      </c>
      <c r="BW10" s="8" t="str">
        <f t="shared" si="23"/>
        <v/>
      </c>
      <c r="BX10" s="8" t="str">
        <f>IFERROR(VLOOKUP($B$5:$B$199,'[2]25'!$B$5:$D$200,3,0),"")</f>
        <v/>
      </c>
      <c r="BY10" s="8" t="str">
        <f>IFERROR(VLOOKUP($B$5:$B$199,'[2]25'!$B$5:$G$200,6,0),"")</f>
        <v/>
      </c>
      <c r="BZ10" s="8" t="str">
        <f t="shared" si="24"/>
        <v/>
      </c>
      <c r="CA10" s="8" t="str">
        <f>IFERROR(VLOOKUP($B$5:$B$199,'[2]26'!$B$5:$D$200,3,0),"")</f>
        <v/>
      </c>
      <c r="CB10" s="8" t="str">
        <f>IFERROR(VLOOKUP($B$5:$B$199,'[2]26'!$B$5:$G$200,6,0),"")</f>
        <v/>
      </c>
      <c r="CC10" s="8" t="str">
        <f t="shared" si="25"/>
        <v/>
      </c>
      <c r="CD10" s="8" t="str">
        <f>IFERROR(VLOOKUP($B$5:$B$199,'[2]27'!$B$5:$D$200,3,0),"")</f>
        <v/>
      </c>
      <c r="CE10" s="8" t="str">
        <f>IFERROR(VLOOKUP($B$5:$B$199,'[2]27'!$B$5:$G$200,6,0),"")</f>
        <v/>
      </c>
      <c r="CF10" s="8" t="str">
        <f t="shared" si="26"/>
        <v/>
      </c>
      <c r="CG10" s="8" t="str">
        <f>IFERROR(VLOOKUP($B$5:$B$199,'[2]28'!$B$5:$D$200,3,0),"")</f>
        <v/>
      </c>
      <c r="CH10" s="8" t="str">
        <f>IFERROR(VLOOKUP($B$5:$B$199,'[2]28'!$B$5:$G$200,6,0),"")</f>
        <v/>
      </c>
      <c r="CI10" s="8" t="str">
        <f t="shared" si="27"/>
        <v/>
      </c>
      <c r="CJ10" s="8" t="str">
        <f>IFERROR(VLOOKUP($B$5:$B$199,'[2]29'!$B$5:$D$200,3,0),"")</f>
        <v/>
      </c>
      <c r="CK10" s="8" t="str">
        <f>IFERROR(VLOOKUP($B$5:$B$199,'[2]29'!$B$5:$G$200,6,0),"")</f>
        <v/>
      </c>
      <c r="CL10" s="8" t="str">
        <f t="shared" si="28"/>
        <v/>
      </c>
      <c r="CM10" s="8" t="str">
        <f>IFERROR(VLOOKUP($B$5:$B$199,'[2]30'!$B$5:$D$200,3,0),"")</f>
        <v/>
      </c>
      <c r="CN10" s="8" t="str">
        <f>IFERROR(VLOOKUP($B$5:$B$199,'[2]30'!$B$5:$G$200,6,0),"")</f>
        <v/>
      </c>
      <c r="CO10" s="8" t="str">
        <f t="shared" si="29"/>
        <v/>
      </c>
      <c r="CP10" s="8" t="str">
        <f>IFERROR(VLOOKUP($B$5:$B$199,'[2]31'!$B$5:$D$200,3,0),"")</f>
        <v/>
      </c>
      <c r="CQ10" s="8" t="str">
        <f>IFERROR(VLOOKUP($B$5:$B$199,'[2]31'!$B$5:$G$200,6,0),"")</f>
        <v/>
      </c>
      <c r="CR10" s="8" t="str">
        <f t="shared" si="30"/>
        <v/>
      </c>
      <c r="CT10" s="3">
        <f t="shared" si="31"/>
        <v>10</v>
      </c>
      <c r="CU10" s="3">
        <f t="shared" si="32"/>
        <v>89948.44988571429</v>
      </c>
      <c r="CV10" s="3">
        <f t="shared" si="33"/>
        <v>899484.49885714287</v>
      </c>
      <c r="CX10">
        <f t="shared" si="34"/>
        <v>1</v>
      </c>
    </row>
    <row r="11" spans="2:102" x14ac:dyDescent="0.25">
      <c r="B11" s="7" t="s">
        <v>84</v>
      </c>
      <c r="C11" s="7" t="str">
        <f>VLOOKUP($B11,DBASE!$C$7:$D$403,2,0)</f>
        <v>NABATI WAFER KEJU 145GR</v>
      </c>
      <c r="D11" s="8" t="str">
        <f>IFERROR(VLOOKUP($B$5:$B$199,'[2]1'!$B$5:$D$200,3,0),"")</f>
        <v/>
      </c>
      <c r="E11" s="8" t="str">
        <f>IFERROR(VLOOKUP($B$5:$B$199,'[2]1'!$B$5:$G$200,6,0),"")</f>
        <v/>
      </c>
      <c r="F11" s="8" t="str">
        <f t="shared" si="0"/>
        <v/>
      </c>
      <c r="G11" s="8" t="str">
        <f>IFERROR(VLOOKUP($B$5:$B$199,'[2]2'!$B$5:$D$200,3,0),"")</f>
        <v/>
      </c>
      <c r="H11" s="8" t="str">
        <f>IFERROR(VLOOKUP($B$5:$B$199,'[2]2'!$B$5:$G$200,6,0),"")</f>
        <v/>
      </c>
      <c r="I11" s="8" t="str">
        <f t="shared" si="1"/>
        <v/>
      </c>
      <c r="J11" s="8" t="str">
        <f>IFERROR(VLOOKUP($B$5:$B$199,'[2]3'!$B$5:$D$200,3,0),"")</f>
        <v/>
      </c>
      <c r="K11" s="8" t="str">
        <f>IFERROR(VLOOKUP($B$5:$B$199,'[2]3'!$B$5:$G$200,6,0),"")</f>
        <v/>
      </c>
      <c r="L11" s="8" t="str">
        <f t="shared" si="2"/>
        <v/>
      </c>
      <c r="M11" s="8">
        <f>IFERROR(VLOOKUP($B$5:$B$199,'[2]4'!$B$5:$D$200,3,0),"")</f>
        <v>8</v>
      </c>
      <c r="N11" s="8">
        <f>IFERROR(VLOOKUP($B$5:$B$199,'[2]4'!$B$5:$G$200,6,0),"")</f>
        <v>92638.174760479043</v>
      </c>
      <c r="O11" s="8">
        <f t="shared" si="3"/>
        <v>741105.39808383235</v>
      </c>
      <c r="P11" s="8" t="str">
        <f>IFERROR(VLOOKUP($B$5:$B$199,'[2]5'!$B$5:$D$200,3,0),"")</f>
        <v/>
      </c>
      <c r="Q11" s="8" t="str">
        <f>IFERROR(VLOOKUP($B$5:$B$199,'[2]5'!$B$5:$G$200,6,0),"")</f>
        <v/>
      </c>
      <c r="R11" s="8" t="str">
        <f t="shared" si="4"/>
        <v/>
      </c>
      <c r="S11" s="8" t="str">
        <f>IFERROR(VLOOKUP($B$5:$B$199,'[2]6'!$B$5:$D$200,3,0),"")</f>
        <v/>
      </c>
      <c r="T11" s="8" t="str">
        <f>IFERROR(VLOOKUP($B$5:$B$199,'[2]6'!$B$5:$G$200,6,0),"")</f>
        <v/>
      </c>
      <c r="U11" s="8" t="str">
        <f t="shared" si="5"/>
        <v/>
      </c>
      <c r="V11" s="8">
        <f>IFERROR(VLOOKUP($B$5:$B$199,'[2]7'!$B$5:$D$200,3,0),"")</f>
        <v>2</v>
      </c>
      <c r="W11" s="8">
        <f>IFERROR(VLOOKUP($B$5:$B$199,'[2]7'!$B$5:$G$200,6,0),"")</f>
        <v>92134.734903278688</v>
      </c>
      <c r="X11" s="8">
        <f t="shared" si="6"/>
        <v>184269.46980655738</v>
      </c>
      <c r="Y11" s="8" t="str">
        <f>IFERROR(VLOOKUP($B$5:$B$199,'[2]8'!$B$5:$D$200,3,0),"")</f>
        <v/>
      </c>
      <c r="Z11" s="8" t="str">
        <f>IFERROR(VLOOKUP($B$5:$B$199,'[2]8'!$B$5:$G$200,6,0),"")</f>
        <v/>
      </c>
      <c r="AA11" s="8" t="str">
        <f t="shared" si="7"/>
        <v/>
      </c>
      <c r="AB11" s="8" t="str">
        <f>IFERROR(VLOOKUP($B$5:$B$199,'[2]9'!$B$5:$D$200,3,0),"")</f>
        <v/>
      </c>
      <c r="AC11" s="8" t="str">
        <f>IFERROR(VLOOKUP($B$5:$B$199,'[2]9'!$B$5:$G$200,6,0),"")</f>
        <v/>
      </c>
      <c r="AD11" s="8" t="str">
        <f t="shared" si="8"/>
        <v/>
      </c>
      <c r="AE11" s="8" t="str">
        <f>IFERROR(VLOOKUP($B$5:$B$199,'[2]10'!$B$5:$D$200,3,0),"")</f>
        <v/>
      </c>
      <c r="AF11" s="8" t="str">
        <f>IFERROR(VLOOKUP($B$5:$B$199,'[2]10'!$B$5:$G$200,6,0),"")</f>
        <v/>
      </c>
      <c r="AG11" s="8" t="str">
        <f t="shared" si="9"/>
        <v/>
      </c>
      <c r="AH11" s="8" t="str">
        <f>IFERROR(VLOOKUP($B$5:$B$199,'[2]11'!$B$5:$D$200,3,0),"")</f>
        <v/>
      </c>
      <c r="AI11" s="8" t="str">
        <f>IFERROR(VLOOKUP($B$5:$B$199,'[2]11'!$B$5:$G$200,6,0),"")</f>
        <v/>
      </c>
      <c r="AJ11" s="8" t="str">
        <f t="shared" si="10"/>
        <v/>
      </c>
      <c r="AK11" s="8" t="str">
        <f>IFERROR(VLOOKUP($B$5:$B$199,'[2]12'!$B$5:$D$200,3,0),"")</f>
        <v/>
      </c>
      <c r="AL11" s="8" t="str">
        <f>IFERROR(VLOOKUP($B$5:$B$199,'[2]12'!$B$5:$G$200,6,0),"")</f>
        <v/>
      </c>
      <c r="AM11" s="8" t="str">
        <f t="shared" si="11"/>
        <v/>
      </c>
      <c r="AN11" s="8" t="str">
        <f>IFERROR(VLOOKUP($B$5:$B$199,'[2]13'!$B$5:$D$200,3,0),"")</f>
        <v/>
      </c>
      <c r="AO11" s="8" t="str">
        <f>IFERROR(VLOOKUP($B$5:$B$199,'[2]13'!$B$5:$G$200,6,0),"")</f>
        <v/>
      </c>
      <c r="AP11" s="8" t="str">
        <f t="shared" si="12"/>
        <v/>
      </c>
      <c r="AQ11" s="8" t="str">
        <f>IFERROR(VLOOKUP($B$5:$B$199,'[2]14'!$B$5:$D$200,3,0),"")</f>
        <v/>
      </c>
      <c r="AR11" s="8" t="str">
        <f>IFERROR(VLOOKUP($B$5:$B$199,'[2]14'!$B$5:$G$200,6,0),"")</f>
        <v/>
      </c>
      <c r="AS11" s="8" t="str">
        <f t="shared" si="13"/>
        <v/>
      </c>
      <c r="AT11" s="8" t="str">
        <f>IFERROR(VLOOKUP($B$5:$B$199,'[2]15'!$B$5:$D$200,3,0),"")</f>
        <v/>
      </c>
      <c r="AU11" s="8" t="str">
        <f>IFERROR(VLOOKUP($B$5:$B$199,'[2]15'!$B$5:$G$200,6,0),"")</f>
        <v/>
      </c>
      <c r="AV11" s="8" t="str">
        <f t="shared" si="14"/>
        <v/>
      </c>
      <c r="AW11" s="8" t="str">
        <f>IFERROR(VLOOKUP($B$5:$B$199,'[2]16'!$B$5:$D$200,3,0),"")</f>
        <v/>
      </c>
      <c r="AX11" s="8" t="str">
        <f>IFERROR(VLOOKUP($B$5:$B$199,'[2]16'!$B$5:$G$200,6,0),"")</f>
        <v/>
      </c>
      <c r="AY11" s="8" t="str">
        <f t="shared" si="15"/>
        <v/>
      </c>
      <c r="AZ11" s="8" t="str">
        <f>IFERROR(VLOOKUP($B$5:$B$199,'[2]17'!$B$5:$D$200,3,0),"")</f>
        <v/>
      </c>
      <c r="BA11" s="8" t="str">
        <f>IFERROR(VLOOKUP($B$5:$B$199,'[2]17'!$B$5:$G$200,6,0),"")</f>
        <v/>
      </c>
      <c r="BB11" s="8" t="str">
        <f t="shared" si="16"/>
        <v/>
      </c>
      <c r="BC11" s="8" t="str">
        <f>IFERROR(VLOOKUP($B$5:$B$199,'[2]18'!$B$5:$D$200,3,0),"")</f>
        <v/>
      </c>
      <c r="BD11" s="8" t="str">
        <f>IFERROR(VLOOKUP($B$5:$B$199,'[2]18'!$B$5:$G$200,6,0),"")</f>
        <v/>
      </c>
      <c r="BE11" s="8" t="str">
        <f t="shared" si="17"/>
        <v/>
      </c>
      <c r="BF11" s="8" t="str">
        <f>IFERROR(VLOOKUP($B$5:$B$199,'[2]19'!$B$5:$D$200,3,0),"")</f>
        <v/>
      </c>
      <c r="BG11" s="8" t="str">
        <f>IFERROR(VLOOKUP($B$5:$B$199,'[2]19'!$B$5:$G$200,6,0),"")</f>
        <v/>
      </c>
      <c r="BH11" s="8" t="str">
        <f t="shared" si="18"/>
        <v/>
      </c>
      <c r="BI11" s="8" t="str">
        <f>IFERROR(VLOOKUP($B$5:$B$199,'[2]20'!$B$5:$D$200,3,0),"")</f>
        <v/>
      </c>
      <c r="BJ11" s="8" t="str">
        <f>IFERROR(VLOOKUP($B$5:$B$199,'[2]20'!$B$5:$G$200,6,0),"")</f>
        <v/>
      </c>
      <c r="BK11" s="8" t="str">
        <f t="shared" si="19"/>
        <v/>
      </c>
      <c r="BL11" s="8" t="str">
        <f>IFERROR(VLOOKUP($B$5:$B$199,'[2]21'!$B$5:$D$200,3,0),"")</f>
        <v/>
      </c>
      <c r="BM11" s="8" t="str">
        <f>IFERROR(VLOOKUP($B$5:$B$199,'[2]21'!$B$5:$G$200,6,0),"")</f>
        <v/>
      </c>
      <c r="BN11" s="8" t="str">
        <f t="shared" si="20"/>
        <v/>
      </c>
      <c r="BO11" s="8" t="str">
        <f>IFERROR(VLOOKUP($B$5:$B$199,'[2]22'!$B$5:$D$200,3,0),"")</f>
        <v/>
      </c>
      <c r="BP11" s="8" t="str">
        <f>IFERROR(VLOOKUP($B$5:$B$199,'[2]22'!$B$5:$G$200,6,0),"")</f>
        <v/>
      </c>
      <c r="BQ11" s="8" t="str">
        <f t="shared" si="21"/>
        <v/>
      </c>
      <c r="BR11" s="8" t="str">
        <f>IFERROR(VLOOKUP($B$5:$B$199,'[2]23'!$B$5:$D$200,3,0),"")</f>
        <v/>
      </c>
      <c r="BS11" s="8" t="str">
        <f>IFERROR(VLOOKUP($B$5:$B$199,'[2]23'!$B$5:$G$200,6,0),"")</f>
        <v/>
      </c>
      <c r="BT11" s="8" t="str">
        <f t="shared" si="22"/>
        <v/>
      </c>
      <c r="BU11" s="8" t="str">
        <f>IFERROR(VLOOKUP($B$5:$B$199,'[2]24'!$B$5:$D$200,3,0),"")</f>
        <v/>
      </c>
      <c r="BV11" s="8" t="str">
        <f>IFERROR(VLOOKUP($B$5:$B$199,'[2]24'!$B$5:$G$200,6,0),"")</f>
        <v/>
      </c>
      <c r="BW11" s="8" t="str">
        <f t="shared" si="23"/>
        <v/>
      </c>
      <c r="BX11" s="8" t="str">
        <f>IFERROR(VLOOKUP($B$5:$B$199,'[2]25'!$B$5:$D$200,3,0),"")</f>
        <v/>
      </c>
      <c r="BY11" s="8" t="str">
        <f>IFERROR(VLOOKUP($B$5:$B$199,'[2]25'!$B$5:$G$200,6,0),"")</f>
        <v/>
      </c>
      <c r="BZ11" s="8" t="str">
        <f t="shared" si="24"/>
        <v/>
      </c>
      <c r="CA11" s="8" t="str">
        <f>IFERROR(VLOOKUP($B$5:$B$199,'[2]26'!$B$5:$D$200,3,0),"")</f>
        <v/>
      </c>
      <c r="CB11" s="8" t="str">
        <f>IFERROR(VLOOKUP($B$5:$B$199,'[2]26'!$B$5:$G$200,6,0),"")</f>
        <v/>
      </c>
      <c r="CC11" s="8" t="str">
        <f t="shared" si="25"/>
        <v/>
      </c>
      <c r="CD11" s="8" t="str">
        <f>IFERROR(VLOOKUP($B$5:$B$199,'[2]27'!$B$5:$D$200,3,0),"")</f>
        <v/>
      </c>
      <c r="CE11" s="8" t="str">
        <f>IFERROR(VLOOKUP($B$5:$B$199,'[2]27'!$B$5:$G$200,6,0),"")</f>
        <v/>
      </c>
      <c r="CF11" s="8" t="str">
        <f t="shared" si="26"/>
        <v/>
      </c>
      <c r="CG11" s="8" t="str">
        <f>IFERROR(VLOOKUP($B$5:$B$199,'[2]28'!$B$5:$D$200,3,0),"")</f>
        <v/>
      </c>
      <c r="CH11" s="8" t="str">
        <f>IFERROR(VLOOKUP($B$5:$B$199,'[2]28'!$B$5:$G$200,6,0),"")</f>
        <v/>
      </c>
      <c r="CI11" s="8" t="str">
        <f t="shared" si="27"/>
        <v/>
      </c>
      <c r="CJ11" s="8" t="str">
        <f>IFERROR(VLOOKUP($B$5:$B$199,'[2]29'!$B$5:$D$200,3,0),"")</f>
        <v/>
      </c>
      <c r="CK11" s="8" t="str">
        <f>IFERROR(VLOOKUP($B$5:$B$199,'[2]29'!$B$5:$G$200,6,0),"")</f>
        <v/>
      </c>
      <c r="CL11" s="8" t="str">
        <f t="shared" si="28"/>
        <v/>
      </c>
      <c r="CM11" s="8" t="str">
        <f>IFERROR(VLOOKUP($B$5:$B$199,'[2]30'!$B$5:$D$200,3,0),"")</f>
        <v/>
      </c>
      <c r="CN11" s="8" t="str">
        <f>IFERROR(VLOOKUP($B$5:$B$199,'[2]30'!$B$5:$G$200,6,0),"")</f>
        <v/>
      </c>
      <c r="CO11" s="8" t="str">
        <f t="shared" si="29"/>
        <v/>
      </c>
      <c r="CP11" s="8" t="str">
        <f>IFERROR(VLOOKUP($B$5:$B$199,'[2]31'!$B$5:$D$200,3,0),"")</f>
        <v/>
      </c>
      <c r="CQ11" s="8" t="str">
        <f>IFERROR(VLOOKUP($B$5:$B$199,'[2]31'!$B$5:$G$200,6,0),"")</f>
        <v/>
      </c>
      <c r="CR11" s="8" t="str">
        <f t="shared" si="30"/>
        <v/>
      </c>
      <c r="CT11" s="3">
        <f t="shared" si="31"/>
        <v>10</v>
      </c>
      <c r="CU11" s="3">
        <f t="shared" si="32"/>
        <v>92386.454831878858</v>
      </c>
      <c r="CV11" s="3">
        <f t="shared" si="33"/>
        <v>923864.54831878864</v>
      </c>
      <c r="CX11">
        <f t="shared" si="34"/>
        <v>2</v>
      </c>
    </row>
    <row r="12" spans="2:102" x14ac:dyDescent="0.25">
      <c r="B12" s="7" t="s">
        <v>85</v>
      </c>
      <c r="C12" s="7" t="str">
        <f>VLOOKUP($B12,DBASE!$C$7:$D$403,2,0)</f>
        <v>NABATI WAFER COKLAT 145GR</v>
      </c>
      <c r="D12" s="8" t="str">
        <f>IFERROR(VLOOKUP($B$5:$B$199,'[2]1'!$B$5:$D$200,3,0),"")</f>
        <v/>
      </c>
      <c r="E12" s="8" t="str">
        <f>IFERROR(VLOOKUP($B$5:$B$199,'[2]1'!$B$5:$G$200,6,0),"")</f>
        <v/>
      </c>
      <c r="F12" s="8" t="str">
        <f t="shared" si="0"/>
        <v/>
      </c>
      <c r="G12" s="8" t="str">
        <f>IFERROR(VLOOKUP($B$5:$B$199,'[2]2'!$B$5:$D$200,3,0),"")</f>
        <v/>
      </c>
      <c r="H12" s="8" t="str">
        <f>IFERROR(VLOOKUP($B$5:$B$199,'[2]2'!$B$5:$G$200,6,0),"")</f>
        <v/>
      </c>
      <c r="I12" s="8" t="str">
        <f t="shared" si="1"/>
        <v/>
      </c>
      <c r="J12" s="8" t="str">
        <f>IFERROR(VLOOKUP($B$5:$B$199,'[2]3'!$B$5:$D$200,3,0),"")</f>
        <v/>
      </c>
      <c r="K12" s="8" t="str">
        <f>IFERROR(VLOOKUP($B$5:$B$199,'[2]3'!$B$5:$G$200,6,0),"")</f>
        <v/>
      </c>
      <c r="L12" s="8" t="str">
        <f t="shared" si="2"/>
        <v/>
      </c>
      <c r="M12" s="8">
        <f>IFERROR(VLOOKUP($B$5:$B$199,'[2]4'!$B$5:$D$200,3,0),"")</f>
        <v>5</v>
      </c>
      <c r="N12" s="8">
        <f>IFERROR(VLOOKUP($B$5:$B$199,'[2]4'!$B$5:$G$200,6,0),"")</f>
        <v>92638.174760479043</v>
      </c>
      <c r="O12" s="8">
        <f t="shared" si="3"/>
        <v>463190.87380239519</v>
      </c>
      <c r="P12" s="8" t="str">
        <f>IFERROR(VLOOKUP($B$5:$B$199,'[2]5'!$B$5:$D$200,3,0),"")</f>
        <v/>
      </c>
      <c r="Q12" s="8" t="str">
        <f>IFERROR(VLOOKUP($B$5:$B$199,'[2]5'!$B$5:$G$200,6,0),"")</f>
        <v/>
      </c>
      <c r="R12" s="8" t="str">
        <f t="shared" si="4"/>
        <v/>
      </c>
      <c r="S12" s="8" t="str">
        <f>IFERROR(VLOOKUP($B$5:$B$199,'[2]6'!$B$5:$D$200,3,0),"")</f>
        <v/>
      </c>
      <c r="T12" s="8" t="str">
        <f>IFERROR(VLOOKUP($B$5:$B$199,'[2]6'!$B$5:$G$200,6,0),"")</f>
        <v/>
      </c>
      <c r="U12" s="8" t="str">
        <f t="shared" si="5"/>
        <v/>
      </c>
      <c r="V12" s="8" t="str">
        <f>IFERROR(VLOOKUP($B$5:$B$199,'[2]7'!$B$5:$D$200,3,0),"")</f>
        <v/>
      </c>
      <c r="W12" s="8" t="str">
        <f>IFERROR(VLOOKUP($B$5:$B$199,'[2]7'!$B$5:$G$200,6,0),"")</f>
        <v/>
      </c>
      <c r="X12" s="8" t="str">
        <f t="shared" si="6"/>
        <v/>
      </c>
      <c r="Y12" s="8" t="str">
        <f>IFERROR(VLOOKUP($B$5:$B$199,'[2]8'!$B$5:$D$200,3,0),"")</f>
        <v/>
      </c>
      <c r="Z12" s="8" t="str">
        <f>IFERROR(VLOOKUP($B$5:$B$199,'[2]8'!$B$5:$G$200,6,0),"")</f>
        <v/>
      </c>
      <c r="AA12" s="8" t="str">
        <f t="shared" si="7"/>
        <v/>
      </c>
      <c r="AB12" s="8" t="str">
        <f>IFERROR(VLOOKUP($B$5:$B$199,'[2]9'!$B$5:$D$200,3,0),"")</f>
        <v/>
      </c>
      <c r="AC12" s="8" t="str">
        <f>IFERROR(VLOOKUP($B$5:$B$199,'[2]9'!$B$5:$G$200,6,0),"")</f>
        <v/>
      </c>
      <c r="AD12" s="8" t="str">
        <f t="shared" si="8"/>
        <v/>
      </c>
      <c r="AE12" s="8" t="str">
        <f>IFERROR(VLOOKUP($B$5:$B$199,'[2]10'!$B$5:$D$200,3,0),"")</f>
        <v/>
      </c>
      <c r="AF12" s="8" t="str">
        <f>IFERROR(VLOOKUP($B$5:$B$199,'[2]10'!$B$5:$G$200,6,0),"")</f>
        <v/>
      </c>
      <c r="AG12" s="8" t="str">
        <f t="shared" si="9"/>
        <v/>
      </c>
      <c r="AH12" s="8" t="str">
        <f>IFERROR(VLOOKUP($B$5:$B$199,'[2]11'!$B$5:$D$200,3,0),"")</f>
        <v/>
      </c>
      <c r="AI12" s="8" t="str">
        <f>IFERROR(VLOOKUP($B$5:$B$199,'[2]11'!$B$5:$G$200,6,0),"")</f>
        <v/>
      </c>
      <c r="AJ12" s="8" t="str">
        <f t="shared" si="10"/>
        <v/>
      </c>
      <c r="AK12" s="8" t="str">
        <f>IFERROR(VLOOKUP($B$5:$B$199,'[2]12'!$B$5:$D$200,3,0),"")</f>
        <v/>
      </c>
      <c r="AL12" s="8" t="str">
        <f>IFERROR(VLOOKUP($B$5:$B$199,'[2]12'!$B$5:$G$200,6,0),"")</f>
        <v/>
      </c>
      <c r="AM12" s="8" t="str">
        <f t="shared" si="11"/>
        <v/>
      </c>
      <c r="AN12" s="8" t="str">
        <f>IFERROR(VLOOKUP($B$5:$B$199,'[2]13'!$B$5:$D$200,3,0),"")</f>
        <v/>
      </c>
      <c r="AO12" s="8" t="str">
        <f>IFERROR(VLOOKUP($B$5:$B$199,'[2]13'!$B$5:$G$200,6,0),"")</f>
        <v/>
      </c>
      <c r="AP12" s="8" t="str">
        <f t="shared" si="12"/>
        <v/>
      </c>
      <c r="AQ12" s="8" t="str">
        <f>IFERROR(VLOOKUP($B$5:$B$199,'[2]14'!$B$5:$D$200,3,0),"")</f>
        <v/>
      </c>
      <c r="AR12" s="8" t="str">
        <f>IFERROR(VLOOKUP($B$5:$B$199,'[2]14'!$B$5:$G$200,6,0),"")</f>
        <v/>
      </c>
      <c r="AS12" s="8" t="str">
        <f t="shared" si="13"/>
        <v/>
      </c>
      <c r="AT12" s="8" t="str">
        <f>IFERROR(VLOOKUP($B$5:$B$199,'[2]15'!$B$5:$D$200,3,0),"")</f>
        <v/>
      </c>
      <c r="AU12" s="8" t="str">
        <f>IFERROR(VLOOKUP($B$5:$B$199,'[2]15'!$B$5:$G$200,6,0),"")</f>
        <v/>
      </c>
      <c r="AV12" s="8" t="str">
        <f t="shared" si="14"/>
        <v/>
      </c>
      <c r="AW12" s="8" t="str">
        <f>IFERROR(VLOOKUP($B$5:$B$199,'[2]16'!$B$5:$D$200,3,0),"")</f>
        <v/>
      </c>
      <c r="AX12" s="8" t="str">
        <f>IFERROR(VLOOKUP($B$5:$B$199,'[2]16'!$B$5:$G$200,6,0),"")</f>
        <v/>
      </c>
      <c r="AY12" s="8" t="str">
        <f t="shared" si="15"/>
        <v/>
      </c>
      <c r="AZ12" s="8" t="str">
        <f>IFERROR(VLOOKUP($B$5:$B$199,'[2]17'!$B$5:$D$200,3,0),"")</f>
        <v/>
      </c>
      <c r="BA12" s="8" t="str">
        <f>IFERROR(VLOOKUP($B$5:$B$199,'[2]17'!$B$5:$G$200,6,0),"")</f>
        <v/>
      </c>
      <c r="BB12" s="8" t="str">
        <f t="shared" si="16"/>
        <v/>
      </c>
      <c r="BC12" s="8" t="str">
        <f>IFERROR(VLOOKUP($B$5:$B$199,'[2]18'!$B$5:$D$200,3,0),"")</f>
        <v/>
      </c>
      <c r="BD12" s="8" t="str">
        <f>IFERROR(VLOOKUP($B$5:$B$199,'[2]18'!$B$5:$G$200,6,0),"")</f>
        <v/>
      </c>
      <c r="BE12" s="8" t="str">
        <f t="shared" si="17"/>
        <v/>
      </c>
      <c r="BF12" s="8" t="str">
        <f>IFERROR(VLOOKUP($B$5:$B$199,'[2]19'!$B$5:$D$200,3,0),"")</f>
        <v/>
      </c>
      <c r="BG12" s="8" t="str">
        <f>IFERROR(VLOOKUP($B$5:$B$199,'[2]19'!$B$5:$G$200,6,0),"")</f>
        <v/>
      </c>
      <c r="BH12" s="8" t="str">
        <f t="shared" si="18"/>
        <v/>
      </c>
      <c r="BI12" s="8" t="str">
        <f>IFERROR(VLOOKUP($B$5:$B$199,'[2]20'!$B$5:$D$200,3,0),"")</f>
        <v/>
      </c>
      <c r="BJ12" s="8" t="str">
        <f>IFERROR(VLOOKUP($B$5:$B$199,'[2]20'!$B$5:$G$200,6,0),"")</f>
        <v/>
      </c>
      <c r="BK12" s="8" t="str">
        <f t="shared" si="19"/>
        <v/>
      </c>
      <c r="BL12" s="8" t="str">
        <f>IFERROR(VLOOKUP($B$5:$B$199,'[2]21'!$B$5:$D$200,3,0),"")</f>
        <v/>
      </c>
      <c r="BM12" s="8" t="str">
        <f>IFERROR(VLOOKUP($B$5:$B$199,'[2]21'!$B$5:$G$200,6,0),"")</f>
        <v/>
      </c>
      <c r="BN12" s="8" t="str">
        <f t="shared" si="20"/>
        <v/>
      </c>
      <c r="BO12" s="8" t="str">
        <f>IFERROR(VLOOKUP($B$5:$B$199,'[2]22'!$B$5:$D$200,3,0),"")</f>
        <v/>
      </c>
      <c r="BP12" s="8" t="str">
        <f>IFERROR(VLOOKUP($B$5:$B$199,'[2]22'!$B$5:$G$200,6,0),"")</f>
        <v/>
      </c>
      <c r="BQ12" s="8" t="str">
        <f t="shared" si="21"/>
        <v/>
      </c>
      <c r="BR12" s="8" t="str">
        <f>IFERROR(VLOOKUP($B$5:$B$199,'[2]23'!$B$5:$D$200,3,0),"")</f>
        <v/>
      </c>
      <c r="BS12" s="8" t="str">
        <f>IFERROR(VLOOKUP($B$5:$B$199,'[2]23'!$B$5:$G$200,6,0),"")</f>
        <v/>
      </c>
      <c r="BT12" s="8" t="str">
        <f t="shared" si="22"/>
        <v/>
      </c>
      <c r="BU12" s="8" t="str">
        <f>IFERROR(VLOOKUP($B$5:$B$199,'[2]24'!$B$5:$D$200,3,0),"")</f>
        <v/>
      </c>
      <c r="BV12" s="8" t="str">
        <f>IFERROR(VLOOKUP($B$5:$B$199,'[2]24'!$B$5:$G$200,6,0),"")</f>
        <v/>
      </c>
      <c r="BW12" s="8" t="str">
        <f t="shared" si="23"/>
        <v/>
      </c>
      <c r="BX12" s="8" t="str">
        <f>IFERROR(VLOOKUP($B$5:$B$199,'[2]25'!$B$5:$D$200,3,0),"")</f>
        <v/>
      </c>
      <c r="BY12" s="8" t="str">
        <f>IFERROR(VLOOKUP($B$5:$B$199,'[2]25'!$B$5:$G$200,6,0),"")</f>
        <v/>
      </c>
      <c r="BZ12" s="8" t="str">
        <f t="shared" si="24"/>
        <v/>
      </c>
      <c r="CA12" s="8" t="str">
        <f>IFERROR(VLOOKUP($B$5:$B$199,'[2]26'!$B$5:$D$200,3,0),"")</f>
        <v/>
      </c>
      <c r="CB12" s="8" t="str">
        <f>IFERROR(VLOOKUP($B$5:$B$199,'[2]26'!$B$5:$G$200,6,0),"")</f>
        <v/>
      </c>
      <c r="CC12" s="8" t="str">
        <f t="shared" si="25"/>
        <v/>
      </c>
      <c r="CD12" s="8" t="str">
        <f>IFERROR(VLOOKUP($B$5:$B$199,'[2]27'!$B$5:$D$200,3,0),"")</f>
        <v/>
      </c>
      <c r="CE12" s="8" t="str">
        <f>IFERROR(VLOOKUP($B$5:$B$199,'[2]27'!$B$5:$G$200,6,0),"")</f>
        <v/>
      </c>
      <c r="CF12" s="8" t="str">
        <f t="shared" si="26"/>
        <v/>
      </c>
      <c r="CG12" s="8" t="str">
        <f>IFERROR(VLOOKUP($B$5:$B$199,'[2]28'!$B$5:$D$200,3,0),"")</f>
        <v/>
      </c>
      <c r="CH12" s="8" t="str">
        <f>IFERROR(VLOOKUP($B$5:$B$199,'[2]28'!$B$5:$G$200,6,0),"")</f>
        <v/>
      </c>
      <c r="CI12" s="8" t="str">
        <f t="shared" si="27"/>
        <v/>
      </c>
      <c r="CJ12" s="8" t="str">
        <f>IFERROR(VLOOKUP($B$5:$B$199,'[2]29'!$B$5:$D$200,3,0),"")</f>
        <v/>
      </c>
      <c r="CK12" s="8" t="str">
        <f>IFERROR(VLOOKUP($B$5:$B$199,'[2]29'!$B$5:$G$200,6,0),"")</f>
        <v/>
      </c>
      <c r="CL12" s="8" t="str">
        <f t="shared" si="28"/>
        <v/>
      </c>
      <c r="CM12" s="8" t="str">
        <f>IFERROR(VLOOKUP($B$5:$B$199,'[2]30'!$B$5:$D$200,3,0),"")</f>
        <v/>
      </c>
      <c r="CN12" s="8" t="str">
        <f>IFERROR(VLOOKUP($B$5:$B$199,'[2]30'!$B$5:$G$200,6,0),"")</f>
        <v/>
      </c>
      <c r="CO12" s="8" t="str">
        <f t="shared" si="29"/>
        <v/>
      </c>
      <c r="CP12" s="8" t="str">
        <f>IFERROR(VLOOKUP($B$5:$B$199,'[2]31'!$B$5:$D$200,3,0),"")</f>
        <v/>
      </c>
      <c r="CQ12" s="8" t="str">
        <f>IFERROR(VLOOKUP($B$5:$B$199,'[2]31'!$B$5:$G$200,6,0),"")</f>
        <v/>
      </c>
      <c r="CR12" s="8" t="str">
        <f t="shared" si="30"/>
        <v/>
      </c>
      <c r="CT12" s="3">
        <f t="shared" si="31"/>
        <v>5</v>
      </c>
      <c r="CU12" s="3">
        <f t="shared" si="32"/>
        <v>92638.174760479043</v>
      </c>
      <c r="CV12" s="3">
        <f t="shared" si="33"/>
        <v>463190.87380239519</v>
      </c>
      <c r="CX12">
        <f t="shared" si="34"/>
        <v>1</v>
      </c>
    </row>
    <row r="13" spans="2:102" x14ac:dyDescent="0.25">
      <c r="B13" s="7" t="s">
        <v>65</v>
      </c>
      <c r="C13" s="7" t="str">
        <f>VLOOKUP($B13,DBASE!$C$7:$D$403,2,0)</f>
        <v>SIIP KEJU 500</v>
      </c>
      <c r="D13" s="8">
        <f>IFERROR(VLOOKUP($B$5:$B$199,'[2]1'!$B$5:$D$200,3,0),"")</f>
        <v>10</v>
      </c>
      <c r="E13" s="8">
        <f>IFERROR(VLOOKUP($B$5:$B$199,'[2]1'!$B$5:$G$200,6,0),"")</f>
        <v>40641.150174294118</v>
      </c>
      <c r="F13" s="8">
        <f t="shared" si="0"/>
        <v>406411.50174294121</v>
      </c>
      <c r="G13" s="8" t="str">
        <f>IFERROR(VLOOKUP($B$5:$B$199,'[2]2'!$B$5:$D$200,3,0),"")</f>
        <v/>
      </c>
      <c r="H13" s="8" t="str">
        <f>IFERROR(VLOOKUP($B$5:$B$199,'[2]2'!$B$5:$G$200,6,0),"")</f>
        <v/>
      </c>
      <c r="I13" s="8" t="str">
        <f t="shared" si="1"/>
        <v/>
      </c>
      <c r="J13" s="8" t="str">
        <f>IFERROR(VLOOKUP($B$5:$B$199,'[2]3'!$B$5:$D$200,3,0),"")</f>
        <v/>
      </c>
      <c r="K13" s="8" t="str">
        <f>IFERROR(VLOOKUP($B$5:$B$199,'[2]3'!$B$5:$G$200,6,0),"")</f>
        <v/>
      </c>
      <c r="L13" s="8" t="str">
        <f t="shared" si="2"/>
        <v/>
      </c>
      <c r="M13" s="8">
        <f>IFERROR(VLOOKUP($B$5:$B$199,'[2]4'!$B$5:$D$200,3,0),"")</f>
        <v>5</v>
      </c>
      <c r="N13" s="8">
        <f>IFERROR(VLOOKUP($B$5:$B$199,'[2]4'!$B$5:$G$200,6,0),"")</f>
        <v>41638.174760479043</v>
      </c>
      <c r="O13" s="8">
        <f t="shared" si="3"/>
        <v>208190.87380239522</v>
      </c>
      <c r="P13" s="8" t="str">
        <f>IFERROR(VLOOKUP($B$5:$B$199,'[2]5'!$B$5:$D$200,3,0),"")</f>
        <v/>
      </c>
      <c r="Q13" s="8" t="str">
        <f>IFERROR(VLOOKUP($B$5:$B$199,'[2]5'!$B$5:$G$200,6,0),"")</f>
        <v/>
      </c>
      <c r="R13" s="8" t="str">
        <f t="shared" si="4"/>
        <v/>
      </c>
      <c r="S13" s="8">
        <f>IFERROR(VLOOKUP($B$5:$B$199,'[2]6'!$B$5:$D$200,3,0),"")</f>
        <v>10</v>
      </c>
      <c r="T13" s="8">
        <f>IFERROR(VLOOKUP($B$5:$B$199,'[2]6'!$B$5:$G$200,6,0),"")</f>
        <v>41348.449885714283</v>
      </c>
      <c r="U13" s="8">
        <f t="shared" si="5"/>
        <v>413484.49885714281</v>
      </c>
      <c r="V13" s="8">
        <f>IFERROR(VLOOKUP($B$5:$B$199,'[2]7'!$B$5:$D$200,3,0),"")</f>
        <v>3</v>
      </c>
      <c r="W13" s="8">
        <f>IFERROR(VLOOKUP($B$5:$B$199,'[2]7'!$B$5:$G$200,6,0),"")</f>
        <v>41134.734903278688</v>
      </c>
      <c r="X13" s="8">
        <f t="shared" si="6"/>
        <v>123404.20470983606</v>
      </c>
      <c r="Y13" s="8" t="str">
        <f>IFERROR(VLOOKUP($B$5:$B$199,'[2]8'!$B$5:$D$200,3,0),"")</f>
        <v/>
      </c>
      <c r="Z13" s="8" t="str">
        <f>IFERROR(VLOOKUP($B$5:$B$199,'[2]8'!$B$5:$G$200,6,0),"")</f>
        <v/>
      </c>
      <c r="AA13" s="8" t="str">
        <f t="shared" si="7"/>
        <v/>
      </c>
      <c r="AB13" s="8" t="str">
        <f>IFERROR(VLOOKUP($B$5:$B$199,'[2]9'!$B$5:$D$200,3,0),"")</f>
        <v/>
      </c>
      <c r="AC13" s="8" t="str">
        <f>IFERROR(VLOOKUP($B$5:$B$199,'[2]9'!$B$5:$G$200,6,0),"")</f>
        <v/>
      </c>
      <c r="AD13" s="8" t="str">
        <f t="shared" si="8"/>
        <v/>
      </c>
      <c r="AE13" s="8" t="str">
        <f>IFERROR(VLOOKUP($B$5:$B$199,'[2]10'!$B$5:$D$200,3,0),"")</f>
        <v/>
      </c>
      <c r="AF13" s="8" t="str">
        <f>IFERROR(VLOOKUP($B$5:$B$199,'[2]10'!$B$5:$G$200,6,0),"")</f>
        <v/>
      </c>
      <c r="AG13" s="8" t="str">
        <f t="shared" si="9"/>
        <v/>
      </c>
      <c r="AH13" s="8" t="str">
        <f>IFERROR(VLOOKUP($B$5:$B$199,'[2]11'!$B$5:$D$200,3,0),"")</f>
        <v/>
      </c>
      <c r="AI13" s="8" t="str">
        <f>IFERROR(VLOOKUP($B$5:$B$199,'[2]11'!$B$5:$G$200,6,0),"")</f>
        <v/>
      </c>
      <c r="AJ13" s="8" t="str">
        <f t="shared" si="10"/>
        <v/>
      </c>
      <c r="AK13" s="8" t="str">
        <f>IFERROR(VLOOKUP($B$5:$B$199,'[2]12'!$B$5:$D$200,3,0),"")</f>
        <v/>
      </c>
      <c r="AL13" s="8" t="str">
        <f>IFERROR(VLOOKUP($B$5:$B$199,'[2]12'!$B$5:$G$200,6,0),"")</f>
        <v/>
      </c>
      <c r="AM13" s="8" t="str">
        <f t="shared" si="11"/>
        <v/>
      </c>
      <c r="AN13" s="8" t="str">
        <f>IFERROR(VLOOKUP($B$5:$B$199,'[2]13'!$B$5:$D$200,3,0),"")</f>
        <v/>
      </c>
      <c r="AO13" s="8" t="str">
        <f>IFERROR(VLOOKUP($B$5:$B$199,'[2]13'!$B$5:$G$200,6,0),"")</f>
        <v/>
      </c>
      <c r="AP13" s="8" t="str">
        <f t="shared" si="12"/>
        <v/>
      </c>
      <c r="AQ13" s="8" t="str">
        <f>IFERROR(VLOOKUP($B$5:$B$199,'[2]14'!$B$5:$D$200,3,0),"")</f>
        <v/>
      </c>
      <c r="AR13" s="8" t="str">
        <f>IFERROR(VLOOKUP($B$5:$B$199,'[2]14'!$B$5:$G$200,6,0),"")</f>
        <v/>
      </c>
      <c r="AS13" s="8" t="str">
        <f t="shared" si="13"/>
        <v/>
      </c>
      <c r="AT13" s="8" t="str">
        <f>IFERROR(VLOOKUP($B$5:$B$199,'[2]15'!$B$5:$D$200,3,0),"")</f>
        <v/>
      </c>
      <c r="AU13" s="8" t="str">
        <f>IFERROR(VLOOKUP($B$5:$B$199,'[2]15'!$B$5:$G$200,6,0),"")</f>
        <v/>
      </c>
      <c r="AV13" s="8" t="str">
        <f t="shared" si="14"/>
        <v/>
      </c>
      <c r="AW13" s="8" t="str">
        <f>IFERROR(VLOOKUP($B$5:$B$199,'[2]16'!$B$5:$D$200,3,0),"")</f>
        <v/>
      </c>
      <c r="AX13" s="8" t="str">
        <f>IFERROR(VLOOKUP($B$5:$B$199,'[2]16'!$B$5:$G$200,6,0),"")</f>
        <v/>
      </c>
      <c r="AY13" s="8" t="str">
        <f t="shared" si="15"/>
        <v/>
      </c>
      <c r="AZ13" s="8" t="str">
        <f>IFERROR(VLOOKUP($B$5:$B$199,'[2]17'!$B$5:$D$200,3,0),"")</f>
        <v/>
      </c>
      <c r="BA13" s="8" t="str">
        <f>IFERROR(VLOOKUP($B$5:$B$199,'[2]17'!$B$5:$G$200,6,0),"")</f>
        <v/>
      </c>
      <c r="BB13" s="8" t="str">
        <f t="shared" si="16"/>
        <v/>
      </c>
      <c r="BC13" s="8" t="str">
        <f>IFERROR(VLOOKUP($B$5:$B$199,'[2]18'!$B$5:$D$200,3,0),"")</f>
        <v/>
      </c>
      <c r="BD13" s="8" t="str">
        <f>IFERROR(VLOOKUP($B$5:$B$199,'[2]18'!$B$5:$G$200,6,0),"")</f>
        <v/>
      </c>
      <c r="BE13" s="8" t="str">
        <f t="shared" si="17"/>
        <v/>
      </c>
      <c r="BF13" s="8" t="str">
        <f>IFERROR(VLOOKUP($B$5:$B$199,'[2]19'!$B$5:$D$200,3,0),"")</f>
        <v/>
      </c>
      <c r="BG13" s="8" t="str">
        <f>IFERROR(VLOOKUP($B$5:$B$199,'[2]19'!$B$5:$G$200,6,0),"")</f>
        <v/>
      </c>
      <c r="BH13" s="8" t="str">
        <f t="shared" si="18"/>
        <v/>
      </c>
      <c r="BI13" s="8" t="str">
        <f>IFERROR(VLOOKUP($B$5:$B$199,'[2]20'!$B$5:$D$200,3,0),"")</f>
        <v/>
      </c>
      <c r="BJ13" s="8" t="str">
        <f>IFERROR(VLOOKUP($B$5:$B$199,'[2]20'!$B$5:$G$200,6,0),"")</f>
        <v/>
      </c>
      <c r="BK13" s="8" t="str">
        <f t="shared" si="19"/>
        <v/>
      </c>
      <c r="BL13" s="8" t="str">
        <f>IFERROR(VLOOKUP($B$5:$B$199,'[2]21'!$B$5:$D$200,3,0),"")</f>
        <v/>
      </c>
      <c r="BM13" s="8" t="str">
        <f>IFERROR(VLOOKUP($B$5:$B$199,'[2]21'!$B$5:$G$200,6,0),"")</f>
        <v/>
      </c>
      <c r="BN13" s="8" t="str">
        <f t="shared" si="20"/>
        <v/>
      </c>
      <c r="BO13" s="8" t="str">
        <f>IFERROR(VLOOKUP($B$5:$B$199,'[2]22'!$B$5:$D$200,3,0),"")</f>
        <v/>
      </c>
      <c r="BP13" s="8" t="str">
        <f>IFERROR(VLOOKUP($B$5:$B$199,'[2]22'!$B$5:$G$200,6,0),"")</f>
        <v/>
      </c>
      <c r="BQ13" s="8" t="str">
        <f t="shared" si="21"/>
        <v/>
      </c>
      <c r="BR13" s="8" t="str">
        <f>IFERROR(VLOOKUP($B$5:$B$199,'[2]23'!$B$5:$D$200,3,0),"")</f>
        <v/>
      </c>
      <c r="BS13" s="8" t="str">
        <f>IFERROR(VLOOKUP($B$5:$B$199,'[2]23'!$B$5:$G$200,6,0),"")</f>
        <v/>
      </c>
      <c r="BT13" s="8" t="str">
        <f t="shared" si="22"/>
        <v/>
      </c>
      <c r="BU13" s="8" t="str">
        <f>IFERROR(VLOOKUP($B$5:$B$199,'[2]24'!$B$5:$D$200,3,0),"")</f>
        <v/>
      </c>
      <c r="BV13" s="8" t="str">
        <f>IFERROR(VLOOKUP($B$5:$B$199,'[2]24'!$B$5:$G$200,6,0),"")</f>
        <v/>
      </c>
      <c r="BW13" s="8" t="str">
        <f t="shared" si="23"/>
        <v/>
      </c>
      <c r="BX13" s="8" t="str">
        <f>IFERROR(VLOOKUP($B$5:$B$199,'[2]25'!$B$5:$D$200,3,0),"")</f>
        <v/>
      </c>
      <c r="BY13" s="8" t="str">
        <f>IFERROR(VLOOKUP($B$5:$B$199,'[2]25'!$B$5:$G$200,6,0),"")</f>
        <v/>
      </c>
      <c r="BZ13" s="8" t="str">
        <f t="shared" si="24"/>
        <v/>
      </c>
      <c r="CA13" s="8" t="str">
        <f>IFERROR(VLOOKUP($B$5:$B$199,'[2]26'!$B$5:$D$200,3,0),"")</f>
        <v/>
      </c>
      <c r="CB13" s="8" t="str">
        <f>IFERROR(VLOOKUP($B$5:$B$199,'[2]26'!$B$5:$G$200,6,0),"")</f>
        <v/>
      </c>
      <c r="CC13" s="8" t="str">
        <f t="shared" si="25"/>
        <v/>
      </c>
      <c r="CD13" s="8" t="str">
        <f>IFERROR(VLOOKUP($B$5:$B$199,'[2]27'!$B$5:$D$200,3,0),"")</f>
        <v/>
      </c>
      <c r="CE13" s="8" t="str">
        <f>IFERROR(VLOOKUP($B$5:$B$199,'[2]27'!$B$5:$G$200,6,0),"")</f>
        <v/>
      </c>
      <c r="CF13" s="8" t="str">
        <f t="shared" si="26"/>
        <v/>
      </c>
      <c r="CG13" s="8" t="str">
        <f>IFERROR(VLOOKUP($B$5:$B$199,'[2]28'!$B$5:$D$200,3,0),"")</f>
        <v/>
      </c>
      <c r="CH13" s="8" t="str">
        <f>IFERROR(VLOOKUP($B$5:$B$199,'[2]28'!$B$5:$G$200,6,0),"")</f>
        <v/>
      </c>
      <c r="CI13" s="8" t="str">
        <f t="shared" si="27"/>
        <v/>
      </c>
      <c r="CJ13" s="8" t="str">
        <f>IFERROR(VLOOKUP($B$5:$B$199,'[2]29'!$B$5:$D$200,3,0),"")</f>
        <v/>
      </c>
      <c r="CK13" s="8" t="str">
        <f>IFERROR(VLOOKUP($B$5:$B$199,'[2]29'!$B$5:$G$200,6,0),"")</f>
        <v/>
      </c>
      <c r="CL13" s="8" t="str">
        <f t="shared" si="28"/>
        <v/>
      </c>
      <c r="CM13" s="8" t="str">
        <f>IFERROR(VLOOKUP($B$5:$B$199,'[2]30'!$B$5:$D$200,3,0),"")</f>
        <v/>
      </c>
      <c r="CN13" s="8" t="str">
        <f>IFERROR(VLOOKUP($B$5:$B$199,'[2]30'!$B$5:$G$200,6,0),"")</f>
        <v/>
      </c>
      <c r="CO13" s="8" t="str">
        <f t="shared" si="29"/>
        <v/>
      </c>
      <c r="CP13" s="8" t="str">
        <f>IFERROR(VLOOKUP($B$5:$B$199,'[2]31'!$B$5:$D$200,3,0),"")</f>
        <v/>
      </c>
      <c r="CQ13" s="8" t="str">
        <f>IFERROR(VLOOKUP($B$5:$B$199,'[2]31'!$B$5:$G$200,6,0),"")</f>
        <v/>
      </c>
      <c r="CR13" s="8" t="str">
        <f t="shared" si="30"/>
        <v/>
      </c>
      <c r="CT13" s="3">
        <f t="shared" si="31"/>
        <v>28</v>
      </c>
      <c r="CU13" s="3">
        <f t="shared" si="32"/>
        <v>41190.627430941531</v>
      </c>
      <c r="CV13" s="3">
        <f t="shared" si="33"/>
        <v>1153337.5680663628</v>
      </c>
      <c r="CX13">
        <f t="shared" si="34"/>
        <v>4</v>
      </c>
    </row>
    <row r="14" spans="2:102" x14ac:dyDescent="0.25">
      <c r="B14" s="7" t="s">
        <v>88</v>
      </c>
      <c r="C14" s="7" t="str">
        <f>VLOOKUP($B14,DBASE!$C$7:$D$403,2,0)</f>
        <v>SIIP JGG 500</v>
      </c>
      <c r="D14" s="8" t="str">
        <f>IFERROR(VLOOKUP($B$5:$B$199,'[2]1'!$B$5:$D$200,3,0),"")</f>
        <v/>
      </c>
      <c r="E14" s="8" t="str">
        <f>IFERROR(VLOOKUP($B$5:$B$199,'[2]1'!$B$5:$G$200,6,0),"")</f>
        <v/>
      </c>
      <c r="F14" s="8" t="str">
        <f t="shared" si="0"/>
        <v/>
      </c>
      <c r="G14" s="8" t="str">
        <f>IFERROR(VLOOKUP($B$5:$B$199,'[2]2'!$B$5:$D$200,3,0),"")</f>
        <v/>
      </c>
      <c r="H14" s="8" t="str">
        <f>IFERROR(VLOOKUP($B$5:$B$199,'[2]2'!$B$5:$G$200,6,0),"")</f>
        <v/>
      </c>
      <c r="I14" s="8" t="str">
        <f t="shared" si="1"/>
        <v/>
      </c>
      <c r="J14" s="8" t="str">
        <f>IFERROR(VLOOKUP($B$5:$B$199,'[2]3'!$B$5:$D$200,3,0),"")</f>
        <v/>
      </c>
      <c r="K14" s="8" t="str">
        <f>IFERROR(VLOOKUP($B$5:$B$199,'[2]3'!$B$5:$G$200,6,0),"")</f>
        <v/>
      </c>
      <c r="L14" s="8" t="str">
        <f t="shared" si="2"/>
        <v/>
      </c>
      <c r="M14" s="8">
        <f>IFERROR(VLOOKUP($B$5:$B$199,'[2]4'!$B$5:$D$200,3,0),"")</f>
        <v>5</v>
      </c>
      <c r="N14" s="8">
        <f>IFERROR(VLOOKUP($B$5:$B$199,'[2]4'!$B$5:$G$200,6,0),"")</f>
        <v>41638.174760479043</v>
      </c>
      <c r="O14" s="8">
        <f t="shared" si="3"/>
        <v>208190.87380239522</v>
      </c>
      <c r="P14" s="8" t="str">
        <f>IFERROR(VLOOKUP($B$5:$B$199,'[2]5'!$B$5:$D$200,3,0),"")</f>
        <v/>
      </c>
      <c r="Q14" s="8" t="str">
        <f>IFERROR(VLOOKUP($B$5:$B$199,'[2]5'!$B$5:$G$200,6,0),"")</f>
        <v/>
      </c>
      <c r="R14" s="8" t="str">
        <f t="shared" si="4"/>
        <v/>
      </c>
      <c r="S14" s="8">
        <f>IFERROR(VLOOKUP($B$5:$B$199,'[2]6'!$B$5:$D$200,3,0),"")</f>
        <v>15</v>
      </c>
      <c r="T14" s="8">
        <f>IFERROR(VLOOKUP($B$5:$B$199,'[2]6'!$B$5:$G$200,6,0),"")</f>
        <v>41348.449885714283</v>
      </c>
      <c r="U14" s="8">
        <f t="shared" si="5"/>
        <v>620226.74828571419</v>
      </c>
      <c r="V14" s="8">
        <f>IFERROR(VLOOKUP($B$5:$B$199,'[2]7'!$B$5:$D$200,3,0),"")</f>
        <v>3</v>
      </c>
      <c r="W14" s="8">
        <f>IFERROR(VLOOKUP($B$5:$B$199,'[2]7'!$B$5:$G$200,6,0),"")</f>
        <v>41134.734903278688</v>
      </c>
      <c r="X14" s="8">
        <f t="shared" si="6"/>
        <v>123404.20470983606</v>
      </c>
      <c r="Y14" s="8" t="str">
        <f>IFERROR(VLOOKUP($B$5:$B$199,'[2]8'!$B$5:$D$200,3,0),"")</f>
        <v/>
      </c>
      <c r="Z14" s="8" t="str">
        <f>IFERROR(VLOOKUP($B$5:$B$199,'[2]8'!$B$5:$G$200,6,0),"")</f>
        <v/>
      </c>
      <c r="AA14" s="8" t="str">
        <f t="shared" si="7"/>
        <v/>
      </c>
      <c r="AB14" s="8" t="str">
        <f>IFERROR(VLOOKUP($B$5:$B$199,'[2]9'!$B$5:$D$200,3,0),"")</f>
        <v/>
      </c>
      <c r="AC14" s="8" t="str">
        <f>IFERROR(VLOOKUP($B$5:$B$199,'[2]9'!$B$5:$G$200,6,0),"")</f>
        <v/>
      </c>
      <c r="AD14" s="8" t="str">
        <f t="shared" si="8"/>
        <v/>
      </c>
      <c r="AE14" s="8" t="str">
        <f>IFERROR(VLOOKUP($B$5:$B$199,'[2]10'!$B$5:$D$200,3,0),"")</f>
        <v/>
      </c>
      <c r="AF14" s="8" t="str">
        <f>IFERROR(VLOOKUP($B$5:$B$199,'[2]10'!$B$5:$G$200,6,0),"")</f>
        <v/>
      </c>
      <c r="AG14" s="8" t="str">
        <f t="shared" si="9"/>
        <v/>
      </c>
      <c r="AH14" s="8" t="str">
        <f>IFERROR(VLOOKUP($B$5:$B$199,'[2]11'!$B$5:$D$200,3,0),"")</f>
        <v/>
      </c>
      <c r="AI14" s="8" t="str">
        <f>IFERROR(VLOOKUP($B$5:$B$199,'[2]11'!$B$5:$G$200,6,0),"")</f>
        <v/>
      </c>
      <c r="AJ14" s="8" t="str">
        <f t="shared" si="10"/>
        <v/>
      </c>
      <c r="AK14" s="8" t="str">
        <f>IFERROR(VLOOKUP($B$5:$B$199,'[2]12'!$B$5:$D$200,3,0),"")</f>
        <v/>
      </c>
      <c r="AL14" s="8" t="str">
        <f>IFERROR(VLOOKUP($B$5:$B$199,'[2]12'!$B$5:$G$200,6,0),"")</f>
        <v/>
      </c>
      <c r="AM14" s="8" t="str">
        <f t="shared" si="11"/>
        <v/>
      </c>
      <c r="AN14" s="8" t="str">
        <f>IFERROR(VLOOKUP($B$5:$B$199,'[2]13'!$B$5:$D$200,3,0),"")</f>
        <v/>
      </c>
      <c r="AO14" s="8" t="str">
        <f>IFERROR(VLOOKUP($B$5:$B$199,'[2]13'!$B$5:$G$200,6,0),"")</f>
        <v/>
      </c>
      <c r="AP14" s="8" t="str">
        <f t="shared" si="12"/>
        <v/>
      </c>
      <c r="AQ14" s="8" t="str">
        <f>IFERROR(VLOOKUP($B$5:$B$199,'[2]14'!$B$5:$D$200,3,0),"")</f>
        <v/>
      </c>
      <c r="AR14" s="8" t="str">
        <f>IFERROR(VLOOKUP($B$5:$B$199,'[2]14'!$B$5:$G$200,6,0),"")</f>
        <v/>
      </c>
      <c r="AS14" s="8" t="str">
        <f t="shared" si="13"/>
        <v/>
      </c>
      <c r="AT14" s="8" t="str">
        <f>IFERROR(VLOOKUP($B$5:$B$199,'[2]15'!$B$5:$D$200,3,0),"")</f>
        <v/>
      </c>
      <c r="AU14" s="8" t="str">
        <f>IFERROR(VLOOKUP($B$5:$B$199,'[2]15'!$B$5:$G$200,6,0),"")</f>
        <v/>
      </c>
      <c r="AV14" s="8" t="str">
        <f t="shared" si="14"/>
        <v/>
      </c>
      <c r="AW14" s="8" t="str">
        <f>IFERROR(VLOOKUP($B$5:$B$199,'[2]16'!$B$5:$D$200,3,0),"")</f>
        <v/>
      </c>
      <c r="AX14" s="8" t="str">
        <f>IFERROR(VLOOKUP($B$5:$B$199,'[2]16'!$B$5:$G$200,6,0),"")</f>
        <v/>
      </c>
      <c r="AY14" s="8" t="str">
        <f t="shared" si="15"/>
        <v/>
      </c>
      <c r="AZ14" s="8" t="str">
        <f>IFERROR(VLOOKUP($B$5:$B$199,'[2]17'!$B$5:$D$200,3,0),"")</f>
        <v/>
      </c>
      <c r="BA14" s="8" t="str">
        <f>IFERROR(VLOOKUP($B$5:$B$199,'[2]17'!$B$5:$G$200,6,0),"")</f>
        <v/>
      </c>
      <c r="BB14" s="8" t="str">
        <f t="shared" si="16"/>
        <v/>
      </c>
      <c r="BC14" s="8" t="str">
        <f>IFERROR(VLOOKUP($B$5:$B$199,'[2]18'!$B$5:$D$200,3,0),"")</f>
        <v/>
      </c>
      <c r="BD14" s="8" t="str">
        <f>IFERROR(VLOOKUP($B$5:$B$199,'[2]18'!$B$5:$G$200,6,0),"")</f>
        <v/>
      </c>
      <c r="BE14" s="8" t="str">
        <f t="shared" si="17"/>
        <v/>
      </c>
      <c r="BF14" s="8" t="str">
        <f>IFERROR(VLOOKUP($B$5:$B$199,'[2]19'!$B$5:$D$200,3,0),"")</f>
        <v/>
      </c>
      <c r="BG14" s="8" t="str">
        <f>IFERROR(VLOOKUP($B$5:$B$199,'[2]19'!$B$5:$G$200,6,0),"")</f>
        <v/>
      </c>
      <c r="BH14" s="8" t="str">
        <f t="shared" si="18"/>
        <v/>
      </c>
      <c r="BI14" s="8" t="str">
        <f>IFERROR(VLOOKUP($B$5:$B$199,'[2]20'!$B$5:$D$200,3,0),"")</f>
        <v/>
      </c>
      <c r="BJ14" s="8" t="str">
        <f>IFERROR(VLOOKUP($B$5:$B$199,'[2]20'!$B$5:$G$200,6,0),"")</f>
        <v/>
      </c>
      <c r="BK14" s="8" t="str">
        <f t="shared" si="19"/>
        <v/>
      </c>
      <c r="BL14" s="8" t="str">
        <f>IFERROR(VLOOKUP($B$5:$B$199,'[2]21'!$B$5:$D$200,3,0),"")</f>
        <v/>
      </c>
      <c r="BM14" s="8" t="str">
        <f>IFERROR(VLOOKUP($B$5:$B$199,'[2]21'!$B$5:$G$200,6,0),"")</f>
        <v/>
      </c>
      <c r="BN14" s="8" t="str">
        <f t="shared" si="20"/>
        <v/>
      </c>
      <c r="BO14" s="8" t="str">
        <f>IFERROR(VLOOKUP($B$5:$B$199,'[2]22'!$B$5:$D$200,3,0),"")</f>
        <v/>
      </c>
      <c r="BP14" s="8" t="str">
        <f>IFERROR(VLOOKUP($B$5:$B$199,'[2]22'!$B$5:$G$200,6,0),"")</f>
        <v/>
      </c>
      <c r="BQ14" s="8" t="str">
        <f t="shared" si="21"/>
        <v/>
      </c>
      <c r="BR14" s="8" t="str">
        <f>IFERROR(VLOOKUP($B$5:$B$199,'[2]23'!$B$5:$D$200,3,0),"")</f>
        <v/>
      </c>
      <c r="BS14" s="8" t="str">
        <f>IFERROR(VLOOKUP($B$5:$B$199,'[2]23'!$B$5:$G$200,6,0),"")</f>
        <v/>
      </c>
      <c r="BT14" s="8" t="str">
        <f t="shared" si="22"/>
        <v/>
      </c>
      <c r="BU14" s="8" t="str">
        <f>IFERROR(VLOOKUP($B$5:$B$199,'[2]24'!$B$5:$D$200,3,0),"")</f>
        <v/>
      </c>
      <c r="BV14" s="8" t="str">
        <f>IFERROR(VLOOKUP($B$5:$B$199,'[2]24'!$B$5:$G$200,6,0),"")</f>
        <v/>
      </c>
      <c r="BW14" s="8" t="str">
        <f t="shared" si="23"/>
        <v/>
      </c>
      <c r="BX14" s="8" t="str">
        <f>IFERROR(VLOOKUP($B$5:$B$199,'[2]25'!$B$5:$D$200,3,0),"")</f>
        <v/>
      </c>
      <c r="BY14" s="8" t="str">
        <f>IFERROR(VLOOKUP($B$5:$B$199,'[2]25'!$B$5:$G$200,6,0),"")</f>
        <v/>
      </c>
      <c r="BZ14" s="8" t="str">
        <f t="shared" si="24"/>
        <v/>
      </c>
      <c r="CA14" s="8" t="str">
        <f>IFERROR(VLOOKUP($B$5:$B$199,'[2]26'!$B$5:$D$200,3,0),"")</f>
        <v/>
      </c>
      <c r="CB14" s="8" t="str">
        <f>IFERROR(VLOOKUP($B$5:$B$199,'[2]26'!$B$5:$G$200,6,0),"")</f>
        <v/>
      </c>
      <c r="CC14" s="8" t="str">
        <f t="shared" si="25"/>
        <v/>
      </c>
      <c r="CD14" s="8" t="str">
        <f>IFERROR(VLOOKUP($B$5:$B$199,'[2]27'!$B$5:$D$200,3,0),"")</f>
        <v/>
      </c>
      <c r="CE14" s="8" t="str">
        <f>IFERROR(VLOOKUP($B$5:$B$199,'[2]27'!$B$5:$G$200,6,0),"")</f>
        <v/>
      </c>
      <c r="CF14" s="8" t="str">
        <f t="shared" si="26"/>
        <v/>
      </c>
      <c r="CG14" s="8" t="str">
        <f>IFERROR(VLOOKUP($B$5:$B$199,'[2]28'!$B$5:$D$200,3,0),"")</f>
        <v/>
      </c>
      <c r="CH14" s="8" t="str">
        <f>IFERROR(VLOOKUP($B$5:$B$199,'[2]28'!$B$5:$G$200,6,0),"")</f>
        <v/>
      </c>
      <c r="CI14" s="8" t="str">
        <f t="shared" si="27"/>
        <v/>
      </c>
      <c r="CJ14" s="8" t="str">
        <f>IFERROR(VLOOKUP($B$5:$B$199,'[2]29'!$B$5:$D$200,3,0),"")</f>
        <v/>
      </c>
      <c r="CK14" s="8" t="str">
        <f>IFERROR(VLOOKUP($B$5:$B$199,'[2]29'!$B$5:$G$200,6,0),"")</f>
        <v/>
      </c>
      <c r="CL14" s="8" t="str">
        <f t="shared" si="28"/>
        <v/>
      </c>
      <c r="CM14" s="8" t="str">
        <f>IFERROR(VLOOKUP($B$5:$B$199,'[2]30'!$B$5:$D$200,3,0),"")</f>
        <v/>
      </c>
      <c r="CN14" s="8" t="str">
        <f>IFERROR(VLOOKUP($B$5:$B$199,'[2]30'!$B$5:$G$200,6,0),"")</f>
        <v/>
      </c>
      <c r="CO14" s="8" t="str">
        <f t="shared" si="29"/>
        <v/>
      </c>
      <c r="CP14" s="8" t="str">
        <f>IFERROR(VLOOKUP($B$5:$B$199,'[2]31'!$B$5:$D$200,3,0),"")</f>
        <v/>
      </c>
      <c r="CQ14" s="8" t="str">
        <f>IFERROR(VLOOKUP($B$5:$B$199,'[2]31'!$B$5:$G$200,6,0),"")</f>
        <v/>
      </c>
      <c r="CR14" s="8" t="str">
        <f t="shared" si="30"/>
        <v/>
      </c>
      <c r="CT14" s="3">
        <f t="shared" si="31"/>
        <v>23</v>
      </c>
      <c r="CU14" s="3">
        <f t="shared" si="32"/>
        <v>41373.786516490669</v>
      </c>
      <c r="CV14" s="3">
        <f t="shared" si="33"/>
        <v>951597.08987928543</v>
      </c>
      <c r="CX14">
        <f t="shared" si="34"/>
        <v>3</v>
      </c>
    </row>
    <row r="15" spans="2:102" x14ac:dyDescent="0.25">
      <c r="B15" s="7" t="s">
        <v>89</v>
      </c>
      <c r="C15" s="7" t="str">
        <f>VLOOKUP($B15,DBASE!$C$7:$D$403,2,0)</f>
        <v>SIIP COKLAT 500</v>
      </c>
      <c r="D15" s="8" t="str">
        <f>IFERROR(VLOOKUP($B$5:$B$199,'[2]1'!$B$5:$D$200,3,0),"")</f>
        <v/>
      </c>
      <c r="E15" s="8" t="str">
        <f>IFERROR(VLOOKUP($B$5:$B$199,'[2]1'!$B$5:$G$200,6,0),"")</f>
        <v/>
      </c>
      <c r="F15" s="8" t="str">
        <f t="shared" si="0"/>
        <v/>
      </c>
      <c r="G15" s="8" t="str">
        <f>IFERROR(VLOOKUP($B$5:$B$199,'[2]2'!$B$5:$D$200,3,0),"")</f>
        <v/>
      </c>
      <c r="H15" s="8" t="str">
        <f>IFERROR(VLOOKUP($B$5:$B$199,'[2]2'!$B$5:$G$200,6,0),"")</f>
        <v/>
      </c>
      <c r="I15" s="8" t="str">
        <f t="shared" si="1"/>
        <v/>
      </c>
      <c r="J15" s="8" t="str">
        <f>IFERROR(VLOOKUP($B$5:$B$199,'[2]3'!$B$5:$D$200,3,0),"")</f>
        <v/>
      </c>
      <c r="K15" s="8" t="str">
        <f>IFERROR(VLOOKUP($B$5:$B$199,'[2]3'!$B$5:$G$200,6,0),"")</f>
        <v/>
      </c>
      <c r="L15" s="8" t="str">
        <f t="shared" si="2"/>
        <v/>
      </c>
      <c r="M15" s="8">
        <f>IFERROR(VLOOKUP($B$5:$B$199,'[2]4'!$B$5:$D$200,3,0),"")</f>
        <v>5</v>
      </c>
      <c r="N15" s="8">
        <f>IFERROR(VLOOKUP($B$5:$B$199,'[2]4'!$B$5:$G$200,6,0),"")</f>
        <v>41638.174760479043</v>
      </c>
      <c r="O15" s="8">
        <f t="shared" si="3"/>
        <v>208190.87380239522</v>
      </c>
      <c r="P15" s="8" t="str">
        <f>IFERROR(VLOOKUP($B$5:$B$199,'[2]5'!$B$5:$D$200,3,0),"")</f>
        <v/>
      </c>
      <c r="Q15" s="8" t="str">
        <f>IFERROR(VLOOKUP($B$5:$B$199,'[2]5'!$B$5:$G$200,6,0),"")</f>
        <v/>
      </c>
      <c r="R15" s="8" t="str">
        <f t="shared" si="4"/>
        <v/>
      </c>
      <c r="S15" s="8">
        <f>IFERROR(VLOOKUP($B$5:$B$199,'[2]6'!$B$5:$D$200,3,0),"")</f>
        <v>15</v>
      </c>
      <c r="T15" s="8">
        <f>IFERROR(VLOOKUP($B$5:$B$199,'[2]6'!$B$5:$G$200,6,0),"")</f>
        <v>41348.449885714283</v>
      </c>
      <c r="U15" s="8">
        <f t="shared" si="5"/>
        <v>620226.74828571419</v>
      </c>
      <c r="V15" s="8">
        <f>IFERROR(VLOOKUP($B$5:$B$199,'[2]7'!$B$5:$D$200,3,0),"")</f>
        <v>3</v>
      </c>
      <c r="W15" s="8">
        <f>IFERROR(VLOOKUP($B$5:$B$199,'[2]7'!$B$5:$G$200,6,0),"")</f>
        <v>41134.734903278688</v>
      </c>
      <c r="X15" s="8">
        <f t="shared" si="6"/>
        <v>123404.20470983606</v>
      </c>
      <c r="Y15" s="8" t="str">
        <f>IFERROR(VLOOKUP($B$5:$B$199,'[2]8'!$B$5:$D$200,3,0),"")</f>
        <v/>
      </c>
      <c r="Z15" s="8" t="str">
        <f>IFERROR(VLOOKUP($B$5:$B$199,'[2]8'!$B$5:$G$200,6,0),"")</f>
        <v/>
      </c>
      <c r="AA15" s="8" t="str">
        <f t="shared" si="7"/>
        <v/>
      </c>
      <c r="AB15" s="8" t="str">
        <f>IFERROR(VLOOKUP($B$5:$B$199,'[2]9'!$B$5:$D$200,3,0),"")</f>
        <v/>
      </c>
      <c r="AC15" s="8" t="str">
        <f>IFERROR(VLOOKUP($B$5:$B$199,'[2]9'!$B$5:$G$200,6,0),"")</f>
        <v/>
      </c>
      <c r="AD15" s="8" t="str">
        <f t="shared" si="8"/>
        <v/>
      </c>
      <c r="AE15" s="8" t="str">
        <f>IFERROR(VLOOKUP($B$5:$B$199,'[2]10'!$B$5:$D$200,3,0),"")</f>
        <v/>
      </c>
      <c r="AF15" s="8" t="str">
        <f>IFERROR(VLOOKUP($B$5:$B$199,'[2]10'!$B$5:$G$200,6,0),"")</f>
        <v/>
      </c>
      <c r="AG15" s="8" t="str">
        <f t="shared" si="9"/>
        <v/>
      </c>
      <c r="AH15" s="8" t="str">
        <f>IFERROR(VLOOKUP($B$5:$B$199,'[2]11'!$B$5:$D$200,3,0),"")</f>
        <v/>
      </c>
      <c r="AI15" s="8" t="str">
        <f>IFERROR(VLOOKUP($B$5:$B$199,'[2]11'!$B$5:$G$200,6,0),"")</f>
        <v/>
      </c>
      <c r="AJ15" s="8" t="str">
        <f t="shared" si="10"/>
        <v/>
      </c>
      <c r="AK15" s="8" t="str">
        <f>IFERROR(VLOOKUP($B$5:$B$199,'[2]12'!$B$5:$D$200,3,0),"")</f>
        <v/>
      </c>
      <c r="AL15" s="8" t="str">
        <f>IFERROR(VLOOKUP($B$5:$B$199,'[2]12'!$B$5:$G$200,6,0),"")</f>
        <v/>
      </c>
      <c r="AM15" s="8" t="str">
        <f t="shared" si="11"/>
        <v/>
      </c>
      <c r="AN15" s="8" t="str">
        <f>IFERROR(VLOOKUP($B$5:$B$199,'[2]13'!$B$5:$D$200,3,0),"")</f>
        <v/>
      </c>
      <c r="AO15" s="8" t="str">
        <f>IFERROR(VLOOKUP($B$5:$B$199,'[2]13'!$B$5:$G$200,6,0),"")</f>
        <v/>
      </c>
      <c r="AP15" s="8" t="str">
        <f t="shared" si="12"/>
        <v/>
      </c>
      <c r="AQ15" s="8" t="str">
        <f>IFERROR(VLOOKUP($B$5:$B$199,'[2]14'!$B$5:$D$200,3,0),"")</f>
        <v/>
      </c>
      <c r="AR15" s="8" t="str">
        <f>IFERROR(VLOOKUP($B$5:$B$199,'[2]14'!$B$5:$G$200,6,0),"")</f>
        <v/>
      </c>
      <c r="AS15" s="8" t="str">
        <f t="shared" si="13"/>
        <v/>
      </c>
      <c r="AT15" s="8" t="str">
        <f>IFERROR(VLOOKUP($B$5:$B$199,'[2]15'!$B$5:$D$200,3,0),"")</f>
        <v/>
      </c>
      <c r="AU15" s="8" t="str">
        <f>IFERROR(VLOOKUP($B$5:$B$199,'[2]15'!$B$5:$G$200,6,0),"")</f>
        <v/>
      </c>
      <c r="AV15" s="8" t="str">
        <f t="shared" si="14"/>
        <v/>
      </c>
      <c r="AW15" s="8" t="str">
        <f>IFERROR(VLOOKUP($B$5:$B$199,'[2]16'!$B$5:$D$200,3,0),"")</f>
        <v/>
      </c>
      <c r="AX15" s="8" t="str">
        <f>IFERROR(VLOOKUP($B$5:$B$199,'[2]16'!$B$5:$G$200,6,0),"")</f>
        <v/>
      </c>
      <c r="AY15" s="8" t="str">
        <f t="shared" si="15"/>
        <v/>
      </c>
      <c r="AZ15" s="8" t="str">
        <f>IFERROR(VLOOKUP($B$5:$B$199,'[2]17'!$B$5:$D$200,3,0),"")</f>
        <v/>
      </c>
      <c r="BA15" s="8" t="str">
        <f>IFERROR(VLOOKUP($B$5:$B$199,'[2]17'!$B$5:$G$200,6,0),"")</f>
        <v/>
      </c>
      <c r="BB15" s="8" t="str">
        <f t="shared" si="16"/>
        <v/>
      </c>
      <c r="BC15" s="8" t="str">
        <f>IFERROR(VLOOKUP($B$5:$B$199,'[2]18'!$B$5:$D$200,3,0),"")</f>
        <v/>
      </c>
      <c r="BD15" s="8" t="str">
        <f>IFERROR(VLOOKUP($B$5:$B$199,'[2]18'!$B$5:$G$200,6,0),"")</f>
        <v/>
      </c>
      <c r="BE15" s="8" t="str">
        <f t="shared" si="17"/>
        <v/>
      </c>
      <c r="BF15" s="8" t="str">
        <f>IFERROR(VLOOKUP($B$5:$B$199,'[2]19'!$B$5:$D$200,3,0),"")</f>
        <v/>
      </c>
      <c r="BG15" s="8" t="str">
        <f>IFERROR(VLOOKUP($B$5:$B$199,'[2]19'!$B$5:$G$200,6,0),"")</f>
        <v/>
      </c>
      <c r="BH15" s="8" t="str">
        <f t="shared" si="18"/>
        <v/>
      </c>
      <c r="BI15" s="8" t="str">
        <f>IFERROR(VLOOKUP($B$5:$B$199,'[2]20'!$B$5:$D$200,3,0),"")</f>
        <v/>
      </c>
      <c r="BJ15" s="8" t="str">
        <f>IFERROR(VLOOKUP($B$5:$B$199,'[2]20'!$B$5:$G$200,6,0),"")</f>
        <v/>
      </c>
      <c r="BK15" s="8" t="str">
        <f t="shared" si="19"/>
        <v/>
      </c>
      <c r="BL15" s="8" t="str">
        <f>IFERROR(VLOOKUP($B$5:$B$199,'[2]21'!$B$5:$D$200,3,0),"")</f>
        <v/>
      </c>
      <c r="BM15" s="8" t="str">
        <f>IFERROR(VLOOKUP($B$5:$B$199,'[2]21'!$B$5:$G$200,6,0),"")</f>
        <v/>
      </c>
      <c r="BN15" s="8" t="str">
        <f t="shared" si="20"/>
        <v/>
      </c>
      <c r="BO15" s="8" t="str">
        <f>IFERROR(VLOOKUP($B$5:$B$199,'[2]22'!$B$5:$D$200,3,0),"")</f>
        <v/>
      </c>
      <c r="BP15" s="8" t="str">
        <f>IFERROR(VLOOKUP($B$5:$B$199,'[2]22'!$B$5:$G$200,6,0),"")</f>
        <v/>
      </c>
      <c r="BQ15" s="8" t="str">
        <f t="shared" si="21"/>
        <v/>
      </c>
      <c r="BR15" s="8" t="str">
        <f>IFERROR(VLOOKUP($B$5:$B$199,'[2]23'!$B$5:$D$200,3,0),"")</f>
        <v/>
      </c>
      <c r="BS15" s="8" t="str">
        <f>IFERROR(VLOOKUP($B$5:$B$199,'[2]23'!$B$5:$G$200,6,0),"")</f>
        <v/>
      </c>
      <c r="BT15" s="8" t="str">
        <f t="shared" si="22"/>
        <v/>
      </c>
      <c r="BU15" s="8" t="str">
        <f>IFERROR(VLOOKUP($B$5:$B$199,'[2]24'!$B$5:$D$200,3,0),"")</f>
        <v/>
      </c>
      <c r="BV15" s="8" t="str">
        <f>IFERROR(VLOOKUP($B$5:$B$199,'[2]24'!$B$5:$G$200,6,0),"")</f>
        <v/>
      </c>
      <c r="BW15" s="8" t="str">
        <f t="shared" si="23"/>
        <v/>
      </c>
      <c r="BX15" s="8" t="str">
        <f>IFERROR(VLOOKUP($B$5:$B$199,'[2]25'!$B$5:$D$200,3,0),"")</f>
        <v/>
      </c>
      <c r="BY15" s="8" t="str">
        <f>IFERROR(VLOOKUP($B$5:$B$199,'[2]25'!$B$5:$G$200,6,0),"")</f>
        <v/>
      </c>
      <c r="BZ15" s="8" t="str">
        <f t="shared" si="24"/>
        <v/>
      </c>
      <c r="CA15" s="8" t="str">
        <f>IFERROR(VLOOKUP($B$5:$B$199,'[2]26'!$B$5:$D$200,3,0),"")</f>
        <v/>
      </c>
      <c r="CB15" s="8" t="str">
        <f>IFERROR(VLOOKUP($B$5:$B$199,'[2]26'!$B$5:$G$200,6,0),"")</f>
        <v/>
      </c>
      <c r="CC15" s="8" t="str">
        <f t="shared" si="25"/>
        <v/>
      </c>
      <c r="CD15" s="8" t="str">
        <f>IFERROR(VLOOKUP($B$5:$B$199,'[2]27'!$B$5:$D$200,3,0),"")</f>
        <v/>
      </c>
      <c r="CE15" s="8" t="str">
        <f>IFERROR(VLOOKUP($B$5:$B$199,'[2]27'!$B$5:$G$200,6,0),"")</f>
        <v/>
      </c>
      <c r="CF15" s="8" t="str">
        <f t="shared" si="26"/>
        <v/>
      </c>
      <c r="CG15" s="8" t="str">
        <f>IFERROR(VLOOKUP($B$5:$B$199,'[2]28'!$B$5:$D$200,3,0),"")</f>
        <v/>
      </c>
      <c r="CH15" s="8" t="str">
        <f>IFERROR(VLOOKUP($B$5:$B$199,'[2]28'!$B$5:$G$200,6,0),"")</f>
        <v/>
      </c>
      <c r="CI15" s="8" t="str">
        <f t="shared" si="27"/>
        <v/>
      </c>
      <c r="CJ15" s="8" t="str">
        <f>IFERROR(VLOOKUP($B$5:$B$199,'[2]29'!$B$5:$D$200,3,0),"")</f>
        <v/>
      </c>
      <c r="CK15" s="8" t="str">
        <f>IFERROR(VLOOKUP($B$5:$B$199,'[2]29'!$B$5:$G$200,6,0),"")</f>
        <v/>
      </c>
      <c r="CL15" s="8" t="str">
        <f t="shared" si="28"/>
        <v/>
      </c>
      <c r="CM15" s="8" t="str">
        <f>IFERROR(VLOOKUP($B$5:$B$199,'[2]30'!$B$5:$D$200,3,0),"")</f>
        <v/>
      </c>
      <c r="CN15" s="8" t="str">
        <f>IFERROR(VLOOKUP($B$5:$B$199,'[2]30'!$B$5:$G$200,6,0),"")</f>
        <v/>
      </c>
      <c r="CO15" s="8" t="str">
        <f t="shared" si="29"/>
        <v/>
      </c>
      <c r="CP15" s="8" t="str">
        <f>IFERROR(VLOOKUP($B$5:$B$199,'[2]31'!$B$5:$D$200,3,0),"")</f>
        <v/>
      </c>
      <c r="CQ15" s="8" t="str">
        <f>IFERROR(VLOOKUP($B$5:$B$199,'[2]31'!$B$5:$G$200,6,0),"")</f>
        <v/>
      </c>
      <c r="CR15" s="8" t="str">
        <f t="shared" si="30"/>
        <v/>
      </c>
      <c r="CT15" s="3">
        <f t="shared" si="31"/>
        <v>23</v>
      </c>
      <c r="CU15" s="3">
        <f t="shared" si="32"/>
        <v>41373.786516490669</v>
      </c>
      <c r="CV15" s="3">
        <f t="shared" si="33"/>
        <v>951597.08987928543</v>
      </c>
      <c r="CX15">
        <f t="shared" si="34"/>
        <v>3</v>
      </c>
    </row>
    <row r="16" spans="2:102" x14ac:dyDescent="0.25">
      <c r="B16" s="7" t="s">
        <v>67</v>
      </c>
      <c r="C16" s="7" t="str">
        <f>VLOOKUP($B16,DBASE!$C$7:$D$403,2,0)</f>
        <v>SIIP KEJU 2000</v>
      </c>
      <c r="D16" s="8" t="str">
        <f>IFERROR(VLOOKUP($B$5:$B$199,'[2]1'!$B$5:$D$200,3,0),"")</f>
        <v/>
      </c>
      <c r="E16" s="8" t="str">
        <f>IFERROR(VLOOKUP($B$5:$B$199,'[2]1'!$B$5:$G$200,6,0),"")</f>
        <v/>
      </c>
      <c r="F16" s="8" t="str">
        <f t="shared" si="0"/>
        <v/>
      </c>
      <c r="G16" s="8" t="str">
        <f>IFERROR(VLOOKUP($B$5:$B$199,'[2]2'!$B$5:$D$200,3,0),"")</f>
        <v/>
      </c>
      <c r="H16" s="8" t="str">
        <f>IFERROR(VLOOKUP($B$5:$B$199,'[2]2'!$B$5:$G$200,6,0),"")</f>
        <v/>
      </c>
      <c r="I16" s="8" t="str">
        <f t="shared" si="1"/>
        <v/>
      </c>
      <c r="J16" s="8" t="str">
        <f>IFERROR(VLOOKUP($B$5:$B$199,'[2]3'!$B$5:$D$200,3,0),"")</f>
        <v/>
      </c>
      <c r="K16" s="8" t="str">
        <f>IFERROR(VLOOKUP($B$5:$B$199,'[2]3'!$B$5:$G$200,6,0),"")</f>
        <v/>
      </c>
      <c r="L16" s="8" t="str">
        <f t="shared" si="2"/>
        <v/>
      </c>
      <c r="M16" s="8">
        <f>IFERROR(VLOOKUP($B$5:$B$199,'[2]4'!$B$5:$D$200,3,0),"")</f>
        <v>5</v>
      </c>
      <c r="N16" s="8">
        <f>IFERROR(VLOOKUP($B$5:$B$199,'[2]4'!$B$5:$G$200,6,0),"")</f>
        <v>42838.174760479043</v>
      </c>
      <c r="O16" s="8">
        <f t="shared" si="3"/>
        <v>214190.87380239522</v>
      </c>
      <c r="P16" s="8" t="str">
        <f>IFERROR(VLOOKUP($B$5:$B$199,'[2]5'!$B$5:$D$200,3,0),"")</f>
        <v/>
      </c>
      <c r="Q16" s="8" t="str">
        <f>IFERROR(VLOOKUP($B$5:$B$199,'[2]5'!$B$5:$G$200,6,0),"")</f>
        <v/>
      </c>
      <c r="R16" s="8" t="str">
        <f t="shared" si="4"/>
        <v/>
      </c>
      <c r="S16" s="8">
        <f>IFERROR(VLOOKUP($B$5:$B$199,'[2]6'!$B$5:$D$200,3,0),"")</f>
        <v>10</v>
      </c>
      <c r="T16" s="8">
        <f>IFERROR(VLOOKUP($B$5:$B$199,'[2]6'!$B$5:$G$200,6,0),"")</f>
        <v>42548.449885714283</v>
      </c>
      <c r="U16" s="8">
        <f t="shared" si="5"/>
        <v>425484.49885714281</v>
      </c>
      <c r="V16" s="8" t="str">
        <f>IFERROR(VLOOKUP($B$5:$B$199,'[2]7'!$B$5:$D$200,3,0),"")</f>
        <v/>
      </c>
      <c r="W16" s="8" t="str">
        <f>IFERROR(VLOOKUP($B$5:$B$199,'[2]7'!$B$5:$G$200,6,0),"")</f>
        <v/>
      </c>
      <c r="X16" s="8" t="str">
        <f t="shared" si="6"/>
        <v/>
      </c>
      <c r="Y16" s="8" t="str">
        <f>IFERROR(VLOOKUP($B$5:$B$199,'[2]8'!$B$5:$D$200,3,0),"")</f>
        <v/>
      </c>
      <c r="Z16" s="8" t="str">
        <f>IFERROR(VLOOKUP($B$5:$B$199,'[2]8'!$B$5:$G$200,6,0),"")</f>
        <v/>
      </c>
      <c r="AA16" s="8" t="str">
        <f t="shared" si="7"/>
        <v/>
      </c>
      <c r="AB16" s="8" t="str">
        <f>IFERROR(VLOOKUP($B$5:$B$199,'[2]9'!$B$5:$D$200,3,0),"")</f>
        <v/>
      </c>
      <c r="AC16" s="8" t="str">
        <f>IFERROR(VLOOKUP($B$5:$B$199,'[2]9'!$B$5:$G$200,6,0),"")</f>
        <v/>
      </c>
      <c r="AD16" s="8" t="str">
        <f t="shared" si="8"/>
        <v/>
      </c>
      <c r="AE16" s="8" t="str">
        <f>IFERROR(VLOOKUP($B$5:$B$199,'[2]10'!$B$5:$D$200,3,0),"")</f>
        <v/>
      </c>
      <c r="AF16" s="8" t="str">
        <f>IFERROR(VLOOKUP($B$5:$B$199,'[2]10'!$B$5:$G$200,6,0),"")</f>
        <v/>
      </c>
      <c r="AG16" s="8" t="str">
        <f t="shared" si="9"/>
        <v/>
      </c>
      <c r="AH16" s="8" t="str">
        <f>IFERROR(VLOOKUP($B$5:$B$199,'[2]11'!$B$5:$D$200,3,0),"")</f>
        <v/>
      </c>
      <c r="AI16" s="8" t="str">
        <f>IFERROR(VLOOKUP($B$5:$B$199,'[2]11'!$B$5:$G$200,6,0),"")</f>
        <v/>
      </c>
      <c r="AJ16" s="8" t="str">
        <f t="shared" si="10"/>
        <v/>
      </c>
      <c r="AK16" s="8" t="str">
        <f>IFERROR(VLOOKUP($B$5:$B$199,'[2]12'!$B$5:$D$200,3,0),"")</f>
        <v/>
      </c>
      <c r="AL16" s="8" t="str">
        <f>IFERROR(VLOOKUP($B$5:$B$199,'[2]12'!$B$5:$G$200,6,0),"")</f>
        <v/>
      </c>
      <c r="AM16" s="8" t="str">
        <f t="shared" si="11"/>
        <v/>
      </c>
      <c r="AN16" s="8" t="str">
        <f>IFERROR(VLOOKUP($B$5:$B$199,'[2]13'!$B$5:$D$200,3,0),"")</f>
        <v/>
      </c>
      <c r="AO16" s="8" t="str">
        <f>IFERROR(VLOOKUP($B$5:$B$199,'[2]13'!$B$5:$G$200,6,0),"")</f>
        <v/>
      </c>
      <c r="AP16" s="8" t="str">
        <f t="shared" si="12"/>
        <v/>
      </c>
      <c r="AQ16" s="8" t="str">
        <f>IFERROR(VLOOKUP($B$5:$B$199,'[2]14'!$B$5:$D$200,3,0),"")</f>
        <v/>
      </c>
      <c r="AR16" s="8" t="str">
        <f>IFERROR(VLOOKUP($B$5:$B$199,'[2]14'!$B$5:$G$200,6,0),"")</f>
        <v/>
      </c>
      <c r="AS16" s="8" t="str">
        <f t="shared" si="13"/>
        <v/>
      </c>
      <c r="AT16" s="8" t="str">
        <f>IFERROR(VLOOKUP($B$5:$B$199,'[2]15'!$B$5:$D$200,3,0),"")</f>
        <v/>
      </c>
      <c r="AU16" s="8" t="str">
        <f>IFERROR(VLOOKUP($B$5:$B$199,'[2]15'!$B$5:$G$200,6,0),"")</f>
        <v/>
      </c>
      <c r="AV16" s="8" t="str">
        <f t="shared" si="14"/>
        <v/>
      </c>
      <c r="AW16" s="8" t="str">
        <f>IFERROR(VLOOKUP($B$5:$B$199,'[2]16'!$B$5:$D$200,3,0),"")</f>
        <v/>
      </c>
      <c r="AX16" s="8" t="str">
        <f>IFERROR(VLOOKUP($B$5:$B$199,'[2]16'!$B$5:$G$200,6,0),"")</f>
        <v/>
      </c>
      <c r="AY16" s="8" t="str">
        <f t="shared" si="15"/>
        <v/>
      </c>
      <c r="AZ16" s="8" t="str">
        <f>IFERROR(VLOOKUP($B$5:$B$199,'[2]17'!$B$5:$D$200,3,0),"")</f>
        <v/>
      </c>
      <c r="BA16" s="8" t="str">
        <f>IFERROR(VLOOKUP($B$5:$B$199,'[2]17'!$B$5:$G$200,6,0),"")</f>
        <v/>
      </c>
      <c r="BB16" s="8" t="str">
        <f t="shared" si="16"/>
        <v/>
      </c>
      <c r="BC16" s="8" t="str">
        <f>IFERROR(VLOOKUP($B$5:$B$199,'[2]18'!$B$5:$D$200,3,0),"")</f>
        <v/>
      </c>
      <c r="BD16" s="8" t="str">
        <f>IFERROR(VLOOKUP($B$5:$B$199,'[2]18'!$B$5:$G$200,6,0),"")</f>
        <v/>
      </c>
      <c r="BE16" s="8" t="str">
        <f t="shared" si="17"/>
        <v/>
      </c>
      <c r="BF16" s="8" t="str">
        <f>IFERROR(VLOOKUP($B$5:$B$199,'[2]19'!$B$5:$D$200,3,0),"")</f>
        <v/>
      </c>
      <c r="BG16" s="8" t="str">
        <f>IFERROR(VLOOKUP($B$5:$B$199,'[2]19'!$B$5:$G$200,6,0),"")</f>
        <v/>
      </c>
      <c r="BH16" s="8" t="str">
        <f t="shared" si="18"/>
        <v/>
      </c>
      <c r="BI16" s="8" t="str">
        <f>IFERROR(VLOOKUP($B$5:$B$199,'[2]20'!$B$5:$D$200,3,0),"")</f>
        <v/>
      </c>
      <c r="BJ16" s="8" t="str">
        <f>IFERROR(VLOOKUP($B$5:$B$199,'[2]20'!$B$5:$G$200,6,0),"")</f>
        <v/>
      </c>
      <c r="BK16" s="8" t="str">
        <f t="shared" si="19"/>
        <v/>
      </c>
      <c r="BL16" s="8" t="str">
        <f>IFERROR(VLOOKUP($B$5:$B$199,'[2]21'!$B$5:$D$200,3,0),"")</f>
        <v/>
      </c>
      <c r="BM16" s="8" t="str">
        <f>IFERROR(VLOOKUP($B$5:$B$199,'[2]21'!$B$5:$G$200,6,0),"")</f>
        <v/>
      </c>
      <c r="BN16" s="8" t="str">
        <f t="shared" si="20"/>
        <v/>
      </c>
      <c r="BO16" s="8" t="str">
        <f>IFERROR(VLOOKUP($B$5:$B$199,'[2]22'!$B$5:$D$200,3,0),"")</f>
        <v/>
      </c>
      <c r="BP16" s="8" t="str">
        <f>IFERROR(VLOOKUP($B$5:$B$199,'[2]22'!$B$5:$G$200,6,0),"")</f>
        <v/>
      </c>
      <c r="BQ16" s="8" t="str">
        <f t="shared" si="21"/>
        <v/>
      </c>
      <c r="BR16" s="8" t="str">
        <f>IFERROR(VLOOKUP($B$5:$B$199,'[2]23'!$B$5:$D$200,3,0),"")</f>
        <v/>
      </c>
      <c r="BS16" s="8" t="str">
        <f>IFERROR(VLOOKUP($B$5:$B$199,'[2]23'!$B$5:$G$200,6,0),"")</f>
        <v/>
      </c>
      <c r="BT16" s="8" t="str">
        <f t="shared" si="22"/>
        <v/>
      </c>
      <c r="BU16" s="8" t="str">
        <f>IFERROR(VLOOKUP($B$5:$B$199,'[2]24'!$B$5:$D$200,3,0),"")</f>
        <v/>
      </c>
      <c r="BV16" s="8" t="str">
        <f>IFERROR(VLOOKUP($B$5:$B$199,'[2]24'!$B$5:$G$200,6,0),"")</f>
        <v/>
      </c>
      <c r="BW16" s="8" t="str">
        <f t="shared" si="23"/>
        <v/>
      </c>
      <c r="BX16" s="8" t="str">
        <f>IFERROR(VLOOKUP($B$5:$B$199,'[2]25'!$B$5:$D$200,3,0),"")</f>
        <v/>
      </c>
      <c r="BY16" s="8" t="str">
        <f>IFERROR(VLOOKUP($B$5:$B$199,'[2]25'!$B$5:$G$200,6,0),"")</f>
        <v/>
      </c>
      <c r="BZ16" s="8" t="str">
        <f t="shared" si="24"/>
        <v/>
      </c>
      <c r="CA16" s="8" t="str">
        <f>IFERROR(VLOOKUP($B$5:$B$199,'[2]26'!$B$5:$D$200,3,0),"")</f>
        <v/>
      </c>
      <c r="CB16" s="8" t="str">
        <f>IFERROR(VLOOKUP($B$5:$B$199,'[2]26'!$B$5:$G$200,6,0),"")</f>
        <v/>
      </c>
      <c r="CC16" s="8" t="str">
        <f t="shared" si="25"/>
        <v/>
      </c>
      <c r="CD16" s="8" t="str">
        <f>IFERROR(VLOOKUP($B$5:$B$199,'[2]27'!$B$5:$D$200,3,0),"")</f>
        <v/>
      </c>
      <c r="CE16" s="8" t="str">
        <f>IFERROR(VLOOKUP($B$5:$B$199,'[2]27'!$B$5:$G$200,6,0),"")</f>
        <v/>
      </c>
      <c r="CF16" s="8" t="str">
        <f t="shared" si="26"/>
        <v/>
      </c>
      <c r="CG16" s="8" t="str">
        <f>IFERROR(VLOOKUP($B$5:$B$199,'[2]28'!$B$5:$D$200,3,0),"")</f>
        <v/>
      </c>
      <c r="CH16" s="8" t="str">
        <f>IFERROR(VLOOKUP($B$5:$B$199,'[2]28'!$B$5:$G$200,6,0),"")</f>
        <v/>
      </c>
      <c r="CI16" s="8" t="str">
        <f t="shared" si="27"/>
        <v/>
      </c>
      <c r="CJ16" s="8" t="str">
        <f>IFERROR(VLOOKUP($B$5:$B$199,'[2]29'!$B$5:$D$200,3,0),"")</f>
        <v/>
      </c>
      <c r="CK16" s="8" t="str">
        <f>IFERROR(VLOOKUP($B$5:$B$199,'[2]29'!$B$5:$G$200,6,0),"")</f>
        <v/>
      </c>
      <c r="CL16" s="8" t="str">
        <f t="shared" si="28"/>
        <v/>
      </c>
      <c r="CM16" s="8" t="str">
        <f>IFERROR(VLOOKUP($B$5:$B$199,'[2]30'!$B$5:$D$200,3,0),"")</f>
        <v/>
      </c>
      <c r="CN16" s="8" t="str">
        <f>IFERROR(VLOOKUP($B$5:$B$199,'[2]30'!$B$5:$G$200,6,0),"")</f>
        <v/>
      </c>
      <c r="CO16" s="8" t="str">
        <f t="shared" si="29"/>
        <v/>
      </c>
      <c r="CP16" s="8" t="str">
        <f>IFERROR(VLOOKUP($B$5:$B$199,'[2]31'!$B$5:$D$200,3,0),"")</f>
        <v/>
      </c>
      <c r="CQ16" s="8" t="str">
        <f>IFERROR(VLOOKUP($B$5:$B$199,'[2]31'!$B$5:$G$200,6,0),"")</f>
        <v/>
      </c>
      <c r="CR16" s="8" t="str">
        <f t="shared" si="30"/>
        <v/>
      </c>
      <c r="CT16" s="3">
        <f t="shared" si="31"/>
        <v>15</v>
      </c>
      <c r="CU16" s="3">
        <f t="shared" si="32"/>
        <v>42693.312323096659</v>
      </c>
      <c r="CV16" s="3">
        <f t="shared" si="33"/>
        <v>640399.68484644988</v>
      </c>
      <c r="CX16">
        <f t="shared" si="34"/>
        <v>2</v>
      </c>
    </row>
    <row r="17" spans="2:102" x14ac:dyDescent="0.25">
      <c r="B17" s="7" t="s">
        <v>68</v>
      </c>
      <c r="C17" s="7" t="str">
        <f>VLOOKUP($B17,DBASE!$C$7:$D$403,2,0)</f>
        <v>SIIP JAGUNG 2000</v>
      </c>
      <c r="D17" s="8" t="str">
        <f>IFERROR(VLOOKUP($B$5:$B$199,'[2]1'!$B$5:$D$200,3,0),"")</f>
        <v/>
      </c>
      <c r="E17" s="8" t="str">
        <f>IFERROR(VLOOKUP($B$5:$B$199,'[2]1'!$B$5:$G$200,6,0),"")</f>
        <v/>
      </c>
      <c r="F17" s="8" t="str">
        <f t="shared" si="0"/>
        <v/>
      </c>
      <c r="G17" s="8" t="str">
        <f>IFERROR(VLOOKUP($B$5:$B$199,'[2]2'!$B$5:$D$200,3,0),"")</f>
        <v/>
      </c>
      <c r="H17" s="8" t="str">
        <f>IFERROR(VLOOKUP($B$5:$B$199,'[2]2'!$B$5:$G$200,6,0),"")</f>
        <v/>
      </c>
      <c r="I17" s="8" t="str">
        <f t="shared" si="1"/>
        <v/>
      </c>
      <c r="J17" s="8" t="str">
        <f>IFERROR(VLOOKUP($B$5:$B$199,'[2]3'!$B$5:$D$200,3,0),"")</f>
        <v/>
      </c>
      <c r="K17" s="8" t="str">
        <f>IFERROR(VLOOKUP($B$5:$B$199,'[2]3'!$B$5:$G$200,6,0),"")</f>
        <v/>
      </c>
      <c r="L17" s="8" t="str">
        <f t="shared" si="2"/>
        <v/>
      </c>
      <c r="M17" s="8">
        <f>IFERROR(VLOOKUP($B$5:$B$199,'[2]4'!$B$5:$D$200,3,0),"")</f>
        <v>5</v>
      </c>
      <c r="N17" s="8">
        <f>IFERROR(VLOOKUP($B$5:$B$199,'[2]4'!$B$5:$G$200,6,0),"")</f>
        <v>42838.174760479043</v>
      </c>
      <c r="O17" s="8">
        <f t="shared" si="3"/>
        <v>214190.87380239522</v>
      </c>
      <c r="P17" s="8" t="str">
        <f>IFERROR(VLOOKUP($B$5:$B$199,'[2]5'!$B$5:$D$200,3,0),"")</f>
        <v/>
      </c>
      <c r="Q17" s="8" t="str">
        <f>IFERROR(VLOOKUP($B$5:$B$199,'[2]5'!$B$5:$G$200,6,0),"")</f>
        <v/>
      </c>
      <c r="R17" s="8" t="str">
        <f t="shared" si="4"/>
        <v/>
      </c>
      <c r="S17" s="8">
        <f>IFERROR(VLOOKUP($B$5:$B$199,'[2]6'!$B$5:$D$200,3,0),"")</f>
        <v>10</v>
      </c>
      <c r="T17" s="8">
        <f>IFERROR(VLOOKUP($B$5:$B$199,'[2]6'!$B$5:$G$200,6,0),"")</f>
        <v>42548.449885714283</v>
      </c>
      <c r="U17" s="8">
        <f t="shared" si="5"/>
        <v>425484.49885714281</v>
      </c>
      <c r="V17" s="8" t="str">
        <f>IFERROR(VLOOKUP($B$5:$B$199,'[2]7'!$B$5:$D$200,3,0),"")</f>
        <v/>
      </c>
      <c r="W17" s="8" t="str">
        <f>IFERROR(VLOOKUP($B$5:$B$199,'[2]7'!$B$5:$G$200,6,0),"")</f>
        <v/>
      </c>
      <c r="X17" s="8" t="str">
        <f t="shared" si="6"/>
        <v/>
      </c>
      <c r="Y17" s="8" t="str">
        <f>IFERROR(VLOOKUP($B$5:$B$199,'[2]8'!$B$5:$D$200,3,0),"")</f>
        <v/>
      </c>
      <c r="Z17" s="8" t="str">
        <f>IFERROR(VLOOKUP($B$5:$B$199,'[2]8'!$B$5:$G$200,6,0),"")</f>
        <v/>
      </c>
      <c r="AA17" s="8" t="str">
        <f t="shared" si="7"/>
        <v/>
      </c>
      <c r="AB17" s="8" t="str">
        <f>IFERROR(VLOOKUP($B$5:$B$199,'[2]9'!$B$5:$D$200,3,0),"")</f>
        <v/>
      </c>
      <c r="AC17" s="8" t="str">
        <f>IFERROR(VLOOKUP($B$5:$B$199,'[2]9'!$B$5:$G$200,6,0),"")</f>
        <v/>
      </c>
      <c r="AD17" s="8" t="str">
        <f t="shared" si="8"/>
        <v/>
      </c>
      <c r="AE17" s="8" t="str">
        <f>IFERROR(VLOOKUP($B$5:$B$199,'[2]10'!$B$5:$D$200,3,0),"")</f>
        <v/>
      </c>
      <c r="AF17" s="8" t="str">
        <f>IFERROR(VLOOKUP($B$5:$B$199,'[2]10'!$B$5:$G$200,6,0),"")</f>
        <v/>
      </c>
      <c r="AG17" s="8" t="str">
        <f t="shared" si="9"/>
        <v/>
      </c>
      <c r="AH17" s="8" t="str">
        <f>IFERROR(VLOOKUP($B$5:$B$199,'[2]11'!$B$5:$D$200,3,0),"")</f>
        <v/>
      </c>
      <c r="AI17" s="8" t="str">
        <f>IFERROR(VLOOKUP($B$5:$B$199,'[2]11'!$B$5:$G$200,6,0),"")</f>
        <v/>
      </c>
      <c r="AJ17" s="8" t="str">
        <f t="shared" si="10"/>
        <v/>
      </c>
      <c r="AK17" s="8" t="str">
        <f>IFERROR(VLOOKUP($B$5:$B$199,'[2]12'!$B$5:$D$200,3,0),"")</f>
        <v/>
      </c>
      <c r="AL17" s="8" t="str">
        <f>IFERROR(VLOOKUP($B$5:$B$199,'[2]12'!$B$5:$G$200,6,0),"")</f>
        <v/>
      </c>
      <c r="AM17" s="8" t="str">
        <f t="shared" si="11"/>
        <v/>
      </c>
      <c r="AN17" s="8" t="str">
        <f>IFERROR(VLOOKUP($B$5:$B$199,'[2]13'!$B$5:$D$200,3,0),"")</f>
        <v/>
      </c>
      <c r="AO17" s="8" t="str">
        <f>IFERROR(VLOOKUP($B$5:$B$199,'[2]13'!$B$5:$G$200,6,0),"")</f>
        <v/>
      </c>
      <c r="AP17" s="8" t="str">
        <f t="shared" si="12"/>
        <v/>
      </c>
      <c r="AQ17" s="8" t="str">
        <f>IFERROR(VLOOKUP($B$5:$B$199,'[2]14'!$B$5:$D$200,3,0),"")</f>
        <v/>
      </c>
      <c r="AR17" s="8" t="str">
        <f>IFERROR(VLOOKUP($B$5:$B$199,'[2]14'!$B$5:$G$200,6,0),"")</f>
        <v/>
      </c>
      <c r="AS17" s="8" t="str">
        <f t="shared" si="13"/>
        <v/>
      </c>
      <c r="AT17" s="8" t="str">
        <f>IFERROR(VLOOKUP($B$5:$B$199,'[2]15'!$B$5:$D$200,3,0),"")</f>
        <v/>
      </c>
      <c r="AU17" s="8" t="str">
        <f>IFERROR(VLOOKUP($B$5:$B$199,'[2]15'!$B$5:$G$200,6,0),"")</f>
        <v/>
      </c>
      <c r="AV17" s="8" t="str">
        <f t="shared" si="14"/>
        <v/>
      </c>
      <c r="AW17" s="8" t="str">
        <f>IFERROR(VLOOKUP($B$5:$B$199,'[2]16'!$B$5:$D$200,3,0),"")</f>
        <v/>
      </c>
      <c r="AX17" s="8" t="str">
        <f>IFERROR(VLOOKUP($B$5:$B$199,'[2]16'!$B$5:$G$200,6,0),"")</f>
        <v/>
      </c>
      <c r="AY17" s="8" t="str">
        <f t="shared" si="15"/>
        <v/>
      </c>
      <c r="AZ17" s="8" t="str">
        <f>IFERROR(VLOOKUP($B$5:$B$199,'[2]17'!$B$5:$D$200,3,0),"")</f>
        <v/>
      </c>
      <c r="BA17" s="8" t="str">
        <f>IFERROR(VLOOKUP($B$5:$B$199,'[2]17'!$B$5:$G$200,6,0),"")</f>
        <v/>
      </c>
      <c r="BB17" s="8" t="str">
        <f t="shared" si="16"/>
        <v/>
      </c>
      <c r="BC17" s="8" t="str">
        <f>IFERROR(VLOOKUP($B$5:$B$199,'[2]18'!$B$5:$D$200,3,0),"")</f>
        <v/>
      </c>
      <c r="BD17" s="8" t="str">
        <f>IFERROR(VLOOKUP($B$5:$B$199,'[2]18'!$B$5:$G$200,6,0),"")</f>
        <v/>
      </c>
      <c r="BE17" s="8" t="str">
        <f t="shared" si="17"/>
        <v/>
      </c>
      <c r="BF17" s="8" t="str">
        <f>IFERROR(VLOOKUP($B$5:$B$199,'[2]19'!$B$5:$D$200,3,0),"")</f>
        <v/>
      </c>
      <c r="BG17" s="8" t="str">
        <f>IFERROR(VLOOKUP($B$5:$B$199,'[2]19'!$B$5:$G$200,6,0),"")</f>
        <v/>
      </c>
      <c r="BH17" s="8" t="str">
        <f t="shared" si="18"/>
        <v/>
      </c>
      <c r="BI17" s="8" t="str">
        <f>IFERROR(VLOOKUP($B$5:$B$199,'[2]20'!$B$5:$D$200,3,0),"")</f>
        <v/>
      </c>
      <c r="BJ17" s="8" t="str">
        <f>IFERROR(VLOOKUP($B$5:$B$199,'[2]20'!$B$5:$G$200,6,0),"")</f>
        <v/>
      </c>
      <c r="BK17" s="8" t="str">
        <f t="shared" si="19"/>
        <v/>
      </c>
      <c r="BL17" s="8" t="str">
        <f>IFERROR(VLOOKUP($B$5:$B$199,'[2]21'!$B$5:$D$200,3,0),"")</f>
        <v/>
      </c>
      <c r="BM17" s="8" t="str">
        <f>IFERROR(VLOOKUP($B$5:$B$199,'[2]21'!$B$5:$G$200,6,0),"")</f>
        <v/>
      </c>
      <c r="BN17" s="8" t="str">
        <f t="shared" si="20"/>
        <v/>
      </c>
      <c r="BO17" s="8" t="str">
        <f>IFERROR(VLOOKUP($B$5:$B$199,'[2]22'!$B$5:$D$200,3,0),"")</f>
        <v/>
      </c>
      <c r="BP17" s="8" t="str">
        <f>IFERROR(VLOOKUP($B$5:$B$199,'[2]22'!$B$5:$G$200,6,0),"")</f>
        <v/>
      </c>
      <c r="BQ17" s="8" t="str">
        <f t="shared" si="21"/>
        <v/>
      </c>
      <c r="BR17" s="8" t="str">
        <f>IFERROR(VLOOKUP($B$5:$B$199,'[2]23'!$B$5:$D$200,3,0),"")</f>
        <v/>
      </c>
      <c r="BS17" s="8" t="str">
        <f>IFERROR(VLOOKUP($B$5:$B$199,'[2]23'!$B$5:$G$200,6,0),"")</f>
        <v/>
      </c>
      <c r="BT17" s="8" t="str">
        <f t="shared" si="22"/>
        <v/>
      </c>
      <c r="BU17" s="8" t="str">
        <f>IFERROR(VLOOKUP($B$5:$B$199,'[2]24'!$B$5:$D$200,3,0),"")</f>
        <v/>
      </c>
      <c r="BV17" s="8" t="str">
        <f>IFERROR(VLOOKUP($B$5:$B$199,'[2]24'!$B$5:$G$200,6,0),"")</f>
        <v/>
      </c>
      <c r="BW17" s="8" t="str">
        <f t="shared" si="23"/>
        <v/>
      </c>
      <c r="BX17" s="8" t="str">
        <f>IFERROR(VLOOKUP($B$5:$B$199,'[2]25'!$B$5:$D$200,3,0),"")</f>
        <v/>
      </c>
      <c r="BY17" s="8" t="str">
        <f>IFERROR(VLOOKUP($B$5:$B$199,'[2]25'!$B$5:$G$200,6,0),"")</f>
        <v/>
      </c>
      <c r="BZ17" s="8" t="str">
        <f t="shared" si="24"/>
        <v/>
      </c>
      <c r="CA17" s="8" t="str">
        <f>IFERROR(VLOOKUP($B$5:$B$199,'[2]26'!$B$5:$D$200,3,0),"")</f>
        <v/>
      </c>
      <c r="CB17" s="8" t="str">
        <f>IFERROR(VLOOKUP($B$5:$B$199,'[2]26'!$B$5:$G$200,6,0),"")</f>
        <v/>
      </c>
      <c r="CC17" s="8" t="str">
        <f t="shared" si="25"/>
        <v/>
      </c>
      <c r="CD17" s="8" t="str">
        <f>IFERROR(VLOOKUP($B$5:$B$199,'[2]27'!$B$5:$D$200,3,0),"")</f>
        <v/>
      </c>
      <c r="CE17" s="8" t="str">
        <f>IFERROR(VLOOKUP($B$5:$B$199,'[2]27'!$B$5:$G$200,6,0),"")</f>
        <v/>
      </c>
      <c r="CF17" s="8" t="str">
        <f t="shared" si="26"/>
        <v/>
      </c>
      <c r="CG17" s="8" t="str">
        <f>IFERROR(VLOOKUP($B$5:$B$199,'[2]28'!$B$5:$D$200,3,0),"")</f>
        <v/>
      </c>
      <c r="CH17" s="8" t="str">
        <f>IFERROR(VLOOKUP($B$5:$B$199,'[2]28'!$B$5:$G$200,6,0),"")</f>
        <v/>
      </c>
      <c r="CI17" s="8" t="str">
        <f t="shared" si="27"/>
        <v/>
      </c>
      <c r="CJ17" s="8" t="str">
        <f>IFERROR(VLOOKUP($B$5:$B$199,'[2]29'!$B$5:$D$200,3,0),"")</f>
        <v/>
      </c>
      <c r="CK17" s="8" t="str">
        <f>IFERROR(VLOOKUP($B$5:$B$199,'[2]29'!$B$5:$G$200,6,0),"")</f>
        <v/>
      </c>
      <c r="CL17" s="8" t="str">
        <f t="shared" si="28"/>
        <v/>
      </c>
      <c r="CM17" s="8" t="str">
        <f>IFERROR(VLOOKUP($B$5:$B$199,'[2]30'!$B$5:$D$200,3,0),"")</f>
        <v/>
      </c>
      <c r="CN17" s="8" t="str">
        <f>IFERROR(VLOOKUP($B$5:$B$199,'[2]30'!$B$5:$G$200,6,0),"")</f>
        <v/>
      </c>
      <c r="CO17" s="8" t="str">
        <f t="shared" si="29"/>
        <v/>
      </c>
      <c r="CP17" s="8" t="str">
        <f>IFERROR(VLOOKUP($B$5:$B$199,'[2]31'!$B$5:$D$200,3,0),"")</f>
        <v/>
      </c>
      <c r="CQ17" s="8" t="str">
        <f>IFERROR(VLOOKUP($B$5:$B$199,'[2]31'!$B$5:$G$200,6,0),"")</f>
        <v/>
      </c>
      <c r="CR17" s="8" t="str">
        <f t="shared" si="30"/>
        <v/>
      </c>
      <c r="CT17" s="3">
        <f t="shared" si="31"/>
        <v>15</v>
      </c>
      <c r="CU17" s="3">
        <f t="shared" si="32"/>
        <v>42693.312323096659</v>
      </c>
      <c r="CV17" s="3">
        <f t="shared" si="33"/>
        <v>640399.68484644988</v>
      </c>
      <c r="CX17">
        <f t="shared" si="34"/>
        <v>2</v>
      </c>
    </row>
    <row r="18" spans="2:102" x14ac:dyDescent="0.25">
      <c r="B18" s="7" t="s">
        <v>69</v>
      </c>
      <c r="C18" s="7" t="str">
        <f>VLOOKUP($B18,DBASE!$C$7:$D$403,2,0)</f>
        <v>SIIP COKLAT 2000</v>
      </c>
      <c r="D18" s="8" t="str">
        <f>IFERROR(VLOOKUP($B$5:$B$199,'[2]1'!$B$5:$D$200,3,0),"")</f>
        <v/>
      </c>
      <c r="E18" s="8" t="str">
        <f>IFERROR(VLOOKUP($B$5:$B$199,'[2]1'!$B$5:$G$200,6,0),"")</f>
        <v/>
      </c>
      <c r="F18" s="8" t="str">
        <f t="shared" si="0"/>
        <v/>
      </c>
      <c r="G18" s="8" t="str">
        <f>IFERROR(VLOOKUP($B$5:$B$199,'[2]2'!$B$5:$D$200,3,0),"")</f>
        <v/>
      </c>
      <c r="H18" s="8" t="str">
        <f>IFERROR(VLOOKUP($B$5:$B$199,'[2]2'!$B$5:$G$200,6,0),"")</f>
        <v/>
      </c>
      <c r="I18" s="8" t="str">
        <f t="shared" si="1"/>
        <v/>
      </c>
      <c r="J18" s="8" t="str">
        <f>IFERROR(VLOOKUP($B$5:$B$199,'[2]3'!$B$5:$D$200,3,0),"")</f>
        <v/>
      </c>
      <c r="K18" s="8" t="str">
        <f>IFERROR(VLOOKUP($B$5:$B$199,'[2]3'!$B$5:$G$200,6,0),"")</f>
        <v/>
      </c>
      <c r="L18" s="8" t="str">
        <f t="shared" si="2"/>
        <v/>
      </c>
      <c r="M18" s="8">
        <f>IFERROR(VLOOKUP($B$5:$B$199,'[2]4'!$B$5:$D$200,3,0),"")</f>
        <v>2</v>
      </c>
      <c r="N18" s="8">
        <f>IFERROR(VLOOKUP($B$5:$B$199,'[2]4'!$B$5:$G$200,6,0),"")</f>
        <v>42838.174760479043</v>
      </c>
      <c r="O18" s="8">
        <f t="shared" si="3"/>
        <v>85676.349520958087</v>
      </c>
      <c r="P18" s="8" t="str">
        <f>IFERROR(VLOOKUP($B$5:$B$199,'[2]5'!$B$5:$D$200,3,0),"")</f>
        <v/>
      </c>
      <c r="Q18" s="8" t="str">
        <f>IFERROR(VLOOKUP($B$5:$B$199,'[2]5'!$B$5:$G$200,6,0),"")</f>
        <v/>
      </c>
      <c r="R18" s="8" t="str">
        <f t="shared" si="4"/>
        <v/>
      </c>
      <c r="S18" s="8" t="str">
        <f>IFERROR(VLOOKUP($B$5:$B$199,'[2]6'!$B$5:$D$200,3,0),"")</f>
        <v/>
      </c>
      <c r="T18" s="8" t="str">
        <f>IFERROR(VLOOKUP($B$5:$B$199,'[2]6'!$B$5:$G$200,6,0),"")</f>
        <v/>
      </c>
      <c r="U18" s="8" t="str">
        <f t="shared" si="5"/>
        <v/>
      </c>
      <c r="V18" s="8" t="str">
        <f>IFERROR(VLOOKUP($B$5:$B$199,'[2]7'!$B$5:$D$200,3,0),"")</f>
        <v/>
      </c>
      <c r="W18" s="8" t="str">
        <f>IFERROR(VLOOKUP($B$5:$B$199,'[2]7'!$B$5:$G$200,6,0),"")</f>
        <v/>
      </c>
      <c r="X18" s="8" t="str">
        <f t="shared" si="6"/>
        <v/>
      </c>
      <c r="Y18" s="8" t="str">
        <f>IFERROR(VLOOKUP($B$5:$B$199,'[2]8'!$B$5:$D$200,3,0),"")</f>
        <v/>
      </c>
      <c r="Z18" s="8" t="str">
        <f>IFERROR(VLOOKUP($B$5:$B$199,'[2]8'!$B$5:$G$200,6,0),"")</f>
        <v/>
      </c>
      <c r="AA18" s="8" t="str">
        <f t="shared" si="7"/>
        <v/>
      </c>
      <c r="AB18" s="8" t="str">
        <f>IFERROR(VLOOKUP($B$5:$B$199,'[2]9'!$B$5:$D$200,3,0),"")</f>
        <v/>
      </c>
      <c r="AC18" s="8" t="str">
        <f>IFERROR(VLOOKUP($B$5:$B$199,'[2]9'!$B$5:$G$200,6,0),"")</f>
        <v/>
      </c>
      <c r="AD18" s="8" t="str">
        <f t="shared" si="8"/>
        <v/>
      </c>
      <c r="AE18" s="8" t="str">
        <f>IFERROR(VLOOKUP($B$5:$B$199,'[2]10'!$B$5:$D$200,3,0),"")</f>
        <v/>
      </c>
      <c r="AF18" s="8" t="str">
        <f>IFERROR(VLOOKUP($B$5:$B$199,'[2]10'!$B$5:$G$200,6,0),"")</f>
        <v/>
      </c>
      <c r="AG18" s="8" t="str">
        <f t="shared" si="9"/>
        <v/>
      </c>
      <c r="AH18" s="8" t="str">
        <f>IFERROR(VLOOKUP($B$5:$B$199,'[2]11'!$B$5:$D$200,3,0),"")</f>
        <v/>
      </c>
      <c r="AI18" s="8" t="str">
        <f>IFERROR(VLOOKUP($B$5:$B$199,'[2]11'!$B$5:$G$200,6,0),"")</f>
        <v/>
      </c>
      <c r="AJ18" s="8" t="str">
        <f t="shared" si="10"/>
        <v/>
      </c>
      <c r="AK18" s="8" t="str">
        <f>IFERROR(VLOOKUP($B$5:$B$199,'[2]12'!$B$5:$D$200,3,0),"")</f>
        <v/>
      </c>
      <c r="AL18" s="8" t="str">
        <f>IFERROR(VLOOKUP($B$5:$B$199,'[2]12'!$B$5:$G$200,6,0),"")</f>
        <v/>
      </c>
      <c r="AM18" s="8" t="str">
        <f t="shared" si="11"/>
        <v/>
      </c>
      <c r="AN18" s="8" t="str">
        <f>IFERROR(VLOOKUP($B$5:$B$199,'[2]13'!$B$5:$D$200,3,0),"")</f>
        <v/>
      </c>
      <c r="AO18" s="8" t="str">
        <f>IFERROR(VLOOKUP($B$5:$B$199,'[2]13'!$B$5:$G$200,6,0),"")</f>
        <v/>
      </c>
      <c r="AP18" s="8" t="str">
        <f t="shared" si="12"/>
        <v/>
      </c>
      <c r="AQ18" s="8" t="str">
        <f>IFERROR(VLOOKUP($B$5:$B$199,'[2]14'!$B$5:$D$200,3,0),"")</f>
        <v/>
      </c>
      <c r="AR18" s="8" t="str">
        <f>IFERROR(VLOOKUP($B$5:$B$199,'[2]14'!$B$5:$G$200,6,0),"")</f>
        <v/>
      </c>
      <c r="AS18" s="8" t="str">
        <f t="shared" si="13"/>
        <v/>
      </c>
      <c r="AT18" s="8" t="str">
        <f>IFERROR(VLOOKUP($B$5:$B$199,'[2]15'!$B$5:$D$200,3,0),"")</f>
        <v/>
      </c>
      <c r="AU18" s="8" t="str">
        <f>IFERROR(VLOOKUP($B$5:$B$199,'[2]15'!$B$5:$G$200,6,0),"")</f>
        <v/>
      </c>
      <c r="AV18" s="8" t="str">
        <f t="shared" si="14"/>
        <v/>
      </c>
      <c r="AW18" s="8" t="str">
        <f>IFERROR(VLOOKUP($B$5:$B$199,'[2]16'!$B$5:$D$200,3,0),"")</f>
        <v/>
      </c>
      <c r="AX18" s="8" t="str">
        <f>IFERROR(VLOOKUP($B$5:$B$199,'[2]16'!$B$5:$G$200,6,0),"")</f>
        <v/>
      </c>
      <c r="AY18" s="8" t="str">
        <f t="shared" si="15"/>
        <v/>
      </c>
      <c r="AZ18" s="8" t="str">
        <f>IFERROR(VLOOKUP($B$5:$B$199,'[2]17'!$B$5:$D$200,3,0),"")</f>
        <v/>
      </c>
      <c r="BA18" s="8" t="str">
        <f>IFERROR(VLOOKUP($B$5:$B$199,'[2]17'!$B$5:$G$200,6,0),"")</f>
        <v/>
      </c>
      <c r="BB18" s="8" t="str">
        <f t="shared" si="16"/>
        <v/>
      </c>
      <c r="BC18" s="8" t="str">
        <f>IFERROR(VLOOKUP($B$5:$B$199,'[2]18'!$B$5:$D$200,3,0),"")</f>
        <v/>
      </c>
      <c r="BD18" s="8" t="str">
        <f>IFERROR(VLOOKUP($B$5:$B$199,'[2]18'!$B$5:$G$200,6,0),"")</f>
        <v/>
      </c>
      <c r="BE18" s="8" t="str">
        <f t="shared" si="17"/>
        <v/>
      </c>
      <c r="BF18" s="8" t="str">
        <f>IFERROR(VLOOKUP($B$5:$B$199,'[2]19'!$B$5:$D$200,3,0),"")</f>
        <v/>
      </c>
      <c r="BG18" s="8" t="str">
        <f>IFERROR(VLOOKUP($B$5:$B$199,'[2]19'!$B$5:$G$200,6,0),"")</f>
        <v/>
      </c>
      <c r="BH18" s="8" t="str">
        <f t="shared" si="18"/>
        <v/>
      </c>
      <c r="BI18" s="8" t="str">
        <f>IFERROR(VLOOKUP($B$5:$B$199,'[2]20'!$B$5:$D$200,3,0),"")</f>
        <v/>
      </c>
      <c r="BJ18" s="8" t="str">
        <f>IFERROR(VLOOKUP($B$5:$B$199,'[2]20'!$B$5:$G$200,6,0),"")</f>
        <v/>
      </c>
      <c r="BK18" s="8" t="str">
        <f t="shared" si="19"/>
        <v/>
      </c>
      <c r="BL18" s="8" t="str">
        <f>IFERROR(VLOOKUP($B$5:$B$199,'[2]21'!$B$5:$D$200,3,0),"")</f>
        <v/>
      </c>
      <c r="BM18" s="8" t="str">
        <f>IFERROR(VLOOKUP($B$5:$B$199,'[2]21'!$B$5:$G$200,6,0),"")</f>
        <v/>
      </c>
      <c r="BN18" s="8" t="str">
        <f t="shared" si="20"/>
        <v/>
      </c>
      <c r="BO18" s="8" t="str">
        <f>IFERROR(VLOOKUP($B$5:$B$199,'[2]22'!$B$5:$D$200,3,0),"")</f>
        <v/>
      </c>
      <c r="BP18" s="8" t="str">
        <f>IFERROR(VLOOKUP($B$5:$B$199,'[2]22'!$B$5:$G$200,6,0),"")</f>
        <v/>
      </c>
      <c r="BQ18" s="8" t="str">
        <f t="shared" si="21"/>
        <v/>
      </c>
      <c r="BR18" s="8" t="str">
        <f>IFERROR(VLOOKUP($B$5:$B$199,'[2]23'!$B$5:$D$200,3,0),"")</f>
        <v/>
      </c>
      <c r="BS18" s="8" t="str">
        <f>IFERROR(VLOOKUP($B$5:$B$199,'[2]23'!$B$5:$G$200,6,0),"")</f>
        <v/>
      </c>
      <c r="BT18" s="8" t="str">
        <f t="shared" si="22"/>
        <v/>
      </c>
      <c r="BU18" s="8" t="str">
        <f>IFERROR(VLOOKUP($B$5:$B$199,'[2]24'!$B$5:$D$200,3,0),"")</f>
        <v/>
      </c>
      <c r="BV18" s="8" t="str">
        <f>IFERROR(VLOOKUP($B$5:$B$199,'[2]24'!$B$5:$G$200,6,0),"")</f>
        <v/>
      </c>
      <c r="BW18" s="8" t="str">
        <f t="shared" si="23"/>
        <v/>
      </c>
      <c r="BX18" s="8" t="str">
        <f>IFERROR(VLOOKUP($B$5:$B$199,'[2]25'!$B$5:$D$200,3,0),"")</f>
        <v/>
      </c>
      <c r="BY18" s="8" t="str">
        <f>IFERROR(VLOOKUP($B$5:$B$199,'[2]25'!$B$5:$G$200,6,0),"")</f>
        <v/>
      </c>
      <c r="BZ18" s="8" t="str">
        <f t="shared" si="24"/>
        <v/>
      </c>
      <c r="CA18" s="8" t="str">
        <f>IFERROR(VLOOKUP($B$5:$B$199,'[2]26'!$B$5:$D$200,3,0),"")</f>
        <v/>
      </c>
      <c r="CB18" s="8" t="str">
        <f>IFERROR(VLOOKUP($B$5:$B$199,'[2]26'!$B$5:$G$200,6,0),"")</f>
        <v/>
      </c>
      <c r="CC18" s="8" t="str">
        <f t="shared" si="25"/>
        <v/>
      </c>
      <c r="CD18" s="8" t="str">
        <f>IFERROR(VLOOKUP($B$5:$B$199,'[2]27'!$B$5:$D$200,3,0),"")</f>
        <v/>
      </c>
      <c r="CE18" s="8" t="str">
        <f>IFERROR(VLOOKUP($B$5:$B$199,'[2]27'!$B$5:$G$200,6,0),"")</f>
        <v/>
      </c>
      <c r="CF18" s="8" t="str">
        <f t="shared" si="26"/>
        <v/>
      </c>
      <c r="CG18" s="8" t="str">
        <f>IFERROR(VLOOKUP($B$5:$B$199,'[2]28'!$B$5:$D$200,3,0),"")</f>
        <v/>
      </c>
      <c r="CH18" s="8" t="str">
        <f>IFERROR(VLOOKUP($B$5:$B$199,'[2]28'!$B$5:$G$200,6,0),"")</f>
        <v/>
      </c>
      <c r="CI18" s="8" t="str">
        <f t="shared" si="27"/>
        <v/>
      </c>
      <c r="CJ18" s="8" t="str">
        <f>IFERROR(VLOOKUP($B$5:$B$199,'[2]29'!$B$5:$D$200,3,0),"")</f>
        <v/>
      </c>
      <c r="CK18" s="8" t="str">
        <f>IFERROR(VLOOKUP($B$5:$B$199,'[2]29'!$B$5:$G$200,6,0),"")</f>
        <v/>
      </c>
      <c r="CL18" s="8" t="str">
        <f t="shared" si="28"/>
        <v/>
      </c>
      <c r="CM18" s="8" t="str">
        <f>IFERROR(VLOOKUP($B$5:$B$199,'[2]30'!$B$5:$D$200,3,0),"")</f>
        <v/>
      </c>
      <c r="CN18" s="8" t="str">
        <f>IFERROR(VLOOKUP($B$5:$B$199,'[2]30'!$B$5:$G$200,6,0),"")</f>
        <v/>
      </c>
      <c r="CO18" s="8" t="str">
        <f t="shared" si="29"/>
        <v/>
      </c>
      <c r="CP18" s="8" t="str">
        <f>IFERROR(VLOOKUP($B$5:$B$199,'[2]31'!$B$5:$D$200,3,0),"")</f>
        <v/>
      </c>
      <c r="CQ18" s="8" t="str">
        <f>IFERROR(VLOOKUP($B$5:$B$199,'[2]31'!$B$5:$G$200,6,0),"")</f>
        <v/>
      </c>
      <c r="CR18" s="8" t="str">
        <f t="shared" si="30"/>
        <v/>
      </c>
      <c r="CT18" s="3">
        <f t="shared" si="31"/>
        <v>2</v>
      </c>
      <c r="CU18" s="3">
        <f t="shared" si="32"/>
        <v>42838.174760479043</v>
      </c>
      <c r="CV18" s="3">
        <f t="shared" si="33"/>
        <v>85676.349520958087</v>
      </c>
      <c r="CX18">
        <f t="shared" si="34"/>
        <v>1</v>
      </c>
    </row>
    <row r="19" spans="2:102" x14ac:dyDescent="0.25">
      <c r="B19" s="7" t="s">
        <v>66</v>
      </c>
      <c r="C19" s="7" t="str">
        <f>VLOOKUP($B19,DBASE!$C$7:$D$403,2,0)</f>
        <v>ROLL KEJU 500</v>
      </c>
      <c r="D19" s="8">
        <f>IFERROR(VLOOKUP($B$5:$B$199,'[2]1'!$B$5:$D$200,3,0),"")</f>
        <v>4</v>
      </c>
      <c r="E19" s="8">
        <f>IFERROR(VLOOKUP($B$5:$B$199,'[2]1'!$B$5:$G$200,6,0),"")</f>
        <v>42441.150174294118</v>
      </c>
      <c r="F19" s="8">
        <f t="shared" si="0"/>
        <v>169764.60069717647</v>
      </c>
      <c r="G19" s="8" t="str">
        <f>IFERROR(VLOOKUP($B$5:$B$199,'[2]2'!$B$5:$D$200,3,0),"")</f>
        <v/>
      </c>
      <c r="H19" s="8" t="str">
        <f>IFERROR(VLOOKUP($B$5:$B$199,'[2]2'!$B$5:$G$200,6,0),"")</f>
        <v/>
      </c>
      <c r="I19" s="8" t="str">
        <f t="shared" si="1"/>
        <v/>
      </c>
      <c r="J19" s="8" t="str">
        <f>IFERROR(VLOOKUP($B$5:$B$199,'[2]3'!$B$5:$D$200,3,0),"")</f>
        <v/>
      </c>
      <c r="K19" s="8" t="str">
        <f>IFERROR(VLOOKUP($B$5:$B$199,'[2]3'!$B$5:$G$200,6,0),"")</f>
        <v/>
      </c>
      <c r="L19" s="8" t="str">
        <f t="shared" si="2"/>
        <v/>
      </c>
      <c r="M19" s="8">
        <f>IFERROR(VLOOKUP($B$5:$B$199,'[2]4'!$B$5:$D$200,3,0),"")</f>
        <v>20</v>
      </c>
      <c r="N19" s="8">
        <f>IFERROR(VLOOKUP($B$5:$B$199,'[2]4'!$B$5:$G$200,6,0),"")</f>
        <v>43438.174760479043</v>
      </c>
      <c r="O19" s="8">
        <f t="shared" si="3"/>
        <v>868763.49520958087</v>
      </c>
      <c r="P19" s="8" t="str">
        <f>IFERROR(VLOOKUP($B$5:$B$199,'[2]5'!$B$5:$D$200,3,0),"")</f>
        <v/>
      </c>
      <c r="Q19" s="8" t="str">
        <f>IFERROR(VLOOKUP($B$5:$B$199,'[2]5'!$B$5:$G$200,6,0),"")</f>
        <v/>
      </c>
      <c r="R19" s="8" t="str">
        <f t="shared" si="4"/>
        <v/>
      </c>
      <c r="S19" s="8">
        <f>IFERROR(VLOOKUP($B$5:$B$199,'[2]6'!$B$5:$D$200,3,0),"")</f>
        <v>20</v>
      </c>
      <c r="T19" s="8">
        <f>IFERROR(VLOOKUP($B$5:$B$199,'[2]6'!$B$5:$G$200,6,0),"")</f>
        <v>43148.449885714283</v>
      </c>
      <c r="U19" s="8">
        <f t="shared" si="5"/>
        <v>862968.99771428562</v>
      </c>
      <c r="V19" s="8" t="str">
        <f>IFERROR(VLOOKUP($B$5:$B$199,'[2]7'!$B$5:$D$200,3,0),"")</f>
        <v/>
      </c>
      <c r="W19" s="8" t="str">
        <f>IFERROR(VLOOKUP($B$5:$B$199,'[2]7'!$B$5:$G$200,6,0),"")</f>
        <v/>
      </c>
      <c r="X19" s="8" t="str">
        <f t="shared" si="6"/>
        <v/>
      </c>
      <c r="Y19" s="8" t="str">
        <f>IFERROR(VLOOKUP($B$5:$B$199,'[2]8'!$B$5:$D$200,3,0),"")</f>
        <v/>
      </c>
      <c r="Z19" s="8" t="str">
        <f>IFERROR(VLOOKUP($B$5:$B$199,'[2]8'!$B$5:$G$200,6,0),"")</f>
        <v/>
      </c>
      <c r="AA19" s="8" t="str">
        <f t="shared" si="7"/>
        <v/>
      </c>
      <c r="AB19" s="8" t="str">
        <f>IFERROR(VLOOKUP($B$5:$B$199,'[2]9'!$B$5:$D$200,3,0),"")</f>
        <v/>
      </c>
      <c r="AC19" s="8" t="str">
        <f>IFERROR(VLOOKUP($B$5:$B$199,'[2]9'!$B$5:$G$200,6,0),"")</f>
        <v/>
      </c>
      <c r="AD19" s="8" t="str">
        <f t="shared" si="8"/>
        <v/>
      </c>
      <c r="AE19" s="8" t="str">
        <f>IFERROR(VLOOKUP($B$5:$B$199,'[2]10'!$B$5:$D$200,3,0),"")</f>
        <v/>
      </c>
      <c r="AF19" s="8" t="str">
        <f>IFERROR(VLOOKUP($B$5:$B$199,'[2]10'!$B$5:$G$200,6,0),"")</f>
        <v/>
      </c>
      <c r="AG19" s="8" t="str">
        <f t="shared" si="9"/>
        <v/>
      </c>
      <c r="AH19" s="8" t="str">
        <f>IFERROR(VLOOKUP($B$5:$B$199,'[2]11'!$B$5:$D$200,3,0),"")</f>
        <v/>
      </c>
      <c r="AI19" s="8" t="str">
        <f>IFERROR(VLOOKUP($B$5:$B$199,'[2]11'!$B$5:$G$200,6,0),"")</f>
        <v/>
      </c>
      <c r="AJ19" s="8" t="str">
        <f t="shared" si="10"/>
        <v/>
      </c>
      <c r="AK19" s="8" t="str">
        <f>IFERROR(VLOOKUP($B$5:$B$199,'[2]12'!$B$5:$D$200,3,0),"")</f>
        <v/>
      </c>
      <c r="AL19" s="8" t="str">
        <f>IFERROR(VLOOKUP($B$5:$B$199,'[2]12'!$B$5:$G$200,6,0),"")</f>
        <v/>
      </c>
      <c r="AM19" s="8" t="str">
        <f t="shared" si="11"/>
        <v/>
      </c>
      <c r="AN19" s="8" t="str">
        <f>IFERROR(VLOOKUP($B$5:$B$199,'[2]13'!$B$5:$D$200,3,0),"")</f>
        <v/>
      </c>
      <c r="AO19" s="8" t="str">
        <f>IFERROR(VLOOKUP($B$5:$B$199,'[2]13'!$B$5:$G$200,6,0),"")</f>
        <v/>
      </c>
      <c r="AP19" s="8" t="str">
        <f t="shared" si="12"/>
        <v/>
      </c>
      <c r="AQ19" s="8" t="str">
        <f>IFERROR(VLOOKUP($B$5:$B$199,'[2]14'!$B$5:$D$200,3,0),"")</f>
        <v/>
      </c>
      <c r="AR19" s="8" t="str">
        <f>IFERROR(VLOOKUP($B$5:$B$199,'[2]14'!$B$5:$G$200,6,0),"")</f>
        <v/>
      </c>
      <c r="AS19" s="8" t="str">
        <f t="shared" si="13"/>
        <v/>
      </c>
      <c r="AT19" s="8" t="str">
        <f>IFERROR(VLOOKUP($B$5:$B$199,'[2]15'!$B$5:$D$200,3,0),"")</f>
        <v/>
      </c>
      <c r="AU19" s="8" t="str">
        <f>IFERROR(VLOOKUP($B$5:$B$199,'[2]15'!$B$5:$G$200,6,0),"")</f>
        <v/>
      </c>
      <c r="AV19" s="8" t="str">
        <f t="shared" si="14"/>
        <v/>
      </c>
      <c r="AW19" s="8" t="str">
        <f>IFERROR(VLOOKUP($B$5:$B$199,'[2]16'!$B$5:$D$200,3,0),"")</f>
        <v/>
      </c>
      <c r="AX19" s="8" t="str">
        <f>IFERROR(VLOOKUP($B$5:$B$199,'[2]16'!$B$5:$G$200,6,0),"")</f>
        <v/>
      </c>
      <c r="AY19" s="8" t="str">
        <f t="shared" si="15"/>
        <v/>
      </c>
      <c r="AZ19" s="8" t="str">
        <f>IFERROR(VLOOKUP($B$5:$B$199,'[2]17'!$B$5:$D$200,3,0),"")</f>
        <v/>
      </c>
      <c r="BA19" s="8" t="str">
        <f>IFERROR(VLOOKUP($B$5:$B$199,'[2]17'!$B$5:$G$200,6,0),"")</f>
        <v/>
      </c>
      <c r="BB19" s="8" t="str">
        <f t="shared" si="16"/>
        <v/>
      </c>
      <c r="BC19" s="8" t="str">
        <f>IFERROR(VLOOKUP($B$5:$B$199,'[2]18'!$B$5:$D$200,3,0),"")</f>
        <v/>
      </c>
      <c r="BD19" s="8" t="str">
        <f>IFERROR(VLOOKUP($B$5:$B$199,'[2]18'!$B$5:$G$200,6,0),"")</f>
        <v/>
      </c>
      <c r="BE19" s="8" t="str">
        <f t="shared" si="17"/>
        <v/>
      </c>
      <c r="BF19" s="8" t="str">
        <f>IFERROR(VLOOKUP($B$5:$B$199,'[2]19'!$B$5:$D$200,3,0),"")</f>
        <v/>
      </c>
      <c r="BG19" s="8" t="str">
        <f>IFERROR(VLOOKUP($B$5:$B$199,'[2]19'!$B$5:$G$200,6,0),"")</f>
        <v/>
      </c>
      <c r="BH19" s="8" t="str">
        <f t="shared" si="18"/>
        <v/>
      </c>
      <c r="BI19" s="8" t="str">
        <f>IFERROR(VLOOKUP($B$5:$B$199,'[2]20'!$B$5:$D$200,3,0),"")</f>
        <v/>
      </c>
      <c r="BJ19" s="8" t="str">
        <f>IFERROR(VLOOKUP($B$5:$B$199,'[2]20'!$B$5:$G$200,6,0),"")</f>
        <v/>
      </c>
      <c r="BK19" s="8" t="str">
        <f t="shared" si="19"/>
        <v/>
      </c>
      <c r="BL19" s="8" t="str">
        <f>IFERROR(VLOOKUP($B$5:$B$199,'[2]21'!$B$5:$D$200,3,0),"")</f>
        <v/>
      </c>
      <c r="BM19" s="8" t="str">
        <f>IFERROR(VLOOKUP($B$5:$B$199,'[2]21'!$B$5:$G$200,6,0),"")</f>
        <v/>
      </c>
      <c r="BN19" s="8" t="str">
        <f t="shared" si="20"/>
        <v/>
      </c>
      <c r="BO19" s="8" t="str">
        <f>IFERROR(VLOOKUP($B$5:$B$199,'[2]22'!$B$5:$D$200,3,0),"")</f>
        <v/>
      </c>
      <c r="BP19" s="8" t="str">
        <f>IFERROR(VLOOKUP($B$5:$B$199,'[2]22'!$B$5:$G$200,6,0),"")</f>
        <v/>
      </c>
      <c r="BQ19" s="8" t="str">
        <f t="shared" si="21"/>
        <v/>
      </c>
      <c r="BR19" s="8" t="str">
        <f>IFERROR(VLOOKUP($B$5:$B$199,'[2]23'!$B$5:$D$200,3,0),"")</f>
        <v/>
      </c>
      <c r="BS19" s="8" t="str">
        <f>IFERROR(VLOOKUP($B$5:$B$199,'[2]23'!$B$5:$G$200,6,0),"")</f>
        <v/>
      </c>
      <c r="BT19" s="8" t="str">
        <f t="shared" si="22"/>
        <v/>
      </c>
      <c r="BU19" s="8" t="str">
        <f>IFERROR(VLOOKUP($B$5:$B$199,'[2]24'!$B$5:$D$200,3,0),"")</f>
        <v/>
      </c>
      <c r="BV19" s="8" t="str">
        <f>IFERROR(VLOOKUP($B$5:$B$199,'[2]24'!$B$5:$G$200,6,0),"")</f>
        <v/>
      </c>
      <c r="BW19" s="8" t="str">
        <f t="shared" si="23"/>
        <v/>
      </c>
      <c r="BX19" s="8" t="str">
        <f>IFERROR(VLOOKUP($B$5:$B$199,'[2]25'!$B$5:$D$200,3,0),"")</f>
        <v/>
      </c>
      <c r="BY19" s="8" t="str">
        <f>IFERROR(VLOOKUP($B$5:$B$199,'[2]25'!$B$5:$G$200,6,0),"")</f>
        <v/>
      </c>
      <c r="BZ19" s="8" t="str">
        <f t="shared" si="24"/>
        <v/>
      </c>
      <c r="CA19" s="8" t="str">
        <f>IFERROR(VLOOKUP($B$5:$B$199,'[2]26'!$B$5:$D$200,3,0),"")</f>
        <v/>
      </c>
      <c r="CB19" s="8" t="str">
        <f>IFERROR(VLOOKUP($B$5:$B$199,'[2]26'!$B$5:$G$200,6,0),"")</f>
        <v/>
      </c>
      <c r="CC19" s="8" t="str">
        <f t="shared" si="25"/>
        <v/>
      </c>
      <c r="CD19" s="8" t="str">
        <f>IFERROR(VLOOKUP($B$5:$B$199,'[2]27'!$B$5:$D$200,3,0),"")</f>
        <v/>
      </c>
      <c r="CE19" s="8" t="str">
        <f>IFERROR(VLOOKUP($B$5:$B$199,'[2]27'!$B$5:$G$200,6,0),"")</f>
        <v/>
      </c>
      <c r="CF19" s="8" t="str">
        <f t="shared" si="26"/>
        <v/>
      </c>
      <c r="CG19" s="8" t="str">
        <f>IFERROR(VLOOKUP($B$5:$B$199,'[2]28'!$B$5:$D$200,3,0),"")</f>
        <v/>
      </c>
      <c r="CH19" s="8" t="str">
        <f>IFERROR(VLOOKUP($B$5:$B$199,'[2]28'!$B$5:$G$200,6,0),"")</f>
        <v/>
      </c>
      <c r="CI19" s="8" t="str">
        <f t="shared" si="27"/>
        <v/>
      </c>
      <c r="CJ19" s="8" t="str">
        <f>IFERROR(VLOOKUP($B$5:$B$199,'[2]29'!$B$5:$D$200,3,0),"")</f>
        <v/>
      </c>
      <c r="CK19" s="8" t="str">
        <f>IFERROR(VLOOKUP($B$5:$B$199,'[2]29'!$B$5:$G$200,6,0),"")</f>
        <v/>
      </c>
      <c r="CL19" s="8" t="str">
        <f t="shared" si="28"/>
        <v/>
      </c>
      <c r="CM19" s="8" t="str">
        <f>IFERROR(VLOOKUP($B$5:$B$199,'[2]30'!$B$5:$D$200,3,0),"")</f>
        <v/>
      </c>
      <c r="CN19" s="8" t="str">
        <f>IFERROR(VLOOKUP($B$5:$B$199,'[2]30'!$B$5:$G$200,6,0),"")</f>
        <v/>
      </c>
      <c r="CO19" s="8" t="str">
        <f t="shared" si="29"/>
        <v/>
      </c>
      <c r="CP19" s="8" t="str">
        <f>IFERROR(VLOOKUP($B$5:$B$199,'[2]31'!$B$5:$D$200,3,0),"")</f>
        <v/>
      </c>
      <c r="CQ19" s="8" t="str">
        <f>IFERROR(VLOOKUP($B$5:$B$199,'[2]31'!$B$5:$G$200,6,0),"")</f>
        <v/>
      </c>
      <c r="CR19" s="8" t="str">
        <f t="shared" si="30"/>
        <v/>
      </c>
      <c r="CT19" s="3">
        <f t="shared" si="31"/>
        <v>44</v>
      </c>
      <c r="CU19" s="3">
        <f t="shared" si="32"/>
        <v>43009.25827349582</v>
      </c>
      <c r="CV19" s="3">
        <f t="shared" si="33"/>
        <v>1892407.3640338161</v>
      </c>
      <c r="CX19">
        <f t="shared" si="34"/>
        <v>3</v>
      </c>
    </row>
    <row r="20" spans="2:102" x14ac:dyDescent="0.25">
      <c r="B20" s="7" t="s">
        <v>70</v>
      </c>
      <c r="C20" s="7" t="str">
        <f>VLOOKUP($B20,DBASE!$C$7:$D$403,2,0)</f>
        <v>ROLL KEJU 2000</v>
      </c>
      <c r="D20" s="8">
        <f>IFERROR(VLOOKUP($B$5:$B$199,'[2]1'!$B$5:$D$200,3,0),"")</f>
        <v>2</v>
      </c>
      <c r="E20" s="8">
        <f>IFERROR(VLOOKUP($B$5:$B$199,'[2]1'!$B$5:$G$200,6,0),"")</f>
        <v>89241.150174294118</v>
      </c>
      <c r="F20" s="8">
        <f t="shared" si="0"/>
        <v>178482.30034858824</v>
      </c>
      <c r="G20" s="8" t="str">
        <f>IFERROR(VLOOKUP($B$5:$B$199,'[2]2'!$B$5:$D$200,3,0),"")</f>
        <v/>
      </c>
      <c r="H20" s="8" t="str">
        <f>IFERROR(VLOOKUP($B$5:$B$199,'[2]2'!$B$5:$G$200,6,0),"")</f>
        <v/>
      </c>
      <c r="I20" s="8" t="str">
        <f t="shared" si="1"/>
        <v/>
      </c>
      <c r="J20" s="8" t="str">
        <f>IFERROR(VLOOKUP($B$5:$B$199,'[2]3'!$B$5:$D$200,3,0),"")</f>
        <v/>
      </c>
      <c r="K20" s="8" t="str">
        <f>IFERROR(VLOOKUP($B$5:$B$199,'[2]3'!$B$5:$G$200,6,0),"")</f>
        <v/>
      </c>
      <c r="L20" s="8" t="str">
        <f t="shared" si="2"/>
        <v/>
      </c>
      <c r="M20" s="8" t="str">
        <f>IFERROR(VLOOKUP($B$5:$B$199,'[2]4'!$B$5:$D$200,3,0),"")</f>
        <v/>
      </c>
      <c r="N20" s="8" t="str">
        <f>IFERROR(VLOOKUP($B$5:$B$199,'[2]4'!$B$5:$G$200,6,0),"")</f>
        <v/>
      </c>
      <c r="O20" s="8" t="str">
        <f t="shared" si="3"/>
        <v/>
      </c>
      <c r="P20" s="8" t="str">
        <f>IFERROR(VLOOKUP($B$5:$B$199,'[2]5'!$B$5:$D$200,3,0),"")</f>
        <v/>
      </c>
      <c r="Q20" s="8" t="str">
        <f>IFERROR(VLOOKUP($B$5:$B$199,'[2]5'!$B$5:$G$200,6,0),"")</f>
        <v/>
      </c>
      <c r="R20" s="8" t="str">
        <f t="shared" si="4"/>
        <v/>
      </c>
      <c r="S20" s="8">
        <f>IFERROR(VLOOKUP($B$5:$B$199,'[2]6'!$B$5:$D$200,3,0),"")</f>
        <v>15</v>
      </c>
      <c r="T20" s="8">
        <f>IFERROR(VLOOKUP($B$5:$B$199,'[2]6'!$B$5:$G$200,6,0),"")</f>
        <v>89948.44988571429</v>
      </c>
      <c r="U20" s="8">
        <f t="shared" si="5"/>
        <v>1349226.7482857143</v>
      </c>
      <c r="V20" s="8">
        <f>IFERROR(VLOOKUP($B$5:$B$199,'[2]7'!$B$5:$D$200,3,0),"")</f>
        <v>3</v>
      </c>
      <c r="W20" s="8">
        <f>IFERROR(VLOOKUP($B$5:$B$199,'[2]7'!$B$5:$G$200,6,0),"")</f>
        <v>89734.734903278688</v>
      </c>
      <c r="X20" s="8">
        <f t="shared" si="6"/>
        <v>269204.20470983605</v>
      </c>
      <c r="Y20" s="8" t="str">
        <f>IFERROR(VLOOKUP($B$5:$B$199,'[2]8'!$B$5:$D$200,3,0),"")</f>
        <v/>
      </c>
      <c r="Z20" s="8" t="str">
        <f>IFERROR(VLOOKUP($B$5:$B$199,'[2]8'!$B$5:$G$200,6,0),"")</f>
        <v/>
      </c>
      <c r="AA20" s="8" t="str">
        <f t="shared" si="7"/>
        <v/>
      </c>
      <c r="AB20" s="8" t="str">
        <f>IFERROR(VLOOKUP($B$5:$B$199,'[2]9'!$B$5:$D$200,3,0),"")</f>
        <v/>
      </c>
      <c r="AC20" s="8" t="str">
        <f>IFERROR(VLOOKUP($B$5:$B$199,'[2]9'!$B$5:$G$200,6,0),"")</f>
        <v/>
      </c>
      <c r="AD20" s="8" t="str">
        <f t="shared" si="8"/>
        <v/>
      </c>
      <c r="AE20" s="8" t="str">
        <f>IFERROR(VLOOKUP($B$5:$B$199,'[2]10'!$B$5:$D$200,3,0),"")</f>
        <v/>
      </c>
      <c r="AF20" s="8" t="str">
        <f>IFERROR(VLOOKUP($B$5:$B$199,'[2]10'!$B$5:$G$200,6,0),"")</f>
        <v/>
      </c>
      <c r="AG20" s="8" t="str">
        <f t="shared" si="9"/>
        <v/>
      </c>
      <c r="AH20" s="8" t="str">
        <f>IFERROR(VLOOKUP($B$5:$B$199,'[2]11'!$B$5:$D$200,3,0),"")</f>
        <v/>
      </c>
      <c r="AI20" s="8" t="str">
        <f>IFERROR(VLOOKUP($B$5:$B$199,'[2]11'!$B$5:$G$200,6,0),"")</f>
        <v/>
      </c>
      <c r="AJ20" s="8" t="str">
        <f t="shared" si="10"/>
        <v/>
      </c>
      <c r="AK20" s="8" t="str">
        <f>IFERROR(VLOOKUP($B$5:$B$199,'[2]12'!$B$5:$D$200,3,0),"")</f>
        <v/>
      </c>
      <c r="AL20" s="8" t="str">
        <f>IFERROR(VLOOKUP($B$5:$B$199,'[2]12'!$B$5:$G$200,6,0),"")</f>
        <v/>
      </c>
      <c r="AM20" s="8" t="str">
        <f t="shared" si="11"/>
        <v/>
      </c>
      <c r="AN20" s="8" t="str">
        <f>IFERROR(VLOOKUP($B$5:$B$199,'[2]13'!$B$5:$D$200,3,0),"")</f>
        <v/>
      </c>
      <c r="AO20" s="8" t="str">
        <f>IFERROR(VLOOKUP($B$5:$B$199,'[2]13'!$B$5:$G$200,6,0),"")</f>
        <v/>
      </c>
      <c r="AP20" s="8" t="str">
        <f t="shared" si="12"/>
        <v/>
      </c>
      <c r="AQ20" s="8" t="str">
        <f>IFERROR(VLOOKUP($B$5:$B$199,'[2]14'!$B$5:$D$200,3,0),"")</f>
        <v/>
      </c>
      <c r="AR20" s="8" t="str">
        <f>IFERROR(VLOOKUP($B$5:$B$199,'[2]14'!$B$5:$G$200,6,0),"")</f>
        <v/>
      </c>
      <c r="AS20" s="8" t="str">
        <f t="shared" si="13"/>
        <v/>
      </c>
      <c r="AT20" s="8" t="str">
        <f>IFERROR(VLOOKUP($B$5:$B$199,'[2]15'!$B$5:$D$200,3,0),"")</f>
        <v/>
      </c>
      <c r="AU20" s="8" t="str">
        <f>IFERROR(VLOOKUP($B$5:$B$199,'[2]15'!$B$5:$G$200,6,0),"")</f>
        <v/>
      </c>
      <c r="AV20" s="8" t="str">
        <f t="shared" si="14"/>
        <v/>
      </c>
      <c r="AW20" s="8" t="str">
        <f>IFERROR(VLOOKUP($B$5:$B$199,'[2]16'!$B$5:$D$200,3,0),"")</f>
        <v/>
      </c>
      <c r="AX20" s="8" t="str">
        <f>IFERROR(VLOOKUP($B$5:$B$199,'[2]16'!$B$5:$G$200,6,0),"")</f>
        <v/>
      </c>
      <c r="AY20" s="8" t="str">
        <f t="shared" si="15"/>
        <v/>
      </c>
      <c r="AZ20" s="8" t="str">
        <f>IFERROR(VLOOKUP($B$5:$B$199,'[2]17'!$B$5:$D$200,3,0),"")</f>
        <v/>
      </c>
      <c r="BA20" s="8" t="str">
        <f>IFERROR(VLOOKUP($B$5:$B$199,'[2]17'!$B$5:$G$200,6,0),"")</f>
        <v/>
      </c>
      <c r="BB20" s="8" t="str">
        <f t="shared" si="16"/>
        <v/>
      </c>
      <c r="BC20" s="8" t="str">
        <f>IFERROR(VLOOKUP($B$5:$B$199,'[2]18'!$B$5:$D$200,3,0),"")</f>
        <v/>
      </c>
      <c r="BD20" s="8" t="str">
        <f>IFERROR(VLOOKUP($B$5:$B$199,'[2]18'!$B$5:$G$200,6,0),"")</f>
        <v/>
      </c>
      <c r="BE20" s="8" t="str">
        <f t="shared" si="17"/>
        <v/>
      </c>
      <c r="BF20" s="8" t="str">
        <f>IFERROR(VLOOKUP($B$5:$B$199,'[2]19'!$B$5:$D$200,3,0),"")</f>
        <v/>
      </c>
      <c r="BG20" s="8" t="str">
        <f>IFERROR(VLOOKUP($B$5:$B$199,'[2]19'!$B$5:$G$200,6,0),"")</f>
        <v/>
      </c>
      <c r="BH20" s="8" t="str">
        <f t="shared" si="18"/>
        <v/>
      </c>
      <c r="BI20" s="8" t="str">
        <f>IFERROR(VLOOKUP($B$5:$B$199,'[2]20'!$B$5:$D$200,3,0),"")</f>
        <v/>
      </c>
      <c r="BJ20" s="8" t="str">
        <f>IFERROR(VLOOKUP($B$5:$B$199,'[2]20'!$B$5:$G$200,6,0),"")</f>
        <v/>
      </c>
      <c r="BK20" s="8" t="str">
        <f t="shared" si="19"/>
        <v/>
      </c>
      <c r="BL20" s="8" t="str">
        <f>IFERROR(VLOOKUP($B$5:$B$199,'[2]21'!$B$5:$D$200,3,0),"")</f>
        <v/>
      </c>
      <c r="BM20" s="8" t="str">
        <f>IFERROR(VLOOKUP($B$5:$B$199,'[2]21'!$B$5:$G$200,6,0),"")</f>
        <v/>
      </c>
      <c r="BN20" s="8" t="str">
        <f t="shared" si="20"/>
        <v/>
      </c>
      <c r="BO20" s="8" t="str">
        <f>IFERROR(VLOOKUP($B$5:$B$199,'[2]22'!$B$5:$D$200,3,0),"")</f>
        <v/>
      </c>
      <c r="BP20" s="8" t="str">
        <f>IFERROR(VLOOKUP($B$5:$B$199,'[2]22'!$B$5:$G$200,6,0),"")</f>
        <v/>
      </c>
      <c r="BQ20" s="8" t="str">
        <f t="shared" si="21"/>
        <v/>
      </c>
      <c r="BR20" s="8" t="str">
        <f>IFERROR(VLOOKUP($B$5:$B$199,'[2]23'!$B$5:$D$200,3,0),"")</f>
        <v/>
      </c>
      <c r="BS20" s="8" t="str">
        <f>IFERROR(VLOOKUP($B$5:$B$199,'[2]23'!$B$5:$G$200,6,0),"")</f>
        <v/>
      </c>
      <c r="BT20" s="8" t="str">
        <f t="shared" si="22"/>
        <v/>
      </c>
      <c r="BU20" s="8" t="str">
        <f>IFERROR(VLOOKUP($B$5:$B$199,'[2]24'!$B$5:$D$200,3,0),"")</f>
        <v/>
      </c>
      <c r="BV20" s="8" t="str">
        <f>IFERROR(VLOOKUP($B$5:$B$199,'[2]24'!$B$5:$G$200,6,0),"")</f>
        <v/>
      </c>
      <c r="BW20" s="8" t="str">
        <f t="shared" si="23"/>
        <v/>
      </c>
      <c r="BX20" s="8" t="str">
        <f>IFERROR(VLOOKUP($B$5:$B$199,'[2]25'!$B$5:$D$200,3,0),"")</f>
        <v/>
      </c>
      <c r="BY20" s="8" t="str">
        <f>IFERROR(VLOOKUP($B$5:$B$199,'[2]25'!$B$5:$G$200,6,0),"")</f>
        <v/>
      </c>
      <c r="BZ20" s="8" t="str">
        <f t="shared" si="24"/>
        <v/>
      </c>
      <c r="CA20" s="8" t="str">
        <f>IFERROR(VLOOKUP($B$5:$B$199,'[2]26'!$B$5:$D$200,3,0),"")</f>
        <v/>
      </c>
      <c r="CB20" s="8" t="str">
        <f>IFERROR(VLOOKUP($B$5:$B$199,'[2]26'!$B$5:$G$200,6,0),"")</f>
        <v/>
      </c>
      <c r="CC20" s="8" t="str">
        <f t="shared" si="25"/>
        <v/>
      </c>
      <c r="CD20" s="8" t="str">
        <f>IFERROR(VLOOKUP($B$5:$B$199,'[2]27'!$B$5:$D$200,3,0),"")</f>
        <v/>
      </c>
      <c r="CE20" s="8" t="str">
        <f>IFERROR(VLOOKUP($B$5:$B$199,'[2]27'!$B$5:$G$200,6,0),"")</f>
        <v/>
      </c>
      <c r="CF20" s="8" t="str">
        <f t="shared" si="26"/>
        <v/>
      </c>
      <c r="CG20" s="8" t="str">
        <f>IFERROR(VLOOKUP($B$5:$B$199,'[2]28'!$B$5:$D$200,3,0),"")</f>
        <v/>
      </c>
      <c r="CH20" s="8" t="str">
        <f>IFERROR(VLOOKUP($B$5:$B$199,'[2]28'!$B$5:$G$200,6,0),"")</f>
        <v/>
      </c>
      <c r="CI20" s="8" t="str">
        <f t="shared" si="27"/>
        <v/>
      </c>
      <c r="CJ20" s="8" t="str">
        <f>IFERROR(VLOOKUP($B$5:$B$199,'[2]29'!$B$5:$D$200,3,0),"")</f>
        <v/>
      </c>
      <c r="CK20" s="8" t="str">
        <f>IFERROR(VLOOKUP($B$5:$B$199,'[2]29'!$B$5:$G$200,6,0),"")</f>
        <v/>
      </c>
      <c r="CL20" s="8" t="str">
        <f t="shared" si="28"/>
        <v/>
      </c>
      <c r="CM20" s="8" t="str">
        <f>IFERROR(VLOOKUP($B$5:$B$199,'[2]30'!$B$5:$D$200,3,0),"")</f>
        <v/>
      </c>
      <c r="CN20" s="8" t="str">
        <f>IFERROR(VLOOKUP($B$5:$B$199,'[2]30'!$B$5:$G$200,6,0),"")</f>
        <v/>
      </c>
      <c r="CO20" s="8" t="str">
        <f t="shared" si="29"/>
        <v/>
      </c>
      <c r="CP20" s="8" t="str">
        <f>IFERROR(VLOOKUP($B$5:$B$199,'[2]31'!$B$5:$D$200,3,0),"")</f>
        <v/>
      </c>
      <c r="CQ20" s="8" t="str">
        <f>IFERROR(VLOOKUP($B$5:$B$199,'[2]31'!$B$5:$G$200,6,0),"")</f>
        <v/>
      </c>
      <c r="CR20" s="8" t="str">
        <f t="shared" si="30"/>
        <v/>
      </c>
      <c r="CT20" s="3">
        <f t="shared" si="31"/>
        <v>20</v>
      </c>
      <c r="CU20" s="3">
        <f t="shared" si="32"/>
        <v>89641.44498776237</v>
      </c>
      <c r="CV20" s="3">
        <f t="shared" si="33"/>
        <v>1792828.8997552474</v>
      </c>
      <c r="CX20">
        <f t="shared" si="34"/>
        <v>3</v>
      </c>
    </row>
    <row r="21" spans="2:102" x14ac:dyDescent="0.25">
      <c r="B21" s="7" t="s">
        <v>71</v>
      </c>
      <c r="C21" s="7" t="str">
        <f>VLOOKUP($B21,DBASE!$C$7:$D$403,2,0)</f>
        <v>ROLL COKLAT 2000</v>
      </c>
      <c r="D21" s="8">
        <f>IFERROR(VLOOKUP($B$5:$B$199,'[2]1'!$B$5:$D$200,3,0),"")</f>
        <v>4</v>
      </c>
      <c r="E21" s="8">
        <f>IFERROR(VLOOKUP($B$5:$B$199,'[2]1'!$B$5:$G$200,6,0),"")</f>
        <v>89241.150174294118</v>
      </c>
      <c r="F21" s="8">
        <f t="shared" si="0"/>
        <v>356964.60069717647</v>
      </c>
      <c r="G21" s="8" t="str">
        <f>IFERROR(VLOOKUP($B$5:$B$199,'[2]2'!$B$5:$D$200,3,0),"")</f>
        <v/>
      </c>
      <c r="H21" s="8" t="str">
        <f>IFERROR(VLOOKUP($B$5:$B$199,'[2]2'!$B$5:$G$200,6,0),"")</f>
        <v/>
      </c>
      <c r="I21" s="8" t="str">
        <f t="shared" si="1"/>
        <v/>
      </c>
      <c r="J21" s="8" t="str">
        <f>IFERROR(VLOOKUP($B$5:$B$199,'[2]3'!$B$5:$D$200,3,0),"")</f>
        <v/>
      </c>
      <c r="K21" s="8" t="str">
        <f>IFERROR(VLOOKUP($B$5:$B$199,'[2]3'!$B$5:$G$200,6,0),"")</f>
        <v/>
      </c>
      <c r="L21" s="8" t="str">
        <f t="shared" si="2"/>
        <v/>
      </c>
      <c r="M21" s="8" t="str">
        <f>IFERROR(VLOOKUP($B$5:$B$199,'[2]4'!$B$5:$D$200,3,0),"")</f>
        <v/>
      </c>
      <c r="N21" s="8" t="str">
        <f>IFERROR(VLOOKUP($B$5:$B$199,'[2]4'!$B$5:$G$200,6,0),"")</f>
        <v/>
      </c>
      <c r="O21" s="8" t="str">
        <f t="shared" si="3"/>
        <v/>
      </c>
      <c r="P21" s="8" t="str">
        <f>IFERROR(VLOOKUP($B$5:$B$199,'[2]5'!$B$5:$D$200,3,0),"")</f>
        <v/>
      </c>
      <c r="Q21" s="8" t="str">
        <f>IFERROR(VLOOKUP($B$5:$B$199,'[2]5'!$B$5:$G$200,6,0),"")</f>
        <v/>
      </c>
      <c r="R21" s="8" t="str">
        <f t="shared" si="4"/>
        <v/>
      </c>
      <c r="S21" s="8">
        <f>IFERROR(VLOOKUP($B$5:$B$199,'[2]6'!$B$5:$D$200,3,0),"")</f>
        <v>15</v>
      </c>
      <c r="T21" s="8">
        <f>IFERROR(VLOOKUP($B$5:$B$199,'[2]6'!$B$5:$G$200,6,0),"")</f>
        <v>89948.44988571429</v>
      </c>
      <c r="U21" s="8">
        <f t="shared" si="5"/>
        <v>1349226.7482857143</v>
      </c>
      <c r="V21" s="8">
        <f>IFERROR(VLOOKUP($B$5:$B$199,'[2]7'!$B$5:$D$200,3,0),"")</f>
        <v>3</v>
      </c>
      <c r="W21" s="8">
        <f>IFERROR(VLOOKUP($B$5:$B$199,'[2]7'!$B$5:$G$200,6,0),"")</f>
        <v>89734.734903278688</v>
      </c>
      <c r="X21" s="8">
        <f t="shared" si="6"/>
        <v>269204.20470983605</v>
      </c>
      <c r="Y21" s="8" t="str">
        <f>IFERROR(VLOOKUP($B$5:$B$199,'[2]8'!$B$5:$D$200,3,0),"")</f>
        <v/>
      </c>
      <c r="Z21" s="8" t="str">
        <f>IFERROR(VLOOKUP($B$5:$B$199,'[2]8'!$B$5:$G$200,6,0),"")</f>
        <v/>
      </c>
      <c r="AA21" s="8" t="str">
        <f t="shared" si="7"/>
        <v/>
      </c>
      <c r="AB21" s="8" t="str">
        <f>IFERROR(VLOOKUP($B$5:$B$199,'[2]9'!$B$5:$D$200,3,0),"")</f>
        <v/>
      </c>
      <c r="AC21" s="8" t="str">
        <f>IFERROR(VLOOKUP($B$5:$B$199,'[2]9'!$B$5:$G$200,6,0),"")</f>
        <v/>
      </c>
      <c r="AD21" s="8" t="str">
        <f t="shared" si="8"/>
        <v/>
      </c>
      <c r="AE21" s="8" t="str">
        <f>IFERROR(VLOOKUP($B$5:$B$199,'[2]10'!$B$5:$D$200,3,0),"")</f>
        <v/>
      </c>
      <c r="AF21" s="8" t="str">
        <f>IFERROR(VLOOKUP($B$5:$B$199,'[2]10'!$B$5:$G$200,6,0),"")</f>
        <v/>
      </c>
      <c r="AG21" s="8" t="str">
        <f t="shared" si="9"/>
        <v/>
      </c>
      <c r="AH21" s="8" t="str">
        <f>IFERROR(VLOOKUP($B$5:$B$199,'[2]11'!$B$5:$D$200,3,0),"")</f>
        <v/>
      </c>
      <c r="AI21" s="8" t="str">
        <f>IFERROR(VLOOKUP($B$5:$B$199,'[2]11'!$B$5:$G$200,6,0),"")</f>
        <v/>
      </c>
      <c r="AJ21" s="8" t="str">
        <f t="shared" si="10"/>
        <v/>
      </c>
      <c r="AK21" s="8" t="str">
        <f>IFERROR(VLOOKUP($B$5:$B$199,'[2]12'!$B$5:$D$200,3,0),"")</f>
        <v/>
      </c>
      <c r="AL21" s="8" t="str">
        <f>IFERROR(VLOOKUP($B$5:$B$199,'[2]12'!$B$5:$G$200,6,0),"")</f>
        <v/>
      </c>
      <c r="AM21" s="8" t="str">
        <f t="shared" si="11"/>
        <v/>
      </c>
      <c r="AN21" s="8" t="str">
        <f>IFERROR(VLOOKUP($B$5:$B$199,'[2]13'!$B$5:$D$200,3,0),"")</f>
        <v/>
      </c>
      <c r="AO21" s="8" t="str">
        <f>IFERROR(VLOOKUP($B$5:$B$199,'[2]13'!$B$5:$G$200,6,0),"")</f>
        <v/>
      </c>
      <c r="AP21" s="8" t="str">
        <f t="shared" si="12"/>
        <v/>
      </c>
      <c r="AQ21" s="8" t="str">
        <f>IFERROR(VLOOKUP($B$5:$B$199,'[2]14'!$B$5:$D$200,3,0),"")</f>
        <v/>
      </c>
      <c r="AR21" s="8" t="str">
        <f>IFERROR(VLOOKUP($B$5:$B$199,'[2]14'!$B$5:$G$200,6,0),"")</f>
        <v/>
      </c>
      <c r="AS21" s="8" t="str">
        <f t="shared" si="13"/>
        <v/>
      </c>
      <c r="AT21" s="8" t="str">
        <f>IFERROR(VLOOKUP($B$5:$B$199,'[2]15'!$B$5:$D$200,3,0),"")</f>
        <v/>
      </c>
      <c r="AU21" s="8" t="str">
        <f>IFERROR(VLOOKUP($B$5:$B$199,'[2]15'!$B$5:$G$200,6,0),"")</f>
        <v/>
      </c>
      <c r="AV21" s="8" t="str">
        <f t="shared" si="14"/>
        <v/>
      </c>
      <c r="AW21" s="8" t="str">
        <f>IFERROR(VLOOKUP($B$5:$B$199,'[2]16'!$B$5:$D$200,3,0),"")</f>
        <v/>
      </c>
      <c r="AX21" s="8" t="str">
        <f>IFERROR(VLOOKUP($B$5:$B$199,'[2]16'!$B$5:$G$200,6,0),"")</f>
        <v/>
      </c>
      <c r="AY21" s="8" t="str">
        <f t="shared" si="15"/>
        <v/>
      </c>
      <c r="AZ21" s="8" t="str">
        <f>IFERROR(VLOOKUP($B$5:$B$199,'[2]17'!$B$5:$D$200,3,0),"")</f>
        <v/>
      </c>
      <c r="BA21" s="8" t="str">
        <f>IFERROR(VLOOKUP($B$5:$B$199,'[2]17'!$B$5:$G$200,6,0),"")</f>
        <v/>
      </c>
      <c r="BB21" s="8" t="str">
        <f t="shared" si="16"/>
        <v/>
      </c>
      <c r="BC21" s="8" t="str">
        <f>IFERROR(VLOOKUP($B$5:$B$199,'[2]18'!$B$5:$D$200,3,0),"")</f>
        <v/>
      </c>
      <c r="BD21" s="8" t="str">
        <f>IFERROR(VLOOKUP($B$5:$B$199,'[2]18'!$B$5:$G$200,6,0),"")</f>
        <v/>
      </c>
      <c r="BE21" s="8" t="str">
        <f t="shared" si="17"/>
        <v/>
      </c>
      <c r="BF21" s="8" t="str">
        <f>IFERROR(VLOOKUP($B$5:$B$199,'[2]19'!$B$5:$D$200,3,0),"")</f>
        <v/>
      </c>
      <c r="BG21" s="8" t="str">
        <f>IFERROR(VLOOKUP($B$5:$B$199,'[2]19'!$B$5:$G$200,6,0),"")</f>
        <v/>
      </c>
      <c r="BH21" s="8" t="str">
        <f t="shared" si="18"/>
        <v/>
      </c>
      <c r="BI21" s="8" t="str">
        <f>IFERROR(VLOOKUP($B$5:$B$199,'[2]20'!$B$5:$D$200,3,0),"")</f>
        <v/>
      </c>
      <c r="BJ21" s="8" t="str">
        <f>IFERROR(VLOOKUP($B$5:$B$199,'[2]20'!$B$5:$G$200,6,0),"")</f>
        <v/>
      </c>
      <c r="BK21" s="8" t="str">
        <f t="shared" si="19"/>
        <v/>
      </c>
      <c r="BL21" s="8" t="str">
        <f>IFERROR(VLOOKUP($B$5:$B$199,'[2]21'!$B$5:$D$200,3,0),"")</f>
        <v/>
      </c>
      <c r="BM21" s="8" t="str">
        <f>IFERROR(VLOOKUP($B$5:$B$199,'[2]21'!$B$5:$G$200,6,0),"")</f>
        <v/>
      </c>
      <c r="BN21" s="8" t="str">
        <f t="shared" si="20"/>
        <v/>
      </c>
      <c r="BO21" s="8" t="str">
        <f>IFERROR(VLOOKUP($B$5:$B$199,'[2]22'!$B$5:$D$200,3,0),"")</f>
        <v/>
      </c>
      <c r="BP21" s="8" t="str">
        <f>IFERROR(VLOOKUP($B$5:$B$199,'[2]22'!$B$5:$G$200,6,0),"")</f>
        <v/>
      </c>
      <c r="BQ21" s="8" t="str">
        <f t="shared" si="21"/>
        <v/>
      </c>
      <c r="BR21" s="8" t="str">
        <f>IFERROR(VLOOKUP($B$5:$B$199,'[2]23'!$B$5:$D$200,3,0),"")</f>
        <v/>
      </c>
      <c r="BS21" s="8" t="str">
        <f>IFERROR(VLOOKUP($B$5:$B$199,'[2]23'!$B$5:$G$200,6,0),"")</f>
        <v/>
      </c>
      <c r="BT21" s="8" t="str">
        <f t="shared" si="22"/>
        <v/>
      </c>
      <c r="BU21" s="8" t="str">
        <f>IFERROR(VLOOKUP($B$5:$B$199,'[2]24'!$B$5:$D$200,3,0),"")</f>
        <v/>
      </c>
      <c r="BV21" s="8" t="str">
        <f>IFERROR(VLOOKUP($B$5:$B$199,'[2]24'!$B$5:$G$200,6,0),"")</f>
        <v/>
      </c>
      <c r="BW21" s="8" t="str">
        <f t="shared" si="23"/>
        <v/>
      </c>
      <c r="BX21" s="8" t="str">
        <f>IFERROR(VLOOKUP($B$5:$B$199,'[2]25'!$B$5:$D$200,3,0),"")</f>
        <v/>
      </c>
      <c r="BY21" s="8" t="str">
        <f>IFERROR(VLOOKUP($B$5:$B$199,'[2]25'!$B$5:$G$200,6,0),"")</f>
        <v/>
      </c>
      <c r="BZ21" s="8" t="str">
        <f t="shared" si="24"/>
        <v/>
      </c>
      <c r="CA21" s="8" t="str">
        <f>IFERROR(VLOOKUP($B$5:$B$199,'[2]26'!$B$5:$D$200,3,0),"")</f>
        <v/>
      </c>
      <c r="CB21" s="8" t="str">
        <f>IFERROR(VLOOKUP($B$5:$B$199,'[2]26'!$B$5:$G$200,6,0),"")</f>
        <v/>
      </c>
      <c r="CC21" s="8" t="str">
        <f t="shared" si="25"/>
        <v/>
      </c>
      <c r="CD21" s="8" t="str">
        <f>IFERROR(VLOOKUP($B$5:$B$199,'[2]27'!$B$5:$D$200,3,0),"")</f>
        <v/>
      </c>
      <c r="CE21" s="8" t="str">
        <f>IFERROR(VLOOKUP($B$5:$B$199,'[2]27'!$B$5:$G$200,6,0),"")</f>
        <v/>
      </c>
      <c r="CF21" s="8" t="str">
        <f t="shared" si="26"/>
        <v/>
      </c>
      <c r="CG21" s="8" t="str">
        <f>IFERROR(VLOOKUP($B$5:$B$199,'[2]28'!$B$5:$D$200,3,0),"")</f>
        <v/>
      </c>
      <c r="CH21" s="8" t="str">
        <f>IFERROR(VLOOKUP($B$5:$B$199,'[2]28'!$B$5:$G$200,6,0),"")</f>
        <v/>
      </c>
      <c r="CI21" s="8" t="str">
        <f t="shared" si="27"/>
        <v/>
      </c>
      <c r="CJ21" s="8" t="str">
        <f>IFERROR(VLOOKUP($B$5:$B$199,'[2]29'!$B$5:$D$200,3,0),"")</f>
        <v/>
      </c>
      <c r="CK21" s="8" t="str">
        <f>IFERROR(VLOOKUP($B$5:$B$199,'[2]29'!$B$5:$G$200,6,0),"")</f>
        <v/>
      </c>
      <c r="CL21" s="8" t="str">
        <f t="shared" si="28"/>
        <v/>
      </c>
      <c r="CM21" s="8" t="str">
        <f>IFERROR(VLOOKUP($B$5:$B$199,'[2]30'!$B$5:$D$200,3,0),"")</f>
        <v/>
      </c>
      <c r="CN21" s="8" t="str">
        <f>IFERROR(VLOOKUP($B$5:$B$199,'[2]30'!$B$5:$G$200,6,0),"")</f>
        <v/>
      </c>
      <c r="CO21" s="8" t="str">
        <f t="shared" si="29"/>
        <v/>
      </c>
      <c r="CP21" s="8" t="str">
        <f>IFERROR(VLOOKUP($B$5:$B$199,'[2]31'!$B$5:$D$200,3,0),"")</f>
        <v/>
      </c>
      <c r="CQ21" s="8" t="str">
        <f>IFERROR(VLOOKUP($B$5:$B$199,'[2]31'!$B$5:$G$200,6,0),"")</f>
        <v/>
      </c>
      <c r="CR21" s="8" t="str">
        <f t="shared" si="30"/>
        <v/>
      </c>
      <c r="CT21" s="3">
        <f t="shared" si="31"/>
        <v>22</v>
      </c>
      <c r="CU21" s="3">
        <f t="shared" si="32"/>
        <v>89641.44498776237</v>
      </c>
      <c r="CV21" s="3">
        <f t="shared" si="33"/>
        <v>1972111.7897307721</v>
      </c>
      <c r="CX21">
        <f t="shared" si="34"/>
        <v>3</v>
      </c>
    </row>
    <row r="22" spans="2:102" x14ac:dyDescent="0.25">
      <c r="B22" s="7" t="s">
        <v>72</v>
      </c>
      <c r="C22" s="7" t="str">
        <f>VLOOKUP($B22,DBASE!$C$7:$D$403,2,0)</f>
        <v>AHH KEJU 500</v>
      </c>
      <c r="D22" s="8">
        <f>IFERROR(VLOOKUP($B$5:$B$199,'[2]1'!$B$5:$D$200,3,0),"")</f>
        <v>5</v>
      </c>
      <c r="E22" s="8">
        <f>IFERROR(VLOOKUP($B$5:$B$199,'[2]1'!$B$5:$G$200,6,0),"")</f>
        <v>74441.150174294118</v>
      </c>
      <c r="F22" s="8">
        <f t="shared" si="0"/>
        <v>372205.75087147061</v>
      </c>
      <c r="G22" s="8" t="str">
        <f>IFERROR(VLOOKUP($B$5:$B$199,'[2]2'!$B$5:$D$200,3,0),"")</f>
        <v/>
      </c>
      <c r="H22" s="8" t="str">
        <f>IFERROR(VLOOKUP($B$5:$B$199,'[2]2'!$B$5:$G$200,6,0),"")</f>
        <v/>
      </c>
      <c r="I22" s="8" t="str">
        <f t="shared" si="1"/>
        <v/>
      </c>
      <c r="J22" s="8" t="str">
        <f>IFERROR(VLOOKUP($B$5:$B$199,'[2]3'!$B$5:$D$200,3,0),"")</f>
        <v/>
      </c>
      <c r="K22" s="8" t="str">
        <f>IFERROR(VLOOKUP($B$5:$B$199,'[2]3'!$B$5:$G$200,6,0),"")</f>
        <v/>
      </c>
      <c r="L22" s="8" t="str">
        <f t="shared" si="2"/>
        <v/>
      </c>
      <c r="M22" s="8">
        <f>IFERROR(VLOOKUP($B$5:$B$199,'[2]4'!$B$5:$D$200,3,0),"")</f>
        <v>10</v>
      </c>
      <c r="N22" s="8">
        <f>IFERROR(VLOOKUP($B$5:$B$199,'[2]4'!$B$5:$G$200,6,0),"")</f>
        <v>75438.174760479043</v>
      </c>
      <c r="O22" s="8">
        <f t="shared" si="3"/>
        <v>754381.74760479038</v>
      </c>
      <c r="P22" s="8" t="str">
        <f>IFERROR(VLOOKUP($B$5:$B$199,'[2]5'!$B$5:$D$200,3,0),"")</f>
        <v/>
      </c>
      <c r="Q22" s="8" t="str">
        <f>IFERROR(VLOOKUP($B$5:$B$199,'[2]5'!$B$5:$G$200,6,0),"")</f>
        <v/>
      </c>
      <c r="R22" s="8" t="str">
        <f t="shared" si="4"/>
        <v/>
      </c>
      <c r="S22" s="8">
        <f>IFERROR(VLOOKUP($B$5:$B$199,'[2]6'!$B$5:$D$200,3,0),"")</f>
        <v>5</v>
      </c>
      <c r="T22" s="8">
        <f>IFERROR(VLOOKUP($B$5:$B$199,'[2]6'!$B$5:$G$200,6,0),"")</f>
        <v>75148.44988571429</v>
      </c>
      <c r="U22" s="8">
        <f t="shared" si="5"/>
        <v>375742.24942857143</v>
      </c>
      <c r="V22" s="8">
        <f>IFERROR(VLOOKUP($B$5:$B$199,'[2]7'!$B$5:$D$200,3,0),"")</f>
        <v>10</v>
      </c>
      <c r="W22" s="8">
        <f>IFERROR(VLOOKUP($B$5:$B$199,'[2]7'!$B$5:$G$200,6,0),"")</f>
        <v>74934.734903278688</v>
      </c>
      <c r="X22" s="8">
        <f t="shared" si="6"/>
        <v>749347.34903278691</v>
      </c>
      <c r="Y22" s="8" t="str">
        <f>IFERROR(VLOOKUP($B$5:$B$199,'[2]8'!$B$5:$D$200,3,0),"")</f>
        <v/>
      </c>
      <c r="Z22" s="8" t="str">
        <f>IFERROR(VLOOKUP($B$5:$B$199,'[2]8'!$B$5:$G$200,6,0),"")</f>
        <v/>
      </c>
      <c r="AA22" s="8" t="str">
        <f t="shared" si="7"/>
        <v/>
      </c>
      <c r="AB22" s="8" t="str">
        <f>IFERROR(VLOOKUP($B$5:$B$199,'[2]9'!$B$5:$D$200,3,0),"")</f>
        <v/>
      </c>
      <c r="AC22" s="8" t="str">
        <f>IFERROR(VLOOKUP($B$5:$B$199,'[2]9'!$B$5:$G$200,6,0),"")</f>
        <v/>
      </c>
      <c r="AD22" s="8" t="str">
        <f t="shared" si="8"/>
        <v/>
      </c>
      <c r="AE22" s="8" t="str">
        <f>IFERROR(VLOOKUP($B$5:$B$199,'[2]10'!$B$5:$D$200,3,0),"")</f>
        <v/>
      </c>
      <c r="AF22" s="8" t="str">
        <f>IFERROR(VLOOKUP($B$5:$B$199,'[2]10'!$B$5:$G$200,6,0),"")</f>
        <v/>
      </c>
      <c r="AG22" s="8" t="str">
        <f t="shared" si="9"/>
        <v/>
      </c>
      <c r="AH22" s="8" t="str">
        <f>IFERROR(VLOOKUP($B$5:$B$199,'[2]11'!$B$5:$D$200,3,0),"")</f>
        <v/>
      </c>
      <c r="AI22" s="8" t="str">
        <f>IFERROR(VLOOKUP($B$5:$B$199,'[2]11'!$B$5:$G$200,6,0),"")</f>
        <v/>
      </c>
      <c r="AJ22" s="8" t="str">
        <f t="shared" si="10"/>
        <v/>
      </c>
      <c r="AK22" s="8" t="str">
        <f>IFERROR(VLOOKUP($B$5:$B$199,'[2]12'!$B$5:$D$200,3,0),"")</f>
        <v/>
      </c>
      <c r="AL22" s="8" t="str">
        <f>IFERROR(VLOOKUP($B$5:$B$199,'[2]12'!$B$5:$G$200,6,0),"")</f>
        <v/>
      </c>
      <c r="AM22" s="8" t="str">
        <f t="shared" si="11"/>
        <v/>
      </c>
      <c r="AN22" s="8" t="str">
        <f>IFERROR(VLOOKUP($B$5:$B$199,'[2]13'!$B$5:$D$200,3,0),"")</f>
        <v/>
      </c>
      <c r="AO22" s="8" t="str">
        <f>IFERROR(VLOOKUP($B$5:$B$199,'[2]13'!$B$5:$G$200,6,0),"")</f>
        <v/>
      </c>
      <c r="AP22" s="8" t="str">
        <f t="shared" si="12"/>
        <v/>
      </c>
      <c r="AQ22" s="8" t="str">
        <f>IFERROR(VLOOKUP($B$5:$B$199,'[2]14'!$B$5:$D$200,3,0),"")</f>
        <v/>
      </c>
      <c r="AR22" s="8" t="str">
        <f>IFERROR(VLOOKUP($B$5:$B$199,'[2]14'!$B$5:$G$200,6,0),"")</f>
        <v/>
      </c>
      <c r="AS22" s="8" t="str">
        <f t="shared" si="13"/>
        <v/>
      </c>
      <c r="AT22" s="8" t="str">
        <f>IFERROR(VLOOKUP($B$5:$B$199,'[2]15'!$B$5:$D$200,3,0),"")</f>
        <v/>
      </c>
      <c r="AU22" s="8" t="str">
        <f>IFERROR(VLOOKUP($B$5:$B$199,'[2]15'!$B$5:$G$200,6,0),"")</f>
        <v/>
      </c>
      <c r="AV22" s="8" t="str">
        <f t="shared" si="14"/>
        <v/>
      </c>
      <c r="AW22" s="8" t="str">
        <f>IFERROR(VLOOKUP($B$5:$B$199,'[2]16'!$B$5:$D$200,3,0),"")</f>
        <v/>
      </c>
      <c r="AX22" s="8" t="str">
        <f>IFERROR(VLOOKUP($B$5:$B$199,'[2]16'!$B$5:$G$200,6,0),"")</f>
        <v/>
      </c>
      <c r="AY22" s="8" t="str">
        <f t="shared" si="15"/>
        <v/>
      </c>
      <c r="AZ22" s="8" t="str">
        <f>IFERROR(VLOOKUP($B$5:$B$199,'[2]17'!$B$5:$D$200,3,0),"")</f>
        <v/>
      </c>
      <c r="BA22" s="8" t="str">
        <f>IFERROR(VLOOKUP($B$5:$B$199,'[2]17'!$B$5:$G$200,6,0),"")</f>
        <v/>
      </c>
      <c r="BB22" s="8" t="str">
        <f t="shared" si="16"/>
        <v/>
      </c>
      <c r="BC22" s="8" t="str">
        <f>IFERROR(VLOOKUP($B$5:$B$199,'[2]18'!$B$5:$D$200,3,0),"")</f>
        <v/>
      </c>
      <c r="BD22" s="8" t="str">
        <f>IFERROR(VLOOKUP($B$5:$B$199,'[2]18'!$B$5:$G$200,6,0),"")</f>
        <v/>
      </c>
      <c r="BE22" s="8" t="str">
        <f t="shared" si="17"/>
        <v/>
      </c>
      <c r="BF22" s="8" t="str">
        <f>IFERROR(VLOOKUP($B$5:$B$199,'[2]19'!$B$5:$D$200,3,0),"")</f>
        <v/>
      </c>
      <c r="BG22" s="8" t="str">
        <f>IFERROR(VLOOKUP($B$5:$B$199,'[2]19'!$B$5:$G$200,6,0),"")</f>
        <v/>
      </c>
      <c r="BH22" s="8" t="str">
        <f t="shared" si="18"/>
        <v/>
      </c>
      <c r="BI22" s="8" t="str">
        <f>IFERROR(VLOOKUP($B$5:$B$199,'[2]20'!$B$5:$D$200,3,0),"")</f>
        <v/>
      </c>
      <c r="BJ22" s="8" t="str">
        <f>IFERROR(VLOOKUP($B$5:$B$199,'[2]20'!$B$5:$G$200,6,0),"")</f>
        <v/>
      </c>
      <c r="BK22" s="8" t="str">
        <f t="shared" si="19"/>
        <v/>
      </c>
      <c r="BL22" s="8" t="str">
        <f>IFERROR(VLOOKUP($B$5:$B$199,'[2]21'!$B$5:$D$200,3,0),"")</f>
        <v/>
      </c>
      <c r="BM22" s="8" t="str">
        <f>IFERROR(VLOOKUP($B$5:$B$199,'[2]21'!$B$5:$G$200,6,0),"")</f>
        <v/>
      </c>
      <c r="BN22" s="8" t="str">
        <f t="shared" si="20"/>
        <v/>
      </c>
      <c r="BO22" s="8" t="str">
        <f>IFERROR(VLOOKUP($B$5:$B$199,'[2]22'!$B$5:$D$200,3,0),"")</f>
        <v/>
      </c>
      <c r="BP22" s="8" t="str">
        <f>IFERROR(VLOOKUP($B$5:$B$199,'[2]22'!$B$5:$G$200,6,0),"")</f>
        <v/>
      </c>
      <c r="BQ22" s="8" t="str">
        <f t="shared" si="21"/>
        <v/>
      </c>
      <c r="BR22" s="8" t="str">
        <f>IFERROR(VLOOKUP($B$5:$B$199,'[2]23'!$B$5:$D$200,3,0),"")</f>
        <v/>
      </c>
      <c r="BS22" s="8" t="str">
        <f>IFERROR(VLOOKUP($B$5:$B$199,'[2]23'!$B$5:$G$200,6,0),"")</f>
        <v/>
      </c>
      <c r="BT22" s="8" t="str">
        <f t="shared" si="22"/>
        <v/>
      </c>
      <c r="BU22" s="8" t="str">
        <f>IFERROR(VLOOKUP($B$5:$B$199,'[2]24'!$B$5:$D$200,3,0),"")</f>
        <v/>
      </c>
      <c r="BV22" s="8" t="str">
        <f>IFERROR(VLOOKUP($B$5:$B$199,'[2]24'!$B$5:$G$200,6,0),"")</f>
        <v/>
      </c>
      <c r="BW22" s="8" t="str">
        <f t="shared" si="23"/>
        <v/>
      </c>
      <c r="BX22" s="8" t="str">
        <f>IFERROR(VLOOKUP($B$5:$B$199,'[2]25'!$B$5:$D$200,3,0),"")</f>
        <v/>
      </c>
      <c r="BY22" s="8" t="str">
        <f>IFERROR(VLOOKUP($B$5:$B$199,'[2]25'!$B$5:$G$200,6,0),"")</f>
        <v/>
      </c>
      <c r="BZ22" s="8" t="str">
        <f t="shared" si="24"/>
        <v/>
      </c>
      <c r="CA22" s="8" t="str">
        <f>IFERROR(VLOOKUP($B$5:$B$199,'[2]26'!$B$5:$D$200,3,0),"")</f>
        <v/>
      </c>
      <c r="CB22" s="8" t="str">
        <f>IFERROR(VLOOKUP($B$5:$B$199,'[2]26'!$B$5:$G$200,6,0),"")</f>
        <v/>
      </c>
      <c r="CC22" s="8" t="str">
        <f t="shared" si="25"/>
        <v/>
      </c>
      <c r="CD22" s="8" t="str">
        <f>IFERROR(VLOOKUP($B$5:$B$199,'[2]27'!$B$5:$D$200,3,0),"")</f>
        <v/>
      </c>
      <c r="CE22" s="8" t="str">
        <f>IFERROR(VLOOKUP($B$5:$B$199,'[2]27'!$B$5:$G$200,6,0),"")</f>
        <v/>
      </c>
      <c r="CF22" s="8" t="str">
        <f t="shared" si="26"/>
        <v/>
      </c>
      <c r="CG22" s="8" t="str">
        <f>IFERROR(VLOOKUP($B$5:$B$199,'[2]28'!$B$5:$D$200,3,0),"")</f>
        <v/>
      </c>
      <c r="CH22" s="8" t="str">
        <f>IFERROR(VLOOKUP($B$5:$B$199,'[2]28'!$B$5:$G$200,6,0),"")</f>
        <v/>
      </c>
      <c r="CI22" s="8" t="str">
        <f t="shared" si="27"/>
        <v/>
      </c>
      <c r="CJ22" s="8" t="str">
        <f>IFERROR(VLOOKUP($B$5:$B$199,'[2]29'!$B$5:$D$200,3,0),"")</f>
        <v/>
      </c>
      <c r="CK22" s="8" t="str">
        <f>IFERROR(VLOOKUP($B$5:$B$199,'[2]29'!$B$5:$G$200,6,0),"")</f>
        <v/>
      </c>
      <c r="CL22" s="8" t="str">
        <f t="shared" si="28"/>
        <v/>
      </c>
      <c r="CM22" s="8" t="str">
        <f>IFERROR(VLOOKUP($B$5:$B$199,'[2]30'!$B$5:$D$200,3,0),"")</f>
        <v/>
      </c>
      <c r="CN22" s="8" t="str">
        <f>IFERROR(VLOOKUP($B$5:$B$199,'[2]30'!$B$5:$G$200,6,0),"")</f>
        <v/>
      </c>
      <c r="CO22" s="8" t="str">
        <f t="shared" si="29"/>
        <v/>
      </c>
      <c r="CP22" s="8" t="str">
        <f>IFERROR(VLOOKUP($B$5:$B$199,'[2]31'!$B$5:$D$200,3,0),"")</f>
        <v/>
      </c>
      <c r="CQ22" s="8" t="str">
        <f>IFERROR(VLOOKUP($B$5:$B$199,'[2]31'!$B$5:$G$200,6,0),"")</f>
        <v/>
      </c>
      <c r="CR22" s="8" t="str">
        <f t="shared" si="30"/>
        <v/>
      </c>
      <c r="CT22" s="3">
        <f t="shared" si="31"/>
        <v>30</v>
      </c>
      <c r="CU22" s="3">
        <f t="shared" si="32"/>
        <v>74990.627430941531</v>
      </c>
      <c r="CV22" s="3">
        <f t="shared" si="33"/>
        <v>2249718.8229282461</v>
      </c>
      <c r="CX22">
        <f t="shared" si="34"/>
        <v>4</v>
      </c>
    </row>
    <row r="23" spans="2:102" x14ac:dyDescent="0.25">
      <c r="B23" s="7" t="s">
        <v>131</v>
      </c>
      <c r="C23" s="7" t="str">
        <f>VLOOKUP($B23,DBASE!$C$7:$D$403,2,0)</f>
        <v>AHH KEJU 2000</v>
      </c>
      <c r="D23" s="8" t="str">
        <f>IFERROR(VLOOKUP($B$5:$B$199,'[2]1'!$B$5:$D$200,3,0),"")</f>
        <v/>
      </c>
      <c r="E23" s="8" t="str">
        <f>IFERROR(VLOOKUP($B$5:$B$199,'[2]1'!$B$5:$G$200,6,0),"")</f>
        <v/>
      </c>
      <c r="F23" s="8" t="str">
        <f t="shared" si="0"/>
        <v/>
      </c>
      <c r="G23" s="8" t="str">
        <f>IFERROR(VLOOKUP($B$5:$B$199,'[2]2'!$B$5:$D$200,3,0),"")</f>
        <v/>
      </c>
      <c r="H23" s="8" t="str">
        <f>IFERROR(VLOOKUP($B$5:$B$199,'[2]2'!$B$5:$G$200,6,0),"")</f>
        <v/>
      </c>
      <c r="I23" s="8" t="str">
        <f t="shared" si="1"/>
        <v/>
      </c>
      <c r="J23" s="8" t="str">
        <f>IFERROR(VLOOKUP($B$5:$B$199,'[2]3'!$B$5:$D$200,3,0),"")</f>
        <v/>
      </c>
      <c r="K23" s="8" t="str">
        <f>IFERROR(VLOOKUP($B$5:$B$199,'[2]3'!$B$5:$G$200,6,0),"")</f>
        <v/>
      </c>
      <c r="L23" s="8" t="str">
        <f t="shared" si="2"/>
        <v/>
      </c>
      <c r="M23" s="8" t="str">
        <f>IFERROR(VLOOKUP($B$5:$B$199,'[2]4'!$B$5:$D$200,3,0),"")</f>
        <v/>
      </c>
      <c r="N23" s="8" t="str">
        <f>IFERROR(VLOOKUP($B$5:$B$199,'[2]4'!$B$5:$G$200,6,0),"")</f>
        <v/>
      </c>
      <c r="O23" s="8" t="str">
        <f t="shared" si="3"/>
        <v/>
      </c>
      <c r="P23" s="8" t="str">
        <f>IFERROR(VLOOKUP($B$5:$B$199,'[2]5'!$B$5:$D$200,3,0),"")</f>
        <v/>
      </c>
      <c r="Q23" s="8" t="str">
        <f>IFERROR(VLOOKUP($B$5:$B$199,'[2]5'!$B$5:$G$200,6,0),"")</f>
        <v/>
      </c>
      <c r="R23" s="8" t="str">
        <f t="shared" si="4"/>
        <v/>
      </c>
      <c r="S23" s="8">
        <f>IFERROR(VLOOKUP($B$5:$B$199,'[2]6'!$B$5:$D$200,3,0),"")</f>
        <v>5</v>
      </c>
      <c r="T23" s="8">
        <f>IFERROR(VLOOKUP($B$5:$B$199,'[2]6'!$B$5:$G$200,6,0),"")</f>
        <v>89948.44988571429</v>
      </c>
      <c r="U23" s="8">
        <f t="shared" si="5"/>
        <v>449742.24942857143</v>
      </c>
      <c r="V23" s="8">
        <f>IFERROR(VLOOKUP($B$5:$B$199,'[2]7'!$B$5:$D$200,3,0),"")</f>
        <v>1</v>
      </c>
      <c r="W23" s="8">
        <f>IFERROR(VLOOKUP($B$5:$B$199,'[2]7'!$B$5:$G$200,6,0),"")</f>
        <v>89734.734903278688</v>
      </c>
      <c r="X23" s="8">
        <f t="shared" si="6"/>
        <v>89734.734903278688</v>
      </c>
      <c r="Y23" s="8" t="str">
        <f>IFERROR(VLOOKUP($B$5:$B$199,'[2]8'!$B$5:$D$200,3,0),"")</f>
        <v/>
      </c>
      <c r="Z23" s="8" t="str">
        <f>IFERROR(VLOOKUP($B$5:$B$199,'[2]8'!$B$5:$G$200,6,0),"")</f>
        <v/>
      </c>
      <c r="AA23" s="8" t="str">
        <f t="shared" si="7"/>
        <v/>
      </c>
      <c r="AB23" s="8" t="str">
        <f>IFERROR(VLOOKUP($B$5:$B$199,'[2]9'!$B$5:$D$200,3,0),"")</f>
        <v/>
      </c>
      <c r="AC23" s="8" t="str">
        <f>IFERROR(VLOOKUP($B$5:$B$199,'[2]9'!$B$5:$G$200,6,0),"")</f>
        <v/>
      </c>
      <c r="AD23" s="8" t="str">
        <f t="shared" si="8"/>
        <v/>
      </c>
      <c r="AE23" s="8" t="str">
        <f>IFERROR(VLOOKUP($B$5:$B$199,'[2]10'!$B$5:$D$200,3,0),"")</f>
        <v/>
      </c>
      <c r="AF23" s="8" t="str">
        <f>IFERROR(VLOOKUP($B$5:$B$199,'[2]10'!$B$5:$G$200,6,0),"")</f>
        <v/>
      </c>
      <c r="AG23" s="8" t="str">
        <f t="shared" si="9"/>
        <v/>
      </c>
      <c r="AH23" s="8" t="str">
        <f>IFERROR(VLOOKUP($B$5:$B$199,'[2]11'!$B$5:$D$200,3,0),"")</f>
        <v/>
      </c>
      <c r="AI23" s="8" t="str">
        <f>IFERROR(VLOOKUP($B$5:$B$199,'[2]11'!$B$5:$G$200,6,0),"")</f>
        <v/>
      </c>
      <c r="AJ23" s="8" t="str">
        <f t="shared" si="10"/>
        <v/>
      </c>
      <c r="AK23" s="8" t="str">
        <f>IFERROR(VLOOKUP($B$5:$B$199,'[2]12'!$B$5:$D$200,3,0),"")</f>
        <v/>
      </c>
      <c r="AL23" s="8" t="str">
        <f>IFERROR(VLOOKUP($B$5:$B$199,'[2]12'!$B$5:$G$200,6,0),"")</f>
        <v/>
      </c>
      <c r="AM23" s="8" t="str">
        <f t="shared" si="11"/>
        <v/>
      </c>
      <c r="AN23" s="8" t="str">
        <f>IFERROR(VLOOKUP($B$5:$B$199,'[2]13'!$B$5:$D$200,3,0),"")</f>
        <v/>
      </c>
      <c r="AO23" s="8" t="str">
        <f>IFERROR(VLOOKUP($B$5:$B$199,'[2]13'!$B$5:$G$200,6,0),"")</f>
        <v/>
      </c>
      <c r="AP23" s="8" t="str">
        <f t="shared" si="12"/>
        <v/>
      </c>
      <c r="AQ23" s="8" t="str">
        <f>IFERROR(VLOOKUP($B$5:$B$199,'[2]14'!$B$5:$D$200,3,0),"")</f>
        <v/>
      </c>
      <c r="AR23" s="8" t="str">
        <f>IFERROR(VLOOKUP($B$5:$B$199,'[2]14'!$B$5:$G$200,6,0),"")</f>
        <v/>
      </c>
      <c r="AS23" s="8" t="str">
        <f t="shared" si="13"/>
        <v/>
      </c>
      <c r="AT23" s="8" t="str">
        <f>IFERROR(VLOOKUP($B$5:$B$199,'[2]15'!$B$5:$D$200,3,0),"")</f>
        <v/>
      </c>
      <c r="AU23" s="8" t="str">
        <f>IFERROR(VLOOKUP($B$5:$B$199,'[2]15'!$B$5:$G$200,6,0),"")</f>
        <v/>
      </c>
      <c r="AV23" s="8" t="str">
        <f t="shared" si="14"/>
        <v/>
      </c>
      <c r="AW23" s="8" t="str">
        <f>IFERROR(VLOOKUP($B$5:$B$199,'[2]16'!$B$5:$D$200,3,0),"")</f>
        <v/>
      </c>
      <c r="AX23" s="8" t="str">
        <f>IFERROR(VLOOKUP($B$5:$B$199,'[2]16'!$B$5:$G$200,6,0),"")</f>
        <v/>
      </c>
      <c r="AY23" s="8" t="str">
        <f t="shared" si="15"/>
        <v/>
      </c>
      <c r="AZ23" s="8" t="str">
        <f>IFERROR(VLOOKUP($B$5:$B$199,'[2]17'!$B$5:$D$200,3,0),"")</f>
        <v/>
      </c>
      <c r="BA23" s="8" t="str">
        <f>IFERROR(VLOOKUP($B$5:$B$199,'[2]17'!$B$5:$G$200,6,0),"")</f>
        <v/>
      </c>
      <c r="BB23" s="8" t="str">
        <f t="shared" si="16"/>
        <v/>
      </c>
      <c r="BC23" s="8" t="str">
        <f>IFERROR(VLOOKUP($B$5:$B$199,'[2]18'!$B$5:$D$200,3,0),"")</f>
        <v/>
      </c>
      <c r="BD23" s="8" t="str">
        <f>IFERROR(VLOOKUP($B$5:$B$199,'[2]18'!$B$5:$G$200,6,0),"")</f>
        <v/>
      </c>
      <c r="BE23" s="8" t="str">
        <f t="shared" si="17"/>
        <v/>
      </c>
      <c r="BF23" s="8" t="str">
        <f>IFERROR(VLOOKUP($B$5:$B$199,'[2]19'!$B$5:$D$200,3,0),"")</f>
        <v/>
      </c>
      <c r="BG23" s="8" t="str">
        <f>IFERROR(VLOOKUP($B$5:$B$199,'[2]19'!$B$5:$G$200,6,0),"")</f>
        <v/>
      </c>
      <c r="BH23" s="8" t="str">
        <f t="shared" si="18"/>
        <v/>
      </c>
      <c r="BI23" s="8" t="str">
        <f>IFERROR(VLOOKUP($B$5:$B$199,'[2]20'!$B$5:$D$200,3,0),"")</f>
        <v/>
      </c>
      <c r="BJ23" s="8" t="str">
        <f>IFERROR(VLOOKUP($B$5:$B$199,'[2]20'!$B$5:$G$200,6,0),"")</f>
        <v/>
      </c>
      <c r="BK23" s="8" t="str">
        <f t="shared" si="19"/>
        <v/>
      </c>
      <c r="BL23" s="8" t="str">
        <f>IFERROR(VLOOKUP($B$5:$B$199,'[2]21'!$B$5:$D$200,3,0),"")</f>
        <v/>
      </c>
      <c r="BM23" s="8" t="str">
        <f>IFERROR(VLOOKUP($B$5:$B$199,'[2]21'!$B$5:$G$200,6,0),"")</f>
        <v/>
      </c>
      <c r="BN23" s="8" t="str">
        <f t="shared" si="20"/>
        <v/>
      </c>
      <c r="BO23" s="8" t="str">
        <f>IFERROR(VLOOKUP($B$5:$B$199,'[2]22'!$B$5:$D$200,3,0),"")</f>
        <v/>
      </c>
      <c r="BP23" s="8" t="str">
        <f>IFERROR(VLOOKUP($B$5:$B$199,'[2]22'!$B$5:$G$200,6,0),"")</f>
        <v/>
      </c>
      <c r="BQ23" s="8" t="str">
        <f t="shared" si="21"/>
        <v/>
      </c>
      <c r="BR23" s="8" t="str">
        <f>IFERROR(VLOOKUP($B$5:$B$199,'[2]23'!$B$5:$D$200,3,0),"")</f>
        <v/>
      </c>
      <c r="BS23" s="8" t="str">
        <f>IFERROR(VLOOKUP($B$5:$B$199,'[2]23'!$B$5:$G$200,6,0),"")</f>
        <v/>
      </c>
      <c r="BT23" s="8" t="str">
        <f t="shared" si="22"/>
        <v/>
      </c>
      <c r="BU23" s="8" t="str">
        <f>IFERROR(VLOOKUP($B$5:$B$199,'[2]24'!$B$5:$D$200,3,0),"")</f>
        <v/>
      </c>
      <c r="BV23" s="8" t="str">
        <f>IFERROR(VLOOKUP($B$5:$B$199,'[2]24'!$B$5:$G$200,6,0),"")</f>
        <v/>
      </c>
      <c r="BW23" s="8" t="str">
        <f t="shared" si="23"/>
        <v/>
      </c>
      <c r="BX23" s="8" t="str">
        <f>IFERROR(VLOOKUP($B$5:$B$199,'[2]25'!$B$5:$D$200,3,0),"")</f>
        <v/>
      </c>
      <c r="BY23" s="8" t="str">
        <f>IFERROR(VLOOKUP($B$5:$B$199,'[2]25'!$B$5:$G$200,6,0),"")</f>
        <v/>
      </c>
      <c r="BZ23" s="8" t="str">
        <f t="shared" si="24"/>
        <v/>
      </c>
      <c r="CA23" s="8" t="str">
        <f>IFERROR(VLOOKUP($B$5:$B$199,'[2]26'!$B$5:$D$200,3,0),"")</f>
        <v/>
      </c>
      <c r="CB23" s="8" t="str">
        <f>IFERROR(VLOOKUP($B$5:$B$199,'[2]26'!$B$5:$G$200,6,0),"")</f>
        <v/>
      </c>
      <c r="CC23" s="8" t="str">
        <f t="shared" si="25"/>
        <v/>
      </c>
      <c r="CD23" s="8" t="str">
        <f>IFERROR(VLOOKUP($B$5:$B$199,'[2]27'!$B$5:$D$200,3,0),"")</f>
        <v/>
      </c>
      <c r="CE23" s="8" t="str">
        <f>IFERROR(VLOOKUP($B$5:$B$199,'[2]27'!$B$5:$G$200,6,0),"")</f>
        <v/>
      </c>
      <c r="CF23" s="8" t="str">
        <f t="shared" si="26"/>
        <v/>
      </c>
      <c r="CG23" s="8" t="str">
        <f>IFERROR(VLOOKUP($B$5:$B$199,'[2]28'!$B$5:$D$200,3,0),"")</f>
        <v/>
      </c>
      <c r="CH23" s="8" t="str">
        <f>IFERROR(VLOOKUP($B$5:$B$199,'[2]28'!$B$5:$G$200,6,0),"")</f>
        <v/>
      </c>
      <c r="CI23" s="8" t="str">
        <f t="shared" si="27"/>
        <v/>
      </c>
      <c r="CJ23" s="8" t="str">
        <f>IFERROR(VLOOKUP($B$5:$B$199,'[2]29'!$B$5:$D$200,3,0),"")</f>
        <v/>
      </c>
      <c r="CK23" s="8" t="str">
        <f>IFERROR(VLOOKUP($B$5:$B$199,'[2]29'!$B$5:$G$200,6,0),"")</f>
        <v/>
      </c>
      <c r="CL23" s="8" t="str">
        <f t="shared" si="28"/>
        <v/>
      </c>
      <c r="CM23" s="8" t="str">
        <f>IFERROR(VLOOKUP($B$5:$B$199,'[2]30'!$B$5:$D$200,3,0),"")</f>
        <v/>
      </c>
      <c r="CN23" s="8" t="str">
        <f>IFERROR(VLOOKUP($B$5:$B$199,'[2]30'!$B$5:$G$200,6,0),"")</f>
        <v/>
      </c>
      <c r="CO23" s="8" t="str">
        <f t="shared" si="29"/>
        <v/>
      </c>
      <c r="CP23" s="8" t="str">
        <f>IFERROR(VLOOKUP($B$5:$B$199,'[2]31'!$B$5:$D$200,3,0),"")</f>
        <v/>
      </c>
      <c r="CQ23" s="8" t="str">
        <f>IFERROR(VLOOKUP($B$5:$B$199,'[2]31'!$B$5:$G$200,6,0),"")</f>
        <v/>
      </c>
      <c r="CR23" s="8" t="str">
        <f t="shared" si="30"/>
        <v/>
      </c>
      <c r="CT23" s="3">
        <f t="shared" si="31"/>
        <v>6</v>
      </c>
      <c r="CU23" s="3">
        <f t="shared" si="32"/>
        <v>89841.592394496489</v>
      </c>
      <c r="CV23" s="3">
        <f t="shared" si="33"/>
        <v>539049.55436697893</v>
      </c>
      <c r="CX23">
        <f t="shared" si="34"/>
        <v>2</v>
      </c>
    </row>
    <row r="24" spans="2:102" x14ac:dyDescent="0.25">
      <c r="B24" s="7" t="s">
        <v>73</v>
      </c>
      <c r="C24" s="7" t="str">
        <f>VLOOKUP($B24,DBASE!$C$7:$D$403,2,0)</f>
        <v>SELIMUT KEJU 500</v>
      </c>
      <c r="D24" s="8">
        <f>IFERROR(VLOOKUP($B$5:$B$199,'[2]1'!$B$5:$D$200,3,0),"")</f>
        <v>1</v>
      </c>
      <c r="E24" s="8">
        <f>IFERROR(VLOOKUP($B$5:$B$199,'[2]1'!$B$5:$G$200,6,0),"")</f>
        <v>74441.150174294118</v>
      </c>
      <c r="F24" s="8">
        <f t="shared" si="0"/>
        <v>74441.150174294118</v>
      </c>
      <c r="G24" s="8" t="str">
        <f>IFERROR(VLOOKUP($B$5:$B$199,'[2]2'!$B$5:$D$200,3,0),"")</f>
        <v/>
      </c>
      <c r="H24" s="8" t="str">
        <f>IFERROR(VLOOKUP($B$5:$B$199,'[2]2'!$B$5:$G$200,6,0),"")</f>
        <v/>
      </c>
      <c r="I24" s="8" t="str">
        <f t="shared" si="1"/>
        <v/>
      </c>
      <c r="J24" s="8" t="str">
        <f>IFERROR(VLOOKUP($B$5:$B$199,'[2]3'!$B$5:$D$200,3,0),"")</f>
        <v/>
      </c>
      <c r="K24" s="8" t="str">
        <f>IFERROR(VLOOKUP($B$5:$B$199,'[2]3'!$B$5:$G$200,6,0),"")</f>
        <v/>
      </c>
      <c r="L24" s="8" t="str">
        <f t="shared" si="2"/>
        <v/>
      </c>
      <c r="M24" s="8">
        <f>IFERROR(VLOOKUP($B$5:$B$199,'[2]4'!$B$5:$D$200,3,0),"")</f>
        <v>25</v>
      </c>
      <c r="N24" s="8">
        <f>IFERROR(VLOOKUP($B$5:$B$199,'[2]4'!$B$5:$G$200,6,0),"")</f>
        <v>75438.174760479043</v>
      </c>
      <c r="O24" s="8">
        <f t="shared" si="3"/>
        <v>1885954.3690119761</v>
      </c>
      <c r="P24" s="8" t="str">
        <f>IFERROR(VLOOKUP($B$5:$B$199,'[2]5'!$B$5:$D$200,3,0),"")</f>
        <v/>
      </c>
      <c r="Q24" s="8" t="str">
        <f>IFERROR(VLOOKUP($B$5:$B$199,'[2]5'!$B$5:$G$200,6,0),"")</f>
        <v/>
      </c>
      <c r="R24" s="8" t="str">
        <f t="shared" si="4"/>
        <v/>
      </c>
      <c r="S24" s="8" t="str">
        <f>IFERROR(VLOOKUP($B$5:$B$199,'[2]6'!$B$5:$D$200,3,0),"")</f>
        <v/>
      </c>
      <c r="T24" s="8" t="str">
        <f>IFERROR(VLOOKUP($B$5:$B$199,'[2]6'!$B$5:$G$200,6,0),"")</f>
        <v/>
      </c>
      <c r="U24" s="8" t="str">
        <f t="shared" si="5"/>
        <v/>
      </c>
      <c r="V24" s="8" t="str">
        <f>IFERROR(VLOOKUP($B$5:$B$199,'[2]7'!$B$5:$D$200,3,0),"")</f>
        <v/>
      </c>
      <c r="W24" s="8" t="str">
        <f>IFERROR(VLOOKUP($B$5:$B$199,'[2]7'!$B$5:$G$200,6,0),"")</f>
        <v/>
      </c>
      <c r="X24" s="8" t="str">
        <f t="shared" si="6"/>
        <v/>
      </c>
      <c r="Y24" s="8" t="str">
        <f>IFERROR(VLOOKUP($B$5:$B$199,'[2]8'!$B$5:$D$200,3,0),"")</f>
        <v/>
      </c>
      <c r="Z24" s="8" t="str">
        <f>IFERROR(VLOOKUP($B$5:$B$199,'[2]8'!$B$5:$G$200,6,0),"")</f>
        <v/>
      </c>
      <c r="AA24" s="8" t="str">
        <f t="shared" si="7"/>
        <v/>
      </c>
      <c r="AB24" s="8" t="str">
        <f>IFERROR(VLOOKUP($B$5:$B$199,'[2]9'!$B$5:$D$200,3,0),"")</f>
        <v/>
      </c>
      <c r="AC24" s="8" t="str">
        <f>IFERROR(VLOOKUP($B$5:$B$199,'[2]9'!$B$5:$G$200,6,0),"")</f>
        <v/>
      </c>
      <c r="AD24" s="8" t="str">
        <f t="shared" si="8"/>
        <v/>
      </c>
      <c r="AE24" s="8" t="str">
        <f>IFERROR(VLOOKUP($B$5:$B$199,'[2]10'!$B$5:$D$200,3,0),"")</f>
        <v/>
      </c>
      <c r="AF24" s="8" t="str">
        <f>IFERROR(VLOOKUP($B$5:$B$199,'[2]10'!$B$5:$G$200,6,0),"")</f>
        <v/>
      </c>
      <c r="AG24" s="8" t="str">
        <f t="shared" si="9"/>
        <v/>
      </c>
      <c r="AH24" s="8" t="str">
        <f>IFERROR(VLOOKUP($B$5:$B$199,'[2]11'!$B$5:$D$200,3,0),"")</f>
        <v/>
      </c>
      <c r="AI24" s="8" t="str">
        <f>IFERROR(VLOOKUP($B$5:$B$199,'[2]11'!$B$5:$G$200,6,0),"")</f>
        <v/>
      </c>
      <c r="AJ24" s="8" t="str">
        <f t="shared" si="10"/>
        <v/>
      </c>
      <c r="AK24" s="8" t="str">
        <f>IFERROR(VLOOKUP($B$5:$B$199,'[2]12'!$B$5:$D$200,3,0),"")</f>
        <v/>
      </c>
      <c r="AL24" s="8" t="str">
        <f>IFERROR(VLOOKUP($B$5:$B$199,'[2]12'!$B$5:$G$200,6,0),"")</f>
        <v/>
      </c>
      <c r="AM24" s="8" t="str">
        <f t="shared" si="11"/>
        <v/>
      </c>
      <c r="AN24" s="8" t="str">
        <f>IFERROR(VLOOKUP($B$5:$B$199,'[2]13'!$B$5:$D$200,3,0),"")</f>
        <v/>
      </c>
      <c r="AO24" s="8" t="str">
        <f>IFERROR(VLOOKUP($B$5:$B$199,'[2]13'!$B$5:$G$200,6,0),"")</f>
        <v/>
      </c>
      <c r="AP24" s="8" t="str">
        <f t="shared" si="12"/>
        <v/>
      </c>
      <c r="AQ24" s="8" t="str">
        <f>IFERROR(VLOOKUP($B$5:$B$199,'[2]14'!$B$5:$D$200,3,0),"")</f>
        <v/>
      </c>
      <c r="AR24" s="8" t="str">
        <f>IFERROR(VLOOKUP($B$5:$B$199,'[2]14'!$B$5:$G$200,6,0),"")</f>
        <v/>
      </c>
      <c r="AS24" s="8" t="str">
        <f t="shared" si="13"/>
        <v/>
      </c>
      <c r="AT24" s="8" t="str">
        <f>IFERROR(VLOOKUP($B$5:$B$199,'[2]15'!$B$5:$D$200,3,0),"")</f>
        <v/>
      </c>
      <c r="AU24" s="8" t="str">
        <f>IFERROR(VLOOKUP($B$5:$B$199,'[2]15'!$B$5:$G$200,6,0),"")</f>
        <v/>
      </c>
      <c r="AV24" s="8" t="str">
        <f t="shared" si="14"/>
        <v/>
      </c>
      <c r="AW24" s="8" t="str">
        <f>IFERROR(VLOOKUP($B$5:$B$199,'[2]16'!$B$5:$D$200,3,0),"")</f>
        <v/>
      </c>
      <c r="AX24" s="8" t="str">
        <f>IFERROR(VLOOKUP($B$5:$B$199,'[2]16'!$B$5:$G$200,6,0),"")</f>
        <v/>
      </c>
      <c r="AY24" s="8" t="str">
        <f t="shared" si="15"/>
        <v/>
      </c>
      <c r="AZ24" s="8" t="str">
        <f>IFERROR(VLOOKUP($B$5:$B$199,'[2]17'!$B$5:$D$200,3,0),"")</f>
        <v/>
      </c>
      <c r="BA24" s="8" t="str">
        <f>IFERROR(VLOOKUP($B$5:$B$199,'[2]17'!$B$5:$G$200,6,0),"")</f>
        <v/>
      </c>
      <c r="BB24" s="8" t="str">
        <f t="shared" si="16"/>
        <v/>
      </c>
      <c r="BC24" s="8" t="str">
        <f>IFERROR(VLOOKUP($B$5:$B$199,'[2]18'!$B$5:$D$200,3,0),"")</f>
        <v/>
      </c>
      <c r="BD24" s="8" t="str">
        <f>IFERROR(VLOOKUP($B$5:$B$199,'[2]18'!$B$5:$G$200,6,0),"")</f>
        <v/>
      </c>
      <c r="BE24" s="8" t="str">
        <f t="shared" si="17"/>
        <v/>
      </c>
      <c r="BF24" s="8" t="str">
        <f>IFERROR(VLOOKUP($B$5:$B$199,'[2]19'!$B$5:$D$200,3,0),"")</f>
        <v/>
      </c>
      <c r="BG24" s="8" t="str">
        <f>IFERROR(VLOOKUP($B$5:$B$199,'[2]19'!$B$5:$G$200,6,0),"")</f>
        <v/>
      </c>
      <c r="BH24" s="8" t="str">
        <f t="shared" si="18"/>
        <v/>
      </c>
      <c r="BI24" s="8" t="str">
        <f>IFERROR(VLOOKUP($B$5:$B$199,'[2]20'!$B$5:$D$200,3,0),"")</f>
        <v/>
      </c>
      <c r="BJ24" s="8" t="str">
        <f>IFERROR(VLOOKUP($B$5:$B$199,'[2]20'!$B$5:$G$200,6,0),"")</f>
        <v/>
      </c>
      <c r="BK24" s="8" t="str">
        <f t="shared" si="19"/>
        <v/>
      </c>
      <c r="BL24" s="8" t="str">
        <f>IFERROR(VLOOKUP($B$5:$B$199,'[2]21'!$B$5:$D$200,3,0),"")</f>
        <v/>
      </c>
      <c r="BM24" s="8" t="str">
        <f>IFERROR(VLOOKUP($B$5:$B$199,'[2]21'!$B$5:$G$200,6,0),"")</f>
        <v/>
      </c>
      <c r="BN24" s="8" t="str">
        <f t="shared" si="20"/>
        <v/>
      </c>
      <c r="BO24" s="8" t="str">
        <f>IFERROR(VLOOKUP($B$5:$B$199,'[2]22'!$B$5:$D$200,3,0),"")</f>
        <v/>
      </c>
      <c r="BP24" s="8" t="str">
        <f>IFERROR(VLOOKUP($B$5:$B$199,'[2]22'!$B$5:$G$200,6,0),"")</f>
        <v/>
      </c>
      <c r="BQ24" s="8" t="str">
        <f t="shared" si="21"/>
        <v/>
      </c>
      <c r="BR24" s="8" t="str">
        <f>IFERROR(VLOOKUP($B$5:$B$199,'[2]23'!$B$5:$D$200,3,0),"")</f>
        <v/>
      </c>
      <c r="BS24" s="8" t="str">
        <f>IFERROR(VLOOKUP($B$5:$B$199,'[2]23'!$B$5:$G$200,6,0),"")</f>
        <v/>
      </c>
      <c r="BT24" s="8" t="str">
        <f t="shared" si="22"/>
        <v/>
      </c>
      <c r="BU24" s="8" t="str">
        <f>IFERROR(VLOOKUP($B$5:$B$199,'[2]24'!$B$5:$D$200,3,0),"")</f>
        <v/>
      </c>
      <c r="BV24" s="8" t="str">
        <f>IFERROR(VLOOKUP($B$5:$B$199,'[2]24'!$B$5:$G$200,6,0),"")</f>
        <v/>
      </c>
      <c r="BW24" s="8" t="str">
        <f t="shared" si="23"/>
        <v/>
      </c>
      <c r="BX24" s="8" t="str">
        <f>IFERROR(VLOOKUP($B$5:$B$199,'[2]25'!$B$5:$D$200,3,0),"")</f>
        <v/>
      </c>
      <c r="BY24" s="8" t="str">
        <f>IFERROR(VLOOKUP($B$5:$B$199,'[2]25'!$B$5:$G$200,6,0),"")</f>
        <v/>
      </c>
      <c r="BZ24" s="8" t="str">
        <f t="shared" si="24"/>
        <v/>
      </c>
      <c r="CA24" s="8" t="str">
        <f>IFERROR(VLOOKUP($B$5:$B$199,'[2]26'!$B$5:$D$200,3,0),"")</f>
        <v/>
      </c>
      <c r="CB24" s="8" t="str">
        <f>IFERROR(VLOOKUP($B$5:$B$199,'[2]26'!$B$5:$G$200,6,0),"")</f>
        <v/>
      </c>
      <c r="CC24" s="8" t="str">
        <f t="shared" si="25"/>
        <v/>
      </c>
      <c r="CD24" s="8" t="str">
        <f>IFERROR(VLOOKUP($B$5:$B$199,'[2]27'!$B$5:$D$200,3,0),"")</f>
        <v/>
      </c>
      <c r="CE24" s="8" t="str">
        <f>IFERROR(VLOOKUP($B$5:$B$199,'[2]27'!$B$5:$G$200,6,0),"")</f>
        <v/>
      </c>
      <c r="CF24" s="8" t="str">
        <f t="shared" si="26"/>
        <v/>
      </c>
      <c r="CG24" s="8" t="str">
        <f>IFERROR(VLOOKUP($B$5:$B$199,'[2]28'!$B$5:$D$200,3,0),"")</f>
        <v/>
      </c>
      <c r="CH24" s="8" t="str">
        <f>IFERROR(VLOOKUP($B$5:$B$199,'[2]28'!$B$5:$G$200,6,0),"")</f>
        <v/>
      </c>
      <c r="CI24" s="8" t="str">
        <f t="shared" si="27"/>
        <v/>
      </c>
      <c r="CJ24" s="8" t="str">
        <f>IFERROR(VLOOKUP($B$5:$B$199,'[2]29'!$B$5:$D$200,3,0),"")</f>
        <v/>
      </c>
      <c r="CK24" s="8" t="str">
        <f>IFERROR(VLOOKUP($B$5:$B$199,'[2]29'!$B$5:$G$200,6,0),"")</f>
        <v/>
      </c>
      <c r="CL24" s="8" t="str">
        <f t="shared" si="28"/>
        <v/>
      </c>
      <c r="CM24" s="8" t="str">
        <f>IFERROR(VLOOKUP($B$5:$B$199,'[2]30'!$B$5:$D$200,3,0),"")</f>
        <v/>
      </c>
      <c r="CN24" s="8" t="str">
        <f>IFERROR(VLOOKUP($B$5:$B$199,'[2]30'!$B$5:$G$200,6,0),"")</f>
        <v/>
      </c>
      <c r="CO24" s="8" t="str">
        <f t="shared" si="29"/>
        <v/>
      </c>
      <c r="CP24" s="8" t="str">
        <f>IFERROR(VLOOKUP($B$5:$B$199,'[2]31'!$B$5:$D$200,3,0),"")</f>
        <v/>
      </c>
      <c r="CQ24" s="8" t="str">
        <f>IFERROR(VLOOKUP($B$5:$B$199,'[2]31'!$B$5:$G$200,6,0),"")</f>
        <v/>
      </c>
      <c r="CR24" s="8" t="str">
        <f t="shared" si="30"/>
        <v/>
      </c>
      <c r="CT24" s="3">
        <f t="shared" si="31"/>
        <v>26</v>
      </c>
      <c r="CU24" s="3">
        <f t="shared" si="32"/>
        <v>74939.662467386574</v>
      </c>
      <c r="CV24" s="3">
        <f t="shared" si="33"/>
        <v>1948431.2241520509</v>
      </c>
      <c r="CX24">
        <f t="shared" si="34"/>
        <v>2</v>
      </c>
    </row>
    <row r="25" spans="2:102" x14ac:dyDescent="0.25">
      <c r="B25" s="7" t="s">
        <v>74</v>
      </c>
      <c r="C25" s="7" t="str">
        <f>VLOOKUP($B25,DBASE!$C$7:$D$403,2,0)</f>
        <v>SELIMUT COKLAT 500</v>
      </c>
      <c r="D25" s="8">
        <f>IFERROR(VLOOKUP($B$5:$B$199,'[2]1'!$B$5:$D$200,3,0),"")</f>
        <v>2</v>
      </c>
      <c r="E25" s="8">
        <f>IFERROR(VLOOKUP($B$5:$B$199,'[2]1'!$B$5:$G$200,6,0),"")</f>
        <v>74441.150174294118</v>
      </c>
      <c r="F25" s="8">
        <f t="shared" si="0"/>
        <v>148882.30034858824</v>
      </c>
      <c r="G25" s="8" t="str">
        <f>IFERROR(VLOOKUP($B$5:$B$199,'[2]2'!$B$5:$D$200,3,0),"")</f>
        <v/>
      </c>
      <c r="H25" s="8" t="str">
        <f>IFERROR(VLOOKUP($B$5:$B$199,'[2]2'!$B$5:$G$200,6,0),"")</f>
        <v/>
      </c>
      <c r="I25" s="8" t="str">
        <f t="shared" si="1"/>
        <v/>
      </c>
      <c r="J25" s="8" t="str">
        <f>IFERROR(VLOOKUP($B$5:$B$199,'[2]3'!$B$5:$D$200,3,0),"")</f>
        <v/>
      </c>
      <c r="K25" s="8" t="str">
        <f>IFERROR(VLOOKUP($B$5:$B$199,'[2]3'!$B$5:$G$200,6,0),"")</f>
        <v/>
      </c>
      <c r="L25" s="8" t="str">
        <f t="shared" si="2"/>
        <v/>
      </c>
      <c r="M25" s="8">
        <f>IFERROR(VLOOKUP($B$5:$B$199,'[2]4'!$B$5:$D$200,3,0),"")</f>
        <v>15</v>
      </c>
      <c r="N25" s="8">
        <f>IFERROR(VLOOKUP($B$5:$B$199,'[2]4'!$B$5:$G$200,6,0),"")</f>
        <v>75438.174760479043</v>
      </c>
      <c r="O25" s="8">
        <f t="shared" si="3"/>
        <v>1131572.6214071857</v>
      </c>
      <c r="P25" s="8" t="str">
        <f>IFERROR(VLOOKUP($B$5:$B$199,'[2]5'!$B$5:$D$200,3,0),"")</f>
        <v/>
      </c>
      <c r="Q25" s="8" t="str">
        <f>IFERROR(VLOOKUP($B$5:$B$199,'[2]5'!$B$5:$G$200,6,0),"")</f>
        <v/>
      </c>
      <c r="R25" s="8" t="str">
        <f t="shared" si="4"/>
        <v/>
      </c>
      <c r="S25" s="8" t="str">
        <f>IFERROR(VLOOKUP($B$5:$B$199,'[2]6'!$B$5:$D$200,3,0),"")</f>
        <v/>
      </c>
      <c r="T25" s="8" t="str">
        <f>IFERROR(VLOOKUP($B$5:$B$199,'[2]6'!$B$5:$G$200,6,0),"")</f>
        <v/>
      </c>
      <c r="U25" s="8" t="str">
        <f t="shared" si="5"/>
        <v/>
      </c>
      <c r="V25" s="8" t="str">
        <f>IFERROR(VLOOKUP($B$5:$B$199,'[2]7'!$B$5:$D$200,3,0),"")</f>
        <v/>
      </c>
      <c r="W25" s="8" t="str">
        <f>IFERROR(VLOOKUP($B$5:$B$199,'[2]7'!$B$5:$G$200,6,0),"")</f>
        <v/>
      </c>
      <c r="X25" s="8" t="str">
        <f t="shared" si="6"/>
        <v/>
      </c>
      <c r="Y25" s="8" t="str">
        <f>IFERROR(VLOOKUP($B$5:$B$199,'[2]8'!$B$5:$D$200,3,0),"")</f>
        <v/>
      </c>
      <c r="Z25" s="8" t="str">
        <f>IFERROR(VLOOKUP($B$5:$B$199,'[2]8'!$B$5:$G$200,6,0),"")</f>
        <v/>
      </c>
      <c r="AA25" s="8" t="str">
        <f t="shared" si="7"/>
        <v/>
      </c>
      <c r="AB25" s="8" t="str">
        <f>IFERROR(VLOOKUP($B$5:$B$199,'[2]9'!$B$5:$D$200,3,0),"")</f>
        <v/>
      </c>
      <c r="AC25" s="8" t="str">
        <f>IFERROR(VLOOKUP($B$5:$B$199,'[2]9'!$B$5:$G$200,6,0),"")</f>
        <v/>
      </c>
      <c r="AD25" s="8" t="str">
        <f t="shared" si="8"/>
        <v/>
      </c>
      <c r="AE25" s="8" t="str">
        <f>IFERROR(VLOOKUP($B$5:$B$199,'[2]10'!$B$5:$D$200,3,0),"")</f>
        <v/>
      </c>
      <c r="AF25" s="8" t="str">
        <f>IFERROR(VLOOKUP($B$5:$B$199,'[2]10'!$B$5:$G$200,6,0),"")</f>
        <v/>
      </c>
      <c r="AG25" s="8" t="str">
        <f t="shared" si="9"/>
        <v/>
      </c>
      <c r="AH25" s="8" t="str">
        <f>IFERROR(VLOOKUP($B$5:$B$199,'[2]11'!$B$5:$D$200,3,0),"")</f>
        <v/>
      </c>
      <c r="AI25" s="8" t="str">
        <f>IFERROR(VLOOKUP($B$5:$B$199,'[2]11'!$B$5:$G$200,6,0),"")</f>
        <v/>
      </c>
      <c r="AJ25" s="8" t="str">
        <f t="shared" si="10"/>
        <v/>
      </c>
      <c r="AK25" s="8" t="str">
        <f>IFERROR(VLOOKUP($B$5:$B$199,'[2]12'!$B$5:$D$200,3,0),"")</f>
        <v/>
      </c>
      <c r="AL25" s="8" t="str">
        <f>IFERROR(VLOOKUP($B$5:$B$199,'[2]12'!$B$5:$G$200,6,0),"")</f>
        <v/>
      </c>
      <c r="AM25" s="8" t="str">
        <f t="shared" si="11"/>
        <v/>
      </c>
      <c r="AN25" s="8" t="str">
        <f>IFERROR(VLOOKUP($B$5:$B$199,'[2]13'!$B$5:$D$200,3,0),"")</f>
        <v/>
      </c>
      <c r="AO25" s="8" t="str">
        <f>IFERROR(VLOOKUP($B$5:$B$199,'[2]13'!$B$5:$G$200,6,0),"")</f>
        <v/>
      </c>
      <c r="AP25" s="8" t="str">
        <f t="shared" si="12"/>
        <v/>
      </c>
      <c r="AQ25" s="8" t="str">
        <f>IFERROR(VLOOKUP($B$5:$B$199,'[2]14'!$B$5:$D$200,3,0),"")</f>
        <v/>
      </c>
      <c r="AR25" s="8" t="str">
        <f>IFERROR(VLOOKUP($B$5:$B$199,'[2]14'!$B$5:$G$200,6,0),"")</f>
        <v/>
      </c>
      <c r="AS25" s="8" t="str">
        <f t="shared" si="13"/>
        <v/>
      </c>
      <c r="AT25" s="8" t="str">
        <f>IFERROR(VLOOKUP($B$5:$B$199,'[2]15'!$B$5:$D$200,3,0),"")</f>
        <v/>
      </c>
      <c r="AU25" s="8" t="str">
        <f>IFERROR(VLOOKUP($B$5:$B$199,'[2]15'!$B$5:$G$200,6,0),"")</f>
        <v/>
      </c>
      <c r="AV25" s="8" t="str">
        <f t="shared" si="14"/>
        <v/>
      </c>
      <c r="AW25" s="8" t="str">
        <f>IFERROR(VLOOKUP($B$5:$B$199,'[2]16'!$B$5:$D$200,3,0),"")</f>
        <v/>
      </c>
      <c r="AX25" s="8" t="str">
        <f>IFERROR(VLOOKUP($B$5:$B$199,'[2]16'!$B$5:$G$200,6,0),"")</f>
        <v/>
      </c>
      <c r="AY25" s="8" t="str">
        <f t="shared" si="15"/>
        <v/>
      </c>
      <c r="AZ25" s="8" t="str">
        <f>IFERROR(VLOOKUP($B$5:$B$199,'[2]17'!$B$5:$D$200,3,0),"")</f>
        <v/>
      </c>
      <c r="BA25" s="8" t="str">
        <f>IFERROR(VLOOKUP($B$5:$B$199,'[2]17'!$B$5:$G$200,6,0),"")</f>
        <v/>
      </c>
      <c r="BB25" s="8" t="str">
        <f t="shared" si="16"/>
        <v/>
      </c>
      <c r="BC25" s="8" t="str">
        <f>IFERROR(VLOOKUP($B$5:$B$199,'[2]18'!$B$5:$D$200,3,0),"")</f>
        <v/>
      </c>
      <c r="BD25" s="8" t="str">
        <f>IFERROR(VLOOKUP($B$5:$B$199,'[2]18'!$B$5:$G$200,6,0),"")</f>
        <v/>
      </c>
      <c r="BE25" s="8" t="str">
        <f t="shared" si="17"/>
        <v/>
      </c>
      <c r="BF25" s="8" t="str">
        <f>IFERROR(VLOOKUP($B$5:$B$199,'[2]19'!$B$5:$D$200,3,0),"")</f>
        <v/>
      </c>
      <c r="BG25" s="8" t="str">
        <f>IFERROR(VLOOKUP($B$5:$B$199,'[2]19'!$B$5:$G$200,6,0),"")</f>
        <v/>
      </c>
      <c r="BH25" s="8" t="str">
        <f t="shared" si="18"/>
        <v/>
      </c>
      <c r="BI25" s="8" t="str">
        <f>IFERROR(VLOOKUP($B$5:$B$199,'[2]20'!$B$5:$D$200,3,0),"")</f>
        <v/>
      </c>
      <c r="BJ25" s="8" t="str">
        <f>IFERROR(VLOOKUP($B$5:$B$199,'[2]20'!$B$5:$G$200,6,0),"")</f>
        <v/>
      </c>
      <c r="BK25" s="8" t="str">
        <f t="shared" si="19"/>
        <v/>
      </c>
      <c r="BL25" s="8" t="str">
        <f>IFERROR(VLOOKUP($B$5:$B$199,'[2]21'!$B$5:$D$200,3,0),"")</f>
        <v/>
      </c>
      <c r="BM25" s="8" t="str">
        <f>IFERROR(VLOOKUP($B$5:$B$199,'[2]21'!$B$5:$G$200,6,0),"")</f>
        <v/>
      </c>
      <c r="BN25" s="8" t="str">
        <f t="shared" si="20"/>
        <v/>
      </c>
      <c r="BO25" s="8" t="str">
        <f>IFERROR(VLOOKUP($B$5:$B$199,'[2]22'!$B$5:$D$200,3,0),"")</f>
        <v/>
      </c>
      <c r="BP25" s="8" t="str">
        <f>IFERROR(VLOOKUP($B$5:$B$199,'[2]22'!$B$5:$G$200,6,0),"")</f>
        <v/>
      </c>
      <c r="BQ25" s="8" t="str">
        <f t="shared" si="21"/>
        <v/>
      </c>
      <c r="BR25" s="8" t="str">
        <f>IFERROR(VLOOKUP($B$5:$B$199,'[2]23'!$B$5:$D$200,3,0),"")</f>
        <v/>
      </c>
      <c r="BS25" s="8" t="str">
        <f>IFERROR(VLOOKUP($B$5:$B$199,'[2]23'!$B$5:$G$200,6,0),"")</f>
        <v/>
      </c>
      <c r="BT25" s="8" t="str">
        <f t="shared" si="22"/>
        <v/>
      </c>
      <c r="BU25" s="8" t="str">
        <f>IFERROR(VLOOKUP($B$5:$B$199,'[2]24'!$B$5:$D$200,3,0),"")</f>
        <v/>
      </c>
      <c r="BV25" s="8" t="str">
        <f>IFERROR(VLOOKUP($B$5:$B$199,'[2]24'!$B$5:$G$200,6,0),"")</f>
        <v/>
      </c>
      <c r="BW25" s="8" t="str">
        <f t="shared" si="23"/>
        <v/>
      </c>
      <c r="BX25" s="8" t="str">
        <f>IFERROR(VLOOKUP($B$5:$B$199,'[2]25'!$B$5:$D$200,3,0),"")</f>
        <v/>
      </c>
      <c r="BY25" s="8" t="str">
        <f>IFERROR(VLOOKUP($B$5:$B$199,'[2]25'!$B$5:$G$200,6,0),"")</f>
        <v/>
      </c>
      <c r="BZ25" s="8" t="str">
        <f t="shared" si="24"/>
        <v/>
      </c>
      <c r="CA25" s="8" t="str">
        <f>IFERROR(VLOOKUP($B$5:$B$199,'[2]26'!$B$5:$D$200,3,0),"")</f>
        <v/>
      </c>
      <c r="CB25" s="8" t="str">
        <f>IFERROR(VLOOKUP($B$5:$B$199,'[2]26'!$B$5:$G$200,6,0),"")</f>
        <v/>
      </c>
      <c r="CC25" s="8" t="str">
        <f t="shared" si="25"/>
        <v/>
      </c>
      <c r="CD25" s="8" t="str">
        <f>IFERROR(VLOOKUP($B$5:$B$199,'[2]27'!$B$5:$D$200,3,0),"")</f>
        <v/>
      </c>
      <c r="CE25" s="8" t="str">
        <f>IFERROR(VLOOKUP($B$5:$B$199,'[2]27'!$B$5:$G$200,6,0),"")</f>
        <v/>
      </c>
      <c r="CF25" s="8" t="str">
        <f t="shared" si="26"/>
        <v/>
      </c>
      <c r="CG25" s="8" t="str">
        <f>IFERROR(VLOOKUP($B$5:$B$199,'[2]28'!$B$5:$D$200,3,0),"")</f>
        <v/>
      </c>
      <c r="CH25" s="8" t="str">
        <f>IFERROR(VLOOKUP($B$5:$B$199,'[2]28'!$B$5:$G$200,6,0),"")</f>
        <v/>
      </c>
      <c r="CI25" s="8" t="str">
        <f t="shared" si="27"/>
        <v/>
      </c>
      <c r="CJ25" s="8" t="str">
        <f>IFERROR(VLOOKUP($B$5:$B$199,'[2]29'!$B$5:$D$200,3,0),"")</f>
        <v/>
      </c>
      <c r="CK25" s="8" t="str">
        <f>IFERROR(VLOOKUP($B$5:$B$199,'[2]29'!$B$5:$G$200,6,0),"")</f>
        <v/>
      </c>
      <c r="CL25" s="8" t="str">
        <f t="shared" si="28"/>
        <v/>
      </c>
      <c r="CM25" s="8" t="str">
        <f>IFERROR(VLOOKUP($B$5:$B$199,'[2]30'!$B$5:$D$200,3,0),"")</f>
        <v/>
      </c>
      <c r="CN25" s="8" t="str">
        <f>IFERROR(VLOOKUP($B$5:$B$199,'[2]30'!$B$5:$G$200,6,0),"")</f>
        <v/>
      </c>
      <c r="CO25" s="8" t="str">
        <f t="shared" si="29"/>
        <v/>
      </c>
      <c r="CP25" s="8" t="str">
        <f>IFERROR(VLOOKUP($B$5:$B$199,'[2]31'!$B$5:$D$200,3,0),"")</f>
        <v/>
      </c>
      <c r="CQ25" s="8" t="str">
        <f>IFERROR(VLOOKUP($B$5:$B$199,'[2]31'!$B$5:$G$200,6,0),"")</f>
        <v/>
      </c>
      <c r="CR25" s="8" t="str">
        <f t="shared" si="30"/>
        <v/>
      </c>
      <c r="CT25" s="3">
        <f t="shared" si="31"/>
        <v>17</v>
      </c>
      <c r="CU25" s="3">
        <f t="shared" si="32"/>
        <v>74939.662467386574</v>
      </c>
      <c r="CV25" s="3">
        <f t="shared" si="33"/>
        <v>1273974.2619455718</v>
      </c>
      <c r="CX25">
        <f t="shared" si="34"/>
        <v>2</v>
      </c>
    </row>
    <row r="26" spans="2:102" x14ac:dyDescent="0.25">
      <c r="B26" s="7" t="s">
        <v>130</v>
      </c>
      <c r="C26" s="7" t="str">
        <f>VLOOKUP($B26,DBASE!$C$7:$D$403,2,0)</f>
        <v>SELIMUT KEJU 2000</v>
      </c>
      <c r="D26" s="8" t="str">
        <f>IFERROR(VLOOKUP($B$5:$B$199,'[2]1'!$B$5:$D$200,3,0),"")</f>
        <v/>
      </c>
      <c r="E26" s="8" t="str">
        <f>IFERROR(VLOOKUP($B$5:$B$199,'[2]1'!$B$5:$G$200,6,0),"")</f>
        <v/>
      </c>
      <c r="F26" s="8" t="str">
        <f t="shared" si="0"/>
        <v/>
      </c>
      <c r="G26" s="8" t="str">
        <f>IFERROR(VLOOKUP($B$5:$B$199,'[2]2'!$B$5:$D$200,3,0),"")</f>
        <v/>
      </c>
      <c r="H26" s="8" t="str">
        <f>IFERROR(VLOOKUP($B$5:$B$199,'[2]2'!$B$5:$G$200,6,0),"")</f>
        <v/>
      </c>
      <c r="I26" s="8" t="str">
        <f t="shared" si="1"/>
        <v/>
      </c>
      <c r="J26" s="8" t="str">
        <f>IFERROR(VLOOKUP($B$5:$B$199,'[2]3'!$B$5:$D$200,3,0),"")</f>
        <v/>
      </c>
      <c r="K26" s="8" t="str">
        <f>IFERROR(VLOOKUP($B$5:$B$199,'[2]3'!$B$5:$G$200,6,0),"")</f>
        <v/>
      </c>
      <c r="L26" s="8" t="str">
        <f t="shared" si="2"/>
        <v/>
      </c>
      <c r="M26" s="8" t="str">
        <f>IFERROR(VLOOKUP($B$5:$B$199,'[2]4'!$B$5:$D$200,3,0),"")</f>
        <v/>
      </c>
      <c r="N26" s="8" t="str">
        <f>IFERROR(VLOOKUP($B$5:$B$199,'[2]4'!$B$5:$G$200,6,0),"")</f>
        <v/>
      </c>
      <c r="O26" s="8" t="str">
        <f t="shared" si="3"/>
        <v/>
      </c>
      <c r="P26" s="8" t="str">
        <f>IFERROR(VLOOKUP($B$5:$B$199,'[2]5'!$B$5:$D$200,3,0),"")</f>
        <v/>
      </c>
      <c r="Q26" s="8" t="str">
        <f>IFERROR(VLOOKUP($B$5:$B$199,'[2]5'!$B$5:$G$200,6,0),"")</f>
        <v/>
      </c>
      <c r="R26" s="8" t="str">
        <f t="shared" si="4"/>
        <v/>
      </c>
      <c r="S26" s="8">
        <f>IFERROR(VLOOKUP($B$5:$B$199,'[2]6'!$B$5:$D$200,3,0),"")</f>
        <v>20</v>
      </c>
      <c r="T26" s="8">
        <f>IFERROR(VLOOKUP($B$5:$B$199,'[2]6'!$B$5:$G$200,6,0),"")</f>
        <v>89948.44988571429</v>
      </c>
      <c r="U26" s="8">
        <f t="shared" si="5"/>
        <v>1798968.9977142857</v>
      </c>
      <c r="V26" s="8" t="str">
        <f>IFERROR(VLOOKUP($B$5:$B$199,'[2]7'!$B$5:$D$200,3,0),"")</f>
        <v/>
      </c>
      <c r="W26" s="8" t="str">
        <f>IFERROR(VLOOKUP($B$5:$B$199,'[2]7'!$B$5:$G$200,6,0),"")</f>
        <v/>
      </c>
      <c r="X26" s="8" t="str">
        <f t="shared" si="6"/>
        <v/>
      </c>
      <c r="Y26" s="8" t="str">
        <f>IFERROR(VLOOKUP($B$5:$B$199,'[2]8'!$B$5:$D$200,3,0),"")</f>
        <v/>
      </c>
      <c r="Z26" s="8" t="str">
        <f>IFERROR(VLOOKUP($B$5:$B$199,'[2]8'!$B$5:$G$200,6,0),"")</f>
        <v/>
      </c>
      <c r="AA26" s="8" t="str">
        <f t="shared" si="7"/>
        <v/>
      </c>
      <c r="AB26" s="8" t="str">
        <f>IFERROR(VLOOKUP($B$5:$B$199,'[2]9'!$B$5:$D$200,3,0),"")</f>
        <v/>
      </c>
      <c r="AC26" s="8" t="str">
        <f>IFERROR(VLOOKUP($B$5:$B$199,'[2]9'!$B$5:$G$200,6,0),"")</f>
        <v/>
      </c>
      <c r="AD26" s="8" t="str">
        <f t="shared" si="8"/>
        <v/>
      </c>
      <c r="AE26" s="8" t="str">
        <f>IFERROR(VLOOKUP($B$5:$B$199,'[2]10'!$B$5:$D$200,3,0),"")</f>
        <v/>
      </c>
      <c r="AF26" s="8" t="str">
        <f>IFERROR(VLOOKUP($B$5:$B$199,'[2]10'!$B$5:$G$200,6,0),"")</f>
        <v/>
      </c>
      <c r="AG26" s="8" t="str">
        <f t="shared" si="9"/>
        <v/>
      </c>
      <c r="AH26" s="8" t="str">
        <f>IFERROR(VLOOKUP($B$5:$B$199,'[2]11'!$B$5:$D$200,3,0),"")</f>
        <v/>
      </c>
      <c r="AI26" s="8" t="str">
        <f>IFERROR(VLOOKUP($B$5:$B$199,'[2]11'!$B$5:$G$200,6,0),"")</f>
        <v/>
      </c>
      <c r="AJ26" s="8" t="str">
        <f t="shared" si="10"/>
        <v/>
      </c>
      <c r="AK26" s="8" t="str">
        <f>IFERROR(VLOOKUP($B$5:$B$199,'[2]12'!$B$5:$D$200,3,0),"")</f>
        <v/>
      </c>
      <c r="AL26" s="8" t="str">
        <f>IFERROR(VLOOKUP($B$5:$B$199,'[2]12'!$B$5:$G$200,6,0),"")</f>
        <v/>
      </c>
      <c r="AM26" s="8" t="str">
        <f t="shared" si="11"/>
        <v/>
      </c>
      <c r="AN26" s="8" t="str">
        <f>IFERROR(VLOOKUP($B$5:$B$199,'[2]13'!$B$5:$D$200,3,0),"")</f>
        <v/>
      </c>
      <c r="AO26" s="8" t="str">
        <f>IFERROR(VLOOKUP($B$5:$B$199,'[2]13'!$B$5:$G$200,6,0),"")</f>
        <v/>
      </c>
      <c r="AP26" s="8" t="str">
        <f t="shared" si="12"/>
        <v/>
      </c>
      <c r="AQ26" s="8" t="str">
        <f>IFERROR(VLOOKUP($B$5:$B$199,'[2]14'!$B$5:$D$200,3,0),"")</f>
        <v/>
      </c>
      <c r="AR26" s="8" t="str">
        <f>IFERROR(VLOOKUP($B$5:$B$199,'[2]14'!$B$5:$G$200,6,0),"")</f>
        <v/>
      </c>
      <c r="AS26" s="8" t="str">
        <f t="shared" si="13"/>
        <v/>
      </c>
      <c r="AT26" s="8" t="str">
        <f>IFERROR(VLOOKUP($B$5:$B$199,'[2]15'!$B$5:$D$200,3,0),"")</f>
        <v/>
      </c>
      <c r="AU26" s="8" t="str">
        <f>IFERROR(VLOOKUP($B$5:$B$199,'[2]15'!$B$5:$G$200,6,0),"")</f>
        <v/>
      </c>
      <c r="AV26" s="8" t="str">
        <f t="shared" si="14"/>
        <v/>
      </c>
      <c r="AW26" s="8" t="str">
        <f>IFERROR(VLOOKUP($B$5:$B$199,'[2]16'!$B$5:$D$200,3,0),"")</f>
        <v/>
      </c>
      <c r="AX26" s="8" t="str">
        <f>IFERROR(VLOOKUP($B$5:$B$199,'[2]16'!$B$5:$G$200,6,0),"")</f>
        <v/>
      </c>
      <c r="AY26" s="8" t="str">
        <f t="shared" si="15"/>
        <v/>
      </c>
      <c r="AZ26" s="8" t="str">
        <f>IFERROR(VLOOKUP($B$5:$B$199,'[2]17'!$B$5:$D$200,3,0),"")</f>
        <v/>
      </c>
      <c r="BA26" s="8" t="str">
        <f>IFERROR(VLOOKUP($B$5:$B$199,'[2]17'!$B$5:$G$200,6,0),"")</f>
        <v/>
      </c>
      <c r="BB26" s="8" t="str">
        <f t="shared" si="16"/>
        <v/>
      </c>
      <c r="BC26" s="8" t="str">
        <f>IFERROR(VLOOKUP($B$5:$B$199,'[2]18'!$B$5:$D$200,3,0),"")</f>
        <v/>
      </c>
      <c r="BD26" s="8" t="str">
        <f>IFERROR(VLOOKUP($B$5:$B$199,'[2]18'!$B$5:$G$200,6,0),"")</f>
        <v/>
      </c>
      <c r="BE26" s="8" t="str">
        <f t="shared" si="17"/>
        <v/>
      </c>
      <c r="BF26" s="8" t="str">
        <f>IFERROR(VLOOKUP($B$5:$B$199,'[2]19'!$B$5:$D$200,3,0),"")</f>
        <v/>
      </c>
      <c r="BG26" s="8" t="str">
        <f>IFERROR(VLOOKUP($B$5:$B$199,'[2]19'!$B$5:$G$200,6,0),"")</f>
        <v/>
      </c>
      <c r="BH26" s="8" t="str">
        <f t="shared" si="18"/>
        <v/>
      </c>
      <c r="BI26" s="8" t="str">
        <f>IFERROR(VLOOKUP($B$5:$B$199,'[2]20'!$B$5:$D$200,3,0),"")</f>
        <v/>
      </c>
      <c r="BJ26" s="8" t="str">
        <f>IFERROR(VLOOKUP($B$5:$B$199,'[2]20'!$B$5:$G$200,6,0),"")</f>
        <v/>
      </c>
      <c r="BK26" s="8" t="str">
        <f t="shared" si="19"/>
        <v/>
      </c>
      <c r="BL26" s="8" t="str">
        <f>IFERROR(VLOOKUP($B$5:$B$199,'[2]21'!$B$5:$D$200,3,0),"")</f>
        <v/>
      </c>
      <c r="BM26" s="8" t="str">
        <f>IFERROR(VLOOKUP($B$5:$B$199,'[2]21'!$B$5:$G$200,6,0),"")</f>
        <v/>
      </c>
      <c r="BN26" s="8" t="str">
        <f t="shared" si="20"/>
        <v/>
      </c>
      <c r="BO26" s="8" t="str">
        <f>IFERROR(VLOOKUP($B$5:$B$199,'[2]22'!$B$5:$D$200,3,0),"")</f>
        <v/>
      </c>
      <c r="BP26" s="8" t="str">
        <f>IFERROR(VLOOKUP($B$5:$B$199,'[2]22'!$B$5:$G$200,6,0),"")</f>
        <v/>
      </c>
      <c r="BQ26" s="8" t="str">
        <f t="shared" si="21"/>
        <v/>
      </c>
      <c r="BR26" s="8" t="str">
        <f>IFERROR(VLOOKUP($B$5:$B$199,'[2]23'!$B$5:$D$200,3,0),"")</f>
        <v/>
      </c>
      <c r="BS26" s="8" t="str">
        <f>IFERROR(VLOOKUP($B$5:$B$199,'[2]23'!$B$5:$G$200,6,0),"")</f>
        <v/>
      </c>
      <c r="BT26" s="8" t="str">
        <f t="shared" si="22"/>
        <v/>
      </c>
      <c r="BU26" s="8" t="str">
        <f>IFERROR(VLOOKUP($B$5:$B$199,'[2]24'!$B$5:$D$200,3,0),"")</f>
        <v/>
      </c>
      <c r="BV26" s="8" t="str">
        <f>IFERROR(VLOOKUP($B$5:$B$199,'[2]24'!$B$5:$G$200,6,0),"")</f>
        <v/>
      </c>
      <c r="BW26" s="8" t="str">
        <f t="shared" si="23"/>
        <v/>
      </c>
      <c r="BX26" s="8" t="str">
        <f>IFERROR(VLOOKUP($B$5:$B$199,'[2]25'!$B$5:$D$200,3,0),"")</f>
        <v/>
      </c>
      <c r="BY26" s="8" t="str">
        <f>IFERROR(VLOOKUP($B$5:$B$199,'[2]25'!$B$5:$G$200,6,0),"")</f>
        <v/>
      </c>
      <c r="BZ26" s="8" t="str">
        <f t="shared" si="24"/>
        <v/>
      </c>
      <c r="CA26" s="8" t="str">
        <f>IFERROR(VLOOKUP($B$5:$B$199,'[2]26'!$B$5:$D$200,3,0),"")</f>
        <v/>
      </c>
      <c r="CB26" s="8" t="str">
        <f>IFERROR(VLOOKUP($B$5:$B$199,'[2]26'!$B$5:$G$200,6,0),"")</f>
        <v/>
      </c>
      <c r="CC26" s="8" t="str">
        <f t="shared" si="25"/>
        <v/>
      </c>
      <c r="CD26" s="8" t="str">
        <f>IFERROR(VLOOKUP($B$5:$B$199,'[2]27'!$B$5:$D$200,3,0),"")</f>
        <v/>
      </c>
      <c r="CE26" s="8" t="str">
        <f>IFERROR(VLOOKUP($B$5:$B$199,'[2]27'!$B$5:$G$200,6,0),"")</f>
        <v/>
      </c>
      <c r="CF26" s="8" t="str">
        <f t="shared" si="26"/>
        <v/>
      </c>
      <c r="CG26" s="8" t="str">
        <f>IFERROR(VLOOKUP($B$5:$B$199,'[2]28'!$B$5:$D$200,3,0),"")</f>
        <v/>
      </c>
      <c r="CH26" s="8" t="str">
        <f>IFERROR(VLOOKUP($B$5:$B$199,'[2]28'!$B$5:$G$200,6,0),"")</f>
        <v/>
      </c>
      <c r="CI26" s="8" t="str">
        <f t="shared" si="27"/>
        <v/>
      </c>
      <c r="CJ26" s="8" t="str">
        <f>IFERROR(VLOOKUP($B$5:$B$199,'[2]29'!$B$5:$D$200,3,0),"")</f>
        <v/>
      </c>
      <c r="CK26" s="8" t="str">
        <f>IFERROR(VLOOKUP($B$5:$B$199,'[2]29'!$B$5:$G$200,6,0),"")</f>
        <v/>
      </c>
      <c r="CL26" s="8" t="str">
        <f t="shared" si="28"/>
        <v/>
      </c>
      <c r="CM26" s="8" t="str">
        <f>IFERROR(VLOOKUP($B$5:$B$199,'[2]30'!$B$5:$D$200,3,0),"")</f>
        <v/>
      </c>
      <c r="CN26" s="8" t="str">
        <f>IFERROR(VLOOKUP($B$5:$B$199,'[2]30'!$B$5:$G$200,6,0),"")</f>
        <v/>
      </c>
      <c r="CO26" s="8" t="str">
        <f t="shared" si="29"/>
        <v/>
      </c>
      <c r="CP26" s="8" t="str">
        <f>IFERROR(VLOOKUP($B$5:$B$199,'[2]31'!$B$5:$D$200,3,0),"")</f>
        <v/>
      </c>
      <c r="CQ26" s="8" t="str">
        <f>IFERROR(VLOOKUP($B$5:$B$199,'[2]31'!$B$5:$G$200,6,0),"")</f>
        <v/>
      </c>
      <c r="CR26" s="8" t="str">
        <f t="shared" si="30"/>
        <v/>
      </c>
      <c r="CT26" s="3">
        <f t="shared" si="31"/>
        <v>20</v>
      </c>
      <c r="CU26" s="3">
        <f t="shared" si="32"/>
        <v>89948.44988571429</v>
      </c>
      <c r="CV26" s="3">
        <f t="shared" si="33"/>
        <v>1798968.9977142857</v>
      </c>
      <c r="CX26">
        <f t="shared" si="34"/>
        <v>1</v>
      </c>
    </row>
    <row r="27" spans="2:102" x14ac:dyDescent="0.25">
      <c r="B27" s="7" t="s">
        <v>40</v>
      </c>
      <c r="C27" s="7" t="str">
        <f>VLOOKUP($B27,DBASE!$C$7:$D$403,2,0)</f>
        <v>PASTA</v>
      </c>
      <c r="D27" s="8" t="str">
        <f>IFERROR(VLOOKUP($B$5:$B$199,'[2]1'!$B$5:$D$200,3,0),"")</f>
        <v/>
      </c>
      <c r="E27" s="8" t="str">
        <f>IFERROR(VLOOKUP($B$5:$B$199,'[2]1'!$B$5:$G$200,6,0),"")</f>
        <v/>
      </c>
      <c r="F27" s="8" t="str">
        <f t="shared" si="0"/>
        <v/>
      </c>
      <c r="G27" s="8" t="str">
        <f>IFERROR(VLOOKUP($B$5:$B$199,'[2]2'!$B$5:$D$200,3,0),"")</f>
        <v/>
      </c>
      <c r="H27" s="8" t="str">
        <f>IFERROR(VLOOKUP($B$5:$B$199,'[2]2'!$B$5:$G$200,6,0),"")</f>
        <v/>
      </c>
      <c r="I27" s="8" t="str">
        <f t="shared" si="1"/>
        <v/>
      </c>
      <c r="J27" s="8" t="str">
        <f>IFERROR(VLOOKUP($B$5:$B$199,'[2]3'!$B$5:$D$200,3,0),"")</f>
        <v/>
      </c>
      <c r="K27" s="8" t="str">
        <f>IFERROR(VLOOKUP($B$5:$B$199,'[2]3'!$B$5:$G$200,6,0),"")</f>
        <v/>
      </c>
      <c r="L27" s="8" t="str">
        <f t="shared" si="2"/>
        <v/>
      </c>
      <c r="M27" s="8">
        <f>IFERROR(VLOOKUP($B$5:$B$199,'[2]4'!$B$5:$D$200,3,0),"")</f>
        <v>10</v>
      </c>
      <c r="N27" s="8">
        <f>IFERROR(VLOOKUP($B$5:$B$199,'[2]4'!$B$5:$G$200,6,0),"")</f>
        <v>103438.17476047904</v>
      </c>
      <c r="O27" s="8">
        <f t="shared" si="3"/>
        <v>1034381.7476047904</v>
      </c>
      <c r="P27" s="8" t="str">
        <f>IFERROR(VLOOKUP($B$5:$B$199,'[2]5'!$B$5:$D$200,3,0),"")</f>
        <v/>
      </c>
      <c r="Q27" s="8" t="str">
        <f>IFERROR(VLOOKUP($B$5:$B$199,'[2]5'!$B$5:$G$200,6,0),"")</f>
        <v/>
      </c>
      <c r="R27" s="8" t="str">
        <f t="shared" si="4"/>
        <v/>
      </c>
      <c r="S27" s="8">
        <f>IFERROR(VLOOKUP($B$5:$B$199,'[2]6'!$B$5:$D$200,3,0),"")</f>
        <v>5</v>
      </c>
      <c r="T27" s="8">
        <f>IFERROR(VLOOKUP($B$5:$B$199,'[2]6'!$B$5:$G$200,6,0),"")</f>
        <v>103148.44988571429</v>
      </c>
      <c r="U27" s="8">
        <f t="shared" si="5"/>
        <v>515742.24942857143</v>
      </c>
      <c r="V27" s="8" t="str">
        <f>IFERROR(VLOOKUP($B$5:$B$199,'[2]7'!$B$5:$D$200,3,0),"")</f>
        <v/>
      </c>
      <c r="W27" s="8" t="str">
        <f>IFERROR(VLOOKUP($B$5:$B$199,'[2]7'!$B$5:$G$200,6,0),"")</f>
        <v/>
      </c>
      <c r="X27" s="8" t="str">
        <f t="shared" si="6"/>
        <v/>
      </c>
      <c r="Y27" s="8" t="str">
        <f>IFERROR(VLOOKUP($B$5:$B$199,'[2]8'!$B$5:$D$200,3,0),"")</f>
        <v/>
      </c>
      <c r="Z27" s="8" t="str">
        <f>IFERROR(VLOOKUP($B$5:$B$199,'[2]8'!$B$5:$G$200,6,0),"")</f>
        <v/>
      </c>
      <c r="AA27" s="8" t="str">
        <f t="shared" si="7"/>
        <v/>
      </c>
      <c r="AB27" s="8" t="str">
        <f>IFERROR(VLOOKUP($B$5:$B$199,'[2]9'!$B$5:$D$200,3,0),"")</f>
        <v/>
      </c>
      <c r="AC27" s="8" t="str">
        <f>IFERROR(VLOOKUP($B$5:$B$199,'[2]9'!$B$5:$G$200,6,0),"")</f>
        <v/>
      </c>
      <c r="AD27" s="8" t="str">
        <f t="shared" si="8"/>
        <v/>
      </c>
      <c r="AE27" s="8" t="str">
        <f>IFERROR(VLOOKUP($B$5:$B$199,'[2]10'!$B$5:$D$200,3,0),"")</f>
        <v/>
      </c>
      <c r="AF27" s="8" t="str">
        <f>IFERROR(VLOOKUP($B$5:$B$199,'[2]10'!$B$5:$G$200,6,0),"")</f>
        <v/>
      </c>
      <c r="AG27" s="8" t="str">
        <f t="shared" si="9"/>
        <v/>
      </c>
      <c r="AH27" s="8" t="str">
        <f>IFERROR(VLOOKUP($B$5:$B$199,'[2]11'!$B$5:$D$200,3,0),"")</f>
        <v/>
      </c>
      <c r="AI27" s="8" t="str">
        <f>IFERROR(VLOOKUP($B$5:$B$199,'[2]11'!$B$5:$G$200,6,0),"")</f>
        <v/>
      </c>
      <c r="AJ27" s="8" t="str">
        <f t="shared" si="10"/>
        <v/>
      </c>
      <c r="AK27" s="8" t="str">
        <f>IFERROR(VLOOKUP($B$5:$B$199,'[2]12'!$B$5:$D$200,3,0),"")</f>
        <v/>
      </c>
      <c r="AL27" s="8" t="str">
        <f>IFERROR(VLOOKUP($B$5:$B$199,'[2]12'!$B$5:$G$200,6,0),"")</f>
        <v/>
      </c>
      <c r="AM27" s="8" t="str">
        <f t="shared" si="11"/>
        <v/>
      </c>
      <c r="AN27" s="8" t="str">
        <f>IFERROR(VLOOKUP($B$5:$B$199,'[2]13'!$B$5:$D$200,3,0),"")</f>
        <v/>
      </c>
      <c r="AO27" s="8" t="str">
        <f>IFERROR(VLOOKUP($B$5:$B$199,'[2]13'!$B$5:$G$200,6,0),"")</f>
        <v/>
      </c>
      <c r="AP27" s="8" t="str">
        <f t="shared" si="12"/>
        <v/>
      </c>
      <c r="AQ27" s="8" t="str">
        <f>IFERROR(VLOOKUP($B$5:$B$199,'[2]14'!$B$5:$D$200,3,0),"")</f>
        <v/>
      </c>
      <c r="AR27" s="8" t="str">
        <f>IFERROR(VLOOKUP($B$5:$B$199,'[2]14'!$B$5:$G$200,6,0),"")</f>
        <v/>
      </c>
      <c r="AS27" s="8" t="str">
        <f t="shared" si="13"/>
        <v/>
      </c>
      <c r="AT27" s="8" t="str">
        <f>IFERROR(VLOOKUP($B$5:$B$199,'[2]15'!$B$5:$D$200,3,0),"")</f>
        <v/>
      </c>
      <c r="AU27" s="8" t="str">
        <f>IFERROR(VLOOKUP($B$5:$B$199,'[2]15'!$B$5:$G$200,6,0),"")</f>
        <v/>
      </c>
      <c r="AV27" s="8" t="str">
        <f t="shared" si="14"/>
        <v/>
      </c>
      <c r="AW27" s="8" t="str">
        <f>IFERROR(VLOOKUP($B$5:$B$199,'[2]16'!$B$5:$D$200,3,0),"")</f>
        <v/>
      </c>
      <c r="AX27" s="8" t="str">
        <f>IFERROR(VLOOKUP($B$5:$B$199,'[2]16'!$B$5:$G$200,6,0),"")</f>
        <v/>
      </c>
      <c r="AY27" s="8" t="str">
        <f t="shared" si="15"/>
        <v/>
      </c>
      <c r="AZ27" s="8" t="str">
        <f>IFERROR(VLOOKUP($B$5:$B$199,'[2]17'!$B$5:$D$200,3,0),"")</f>
        <v/>
      </c>
      <c r="BA27" s="8" t="str">
        <f>IFERROR(VLOOKUP($B$5:$B$199,'[2]17'!$B$5:$G$200,6,0),"")</f>
        <v/>
      </c>
      <c r="BB27" s="8" t="str">
        <f t="shared" si="16"/>
        <v/>
      </c>
      <c r="BC27" s="8" t="str">
        <f>IFERROR(VLOOKUP($B$5:$B$199,'[2]18'!$B$5:$D$200,3,0),"")</f>
        <v/>
      </c>
      <c r="BD27" s="8" t="str">
        <f>IFERROR(VLOOKUP($B$5:$B$199,'[2]18'!$B$5:$G$200,6,0),"")</f>
        <v/>
      </c>
      <c r="BE27" s="8" t="str">
        <f t="shared" si="17"/>
        <v/>
      </c>
      <c r="BF27" s="8" t="str">
        <f>IFERROR(VLOOKUP($B$5:$B$199,'[2]19'!$B$5:$D$200,3,0),"")</f>
        <v/>
      </c>
      <c r="BG27" s="8" t="str">
        <f>IFERROR(VLOOKUP($B$5:$B$199,'[2]19'!$B$5:$G$200,6,0),"")</f>
        <v/>
      </c>
      <c r="BH27" s="8" t="str">
        <f t="shared" si="18"/>
        <v/>
      </c>
      <c r="BI27" s="8" t="str">
        <f>IFERROR(VLOOKUP($B$5:$B$199,'[2]20'!$B$5:$D$200,3,0),"")</f>
        <v/>
      </c>
      <c r="BJ27" s="8" t="str">
        <f>IFERROR(VLOOKUP($B$5:$B$199,'[2]20'!$B$5:$G$200,6,0),"")</f>
        <v/>
      </c>
      <c r="BK27" s="8" t="str">
        <f t="shared" si="19"/>
        <v/>
      </c>
      <c r="BL27" s="8" t="str">
        <f>IFERROR(VLOOKUP($B$5:$B$199,'[2]21'!$B$5:$D$200,3,0),"")</f>
        <v/>
      </c>
      <c r="BM27" s="8" t="str">
        <f>IFERROR(VLOOKUP($B$5:$B$199,'[2]21'!$B$5:$G$200,6,0),"")</f>
        <v/>
      </c>
      <c r="BN27" s="8" t="str">
        <f t="shared" si="20"/>
        <v/>
      </c>
      <c r="BO27" s="8" t="str">
        <f>IFERROR(VLOOKUP($B$5:$B$199,'[2]22'!$B$5:$D$200,3,0),"")</f>
        <v/>
      </c>
      <c r="BP27" s="8" t="str">
        <f>IFERROR(VLOOKUP($B$5:$B$199,'[2]22'!$B$5:$G$200,6,0),"")</f>
        <v/>
      </c>
      <c r="BQ27" s="8" t="str">
        <f t="shared" si="21"/>
        <v/>
      </c>
      <c r="BR27" s="8" t="str">
        <f>IFERROR(VLOOKUP($B$5:$B$199,'[2]23'!$B$5:$D$200,3,0),"")</f>
        <v/>
      </c>
      <c r="BS27" s="8" t="str">
        <f>IFERROR(VLOOKUP($B$5:$B$199,'[2]23'!$B$5:$G$200,6,0),"")</f>
        <v/>
      </c>
      <c r="BT27" s="8" t="str">
        <f t="shared" si="22"/>
        <v/>
      </c>
      <c r="BU27" s="8" t="str">
        <f>IFERROR(VLOOKUP($B$5:$B$199,'[2]24'!$B$5:$D$200,3,0),"")</f>
        <v/>
      </c>
      <c r="BV27" s="8" t="str">
        <f>IFERROR(VLOOKUP($B$5:$B$199,'[2]24'!$B$5:$G$200,6,0),"")</f>
        <v/>
      </c>
      <c r="BW27" s="8" t="str">
        <f t="shared" si="23"/>
        <v/>
      </c>
      <c r="BX27" s="8" t="str">
        <f>IFERROR(VLOOKUP($B$5:$B$199,'[2]25'!$B$5:$D$200,3,0),"")</f>
        <v/>
      </c>
      <c r="BY27" s="8" t="str">
        <f>IFERROR(VLOOKUP($B$5:$B$199,'[2]25'!$B$5:$G$200,6,0),"")</f>
        <v/>
      </c>
      <c r="BZ27" s="8" t="str">
        <f t="shared" si="24"/>
        <v/>
      </c>
      <c r="CA27" s="8" t="str">
        <f>IFERROR(VLOOKUP($B$5:$B$199,'[2]26'!$B$5:$D$200,3,0),"")</f>
        <v/>
      </c>
      <c r="CB27" s="8" t="str">
        <f>IFERROR(VLOOKUP($B$5:$B$199,'[2]26'!$B$5:$G$200,6,0),"")</f>
        <v/>
      </c>
      <c r="CC27" s="8" t="str">
        <f t="shared" si="25"/>
        <v/>
      </c>
      <c r="CD27" s="8" t="str">
        <f>IFERROR(VLOOKUP($B$5:$B$199,'[2]27'!$B$5:$D$200,3,0),"")</f>
        <v/>
      </c>
      <c r="CE27" s="8" t="str">
        <f>IFERROR(VLOOKUP($B$5:$B$199,'[2]27'!$B$5:$G$200,6,0),"")</f>
        <v/>
      </c>
      <c r="CF27" s="8" t="str">
        <f t="shared" si="26"/>
        <v/>
      </c>
      <c r="CG27" s="8" t="str">
        <f>IFERROR(VLOOKUP($B$5:$B$199,'[2]28'!$B$5:$D$200,3,0),"")</f>
        <v/>
      </c>
      <c r="CH27" s="8" t="str">
        <f>IFERROR(VLOOKUP($B$5:$B$199,'[2]28'!$B$5:$G$200,6,0),"")</f>
        <v/>
      </c>
      <c r="CI27" s="8" t="str">
        <f t="shared" si="27"/>
        <v/>
      </c>
      <c r="CJ27" s="8" t="str">
        <f>IFERROR(VLOOKUP($B$5:$B$199,'[2]29'!$B$5:$D$200,3,0),"")</f>
        <v/>
      </c>
      <c r="CK27" s="8" t="str">
        <f>IFERROR(VLOOKUP($B$5:$B$199,'[2]29'!$B$5:$G$200,6,0),"")</f>
        <v/>
      </c>
      <c r="CL27" s="8" t="str">
        <f t="shared" si="28"/>
        <v/>
      </c>
      <c r="CM27" s="8" t="str">
        <f>IFERROR(VLOOKUP($B$5:$B$199,'[2]30'!$B$5:$D$200,3,0),"")</f>
        <v/>
      </c>
      <c r="CN27" s="8" t="str">
        <f>IFERROR(VLOOKUP($B$5:$B$199,'[2]30'!$B$5:$G$200,6,0),"")</f>
        <v/>
      </c>
      <c r="CO27" s="8" t="str">
        <f t="shared" si="29"/>
        <v/>
      </c>
      <c r="CP27" s="8" t="str">
        <f>IFERROR(VLOOKUP($B$5:$B$199,'[2]31'!$B$5:$D$200,3,0),"")</f>
        <v/>
      </c>
      <c r="CQ27" s="8" t="str">
        <f>IFERROR(VLOOKUP($B$5:$B$199,'[2]31'!$B$5:$G$200,6,0),"")</f>
        <v/>
      </c>
      <c r="CR27" s="8" t="str">
        <f t="shared" si="30"/>
        <v/>
      </c>
      <c r="CT27" s="3">
        <f t="shared" si="31"/>
        <v>15</v>
      </c>
      <c r="CU27" s="3">
        <f t="shared" si="32"/>
        <v>103293.31232309667</v>
      </c>
      <c r="CV27" s="3">
        <f t="shared" si="33"/>
        <v>1549399.6848464501</v>
      </c>
      <c r="CX27">
        <f t="shared" si="34"/>
        <v>2</v>
      </c>
    </row>
    <row r="28" spans="2:102" x14ac:dyDescent="0.25">
      <c r="B28" s="7" t="s">
        <v>136</v>
      </c>
      <c r="C28" s="7" t="str">
        <f>VLOOKUP($B28,DBASE!$C$7:$D$403,2,0)</f>
        <v>NEXTAR 42GR</v>
      </c>
      <c r="D28" s="8" t="str">
        <f>IFERROR(VLOOKUP($B$5:$B$199,'[2]1'!$B$5:$D$200,3,0),"")</f>
        <v/>
      </c>
      <c r="E28" s="8" t="str">
        <f>IFERROR(VLOOKUP($B$5:$B$199,'[2]1'!$B$5:$G$200,6,0),"")</f>
        <v/>
      </c>
      <c r="F28" s="8" t="str">
        <f t="shared" si="0"/>
        <v/>
      </c>
      <c r="G28" s="8" t="str">
        <f>IFERROR(VLOOKUP($B$5:$B$199,'[2]2'!$B$5:$D$200,3,0),"")</f>
        <v/>
      </c>
      <c r="H28" s="8" t="str">
        <f>IFERROR(VLOOKUP($B$5:$B$199,'[2]2'!$B$5:$G$200,6,0),"")</f>
        <v/>
      </c>
      <c r="I28" s="8" t="str">
        <f t="shared" si="1"/>
        <v/>
      </c>
      <c r="J28" s="8" t="str">
        <f>IFERROR(VLOOKUP($B$5:$B$199,'[2]3'!$B$5:$D$200,3,0),"")</f>
        <v/>
      </c>
      <c r="K28" s="8" t="str">
        <f>IFERROR(VLOOKUP($B$5:$B$199,'[2]3'!$B$5:$G$200,6,0),"")</f>
        <v/>
      </c>
      <c r="L28" s="8" t="str">
        <f t="shared" si="2"/>
        <v/>
      </c>
      <c r="M28" s="8" t="str">
        <f>IFERROR(VLOOKUP($B$5:$B$199,'[2]4'!$B$5:$D$200,3,0),"")</f>
        <v/>
      </c>
      <c r="N28" s="8" t="str">
        <f>IFERROR(VLOOKUP($B$5:$B$199,'[2]4'!$B$5:$G$200,6,0),"")</f>
        <v/>
      </c>
      <c r="O28" s="8" t="str">
        <f t="shared" si="3"/>
        <v/>
      </c>
      <c r="P28" s="8" t="str">
        <f>IFERROR(VLOOKUP($B$5:$B$199,'[2]5'!$B$5:$D$200,3,0),"")</f>
        <v/>
      </c>
      <c r="Q28" s="8" t="str">
        <f>IFERROR(VLOOKUP($B$5:$B$199,'[2]5'!$B$5:$G$200,6,0),"")</f>
        <v/>
      </c>
      <c r="R28" s="8" t="str">
        <f t="shared" si="4"/>
        <v/>
      </c>
      <c r="S28" s="8" t="str">
        <f>IFERROR(VLOOKUP($B$5:$B$199,'[2]6'!$B$5:$D$200,3,0),"")</f>
        <v/>
      </c>
      <c r="T28" s="8" t="str">
        <f>IFERROR(VLOOKUP($B$5:$B$199,'[2]6'!$B$5:$G$200,6,0),"")</f>
        <v/>
      </c>
      <c r="U28" s="8" t="str">
        <f t="shared" si="5"/>
        <v/>
      </c>
      <c r="V28" s="8">
        <f>IFERROR(VLOOKUP($B$5:$B$199,'[2]7'!$B$5:$D$200,3,0),"")</f>
        <v>5</v>
      </c>
      <c r="W28" s="8">
        <f>IFERROR(VLOOKUP($B$5:$B$199,'[2]7'!$B$5:$G$200,6,0),"")</f>
        <v>90934.734903278688</v>
      </c>
      <c r="X28" s="8">
        <f t="shared" si="6"/>
        <v>454673.67451639345</v>
      </c>
      <c r="Y28" s="8" t="str">
        <f>IFERROR(VLOOKUP($B$5:$B$199,'[2]8'!$B$5:$D$200,3,0),"")</f>
        <v/>
      </c>
      <c r="Z28" s="8" t="str">
        <f>IFERROR(VLOOKUP($B$5:$B$199,'[2]8'!$B$5:$G$200,6,0),"")</f>
        <v/>
      </c>
      <c r="AA28" s="8" t="str">
        <f t="shared" si="7"/>
        <v/>
      </c>
      <c r="AB28" s="8">
        <f>IFERROR(VLOOKUP($B$5:$B$199,'[2]9'!$B$5:$D$200,3,0),"")</f>
        <v>1</v>
      </c>
      <c r="AC28" s="8">
        <f>IFERROR(VLOOKUP($B$5:$B$199,'[2]9'!$B$5:$G$200,6,0),"")</f>
        <v>88000</v>
      </c>
      <c r="AD28" s="8">
        <f t="shared" si="8"/>
        <v>88000</v>
      </c>
      <c r="AE28" s="8" t="str">
        <f>IFERROR(VLOOKUP($B$5:$B$199,'[2]10'!$B$5:$D$200,3,0),"")</f>
        <v/>
      </c>
      <c r="AF28" s="8" t="str">
        <f>IFERROR(VLOOKUP($B$5:$B$199,'[2]10'!$B$5:$G$200,6,0),"")</f>
        <v/>
      </c>
      <c r="AG28" s="8" t="str">
        <f t="shared" si="9"/>
        <v/>
      </c>
      <c r="AH28" s="8" t="str">
        <f>IFERROR(VLOOKUP($B$5:$B$199,'[2]11'!$B$5:$D$200,3,0),"")</f>
        <v/>
      </c>
      <c r="AI28" s="8" t="str">
        <f>IFERROR(VLOOKUP($B$5:$B$199,'[2]11'!$B$5:$G$200,6,0),"")</f>
        <v/>
      </c>
      <c r="AJ28" s="8" t="str">
        <f t="shared" si="10"/>
        <v/>
      </c>
      <c r="AK28" s="8" t="str">
        <f>IFERROR(VLOOKUP($B$5:$B$199,'[2]12'!$B$5:$D$200,3,0),"")</f>
        <v/>
      </c>
      <c r="AL28" s="8" t="str">
        <f>IFERROR(VLOOKUP($B$5:$B$199,'[2]12'!$B$5:$G$200,6,0),"")</f>
        <v/>
      </c>
      <c r="AM28" s="8" t="str">
        <f t="shared" si="11"/>
        <v/>
      </c>
      <c r="AN28" s="8" t="str">
        <f>IFERROR(VLOOKUP($B$5:$B$199,'[2]13'!$B$5:$D$200,3,0),"")</f>
        <v/>
      </c>
      <c r="AO28" s="8" t="str">
        <f>IFERROR(VLOOKUP($B$5:$B$199,'[2]13'!$B$5:$G$200,6,0),"")</f>
        <v/>
      </c>
      <c r="AP28" s="8" t="str">
        <f t="shared" si="12"/>
        <v/>
      </c>
      <c r="AQ28" s="8" t="str">
        <f>IFERROR(VLOOKUP($B$5:$B$199,'[2]14'!$B$5:$D$200,3,0),"")</f>
        <v/>
      </c>
      <c r="AR28" s="8" t="str">
        <f>IFERROR(VLOOKUP($B$5:$B$199,'[2]14'!$B$5:$G$200,6,0),"")</f>
        <v/>
      </c>
      <c r="AS28" s="8" t="str">
        <f t="shared" si="13"/>
        <v/>
      </c>
      <c r="AT28" s="8" t="str">
        <f>IFERROR(VLOOKUP($B$5:$B$199,'[2]15'!$B$5:$D$200,3,0),"")</f>
        <v/>
      </c>
      <c r="AU28" s="8" t="str">
        <f>IFERROR(VLOOKUP($B$5:$B$199,'[2]15'!$B$5:$G$200,6,0),"")</f>
        <v/>
      </c>
      <c r="AV28" s="8" t="str">
        <f t="shared" si="14"/>
        <v/>
      </c>
      <c r="AW28" s="8" t="str">
        <f>IFERROR(VLOOKUP($B$5:$B$199,'[2]16'!$B$5:$D$200,3,0),"")</f>
        <v/>
      </c>
      <c r="AX28" s="8" t="str">
        <f>IFERROR(VLOOKUP($B$5:$B$199,'[2]16'!$B$5:$G$200,6,0),"")</f>
        <v/>
      </c>
      <c r="AY28" s="8" t="str">
        <f t="shared" si="15"/>
        <v/>
      </c>
      <c r="AZ28" s="8" t="str">
        <f>IFERROR(VLOOKUP($B$5:$B$199,'[2]17'!$B$5:$D$200,3,0),"")</f>
        <v/>
      </c>
      <c r="BA28" s="8" t="str">
        <f>IFERROR(VLOOKUP($B$5:$B$199,'[2]17'!$B$5:$G$200,6,0),"")</f>
        <v/>
      </c>
      <c r="BB28" s="8" t="str">
        <f t="shared" si="16"/>
        <v/>
      </c>
      <c r="BC28" s="8" t="str">
        <f>IFERROR(VLOOKUP($B$5:$B$199,'[2]18'!$B$5:$D$200,3,0),"")</f>
        <v/>
      </c>
      <c r="BD28" s="8" t="str">
        <f>IFERROR(VLOOKUP($B$5:$B$199,'[2]18'!$B$5:$G$200,6,0),"")</f>
        <v/>
      </c>
      <c r="BE28" s="8" t="str">
        <f t="shared" si="17"/>
        <v/>
      </c>
      <c r="BF28" s="8" t="str">
        <f>IFERROR(VLOOKUP($B$5:$B$199,'[2]19'!$B$5:$D$200,3,0),"")</f>
        <v/>
      </c>
      <c r="BG28" s="8" t="str">
        <f>IFERROR(VLOOKUP($B$5:$B$199,'[2]19'!$B$5:$G$200,6,0),"")</f>
        <v/>
      </c>
      <c r="BH28" s="8" t="str">
        <f t="shared" si="18"/>
        <v/>
      </c>
      <c r="BI28" s="8" t="str">
        <f>IFERROR(VLOOKUP($B$5:$B$199,'[2]20'!$B$5:$D$200,3,0),"")</f>
        <v/>
      </c>
      <c r="BJ28" s="8" t="str">
        <f>IFERROR(VLOOKUP($B$5:$B$199,'[2]20'!$B$5:$G$200,6,0),"")</f>
        <v/>
      </c>
      <c r="BK28" s="8" t="str">
        <f t="shared" si="19"/>
        <v/>
      </c>
      <c r="BL28" s="8" t="str">
        <f>IFERROR(VLOOKUP($B$5:$B$199,'[2]21'!$B$5:$D$200,3,0),"")</f>
        <v/>
      </c>
      <c r="BM28" s="8" t="str">
        <f>IFERROR(VLOOKUP($B$5:$B$199,'[2]21'!$B$5:$G$200,6,0),"")</f>
        <v/>
      </c>
      <c r="BN28" s="8" t="str">
        <f t="shared" si="20"/>
        <v/>
      </c>
      <c r="BO28" s="8" t="str">
        <f>IFERROR(VLOOKUP($B$5:$B$199,'[2]22'!$B$5:$D$200,3,0),"")</f>
        <v/>
      </c>
      <c r="BP28" s="8" t="str">
        <f>IFERROR(VLOOKUP($B$5:$B$199,'[2]22'!$B$5:$G$200,6,0),"")</f>
        <v/>
      </c>
      <c r="BQ28" s="8" t="str">
        <f t="shared" si="21"/>
        <v/>
      </c>
      <c r="BR28" s="8" t="str">
        <f>IFERROR(VLOOKUP($B$5:$B$199,'[2]23'!$B$5:$D$200,3,0),"")</f>
        <v/>
      </c>
      <c r="BS28" s="8" t="str">
        <f>IFERROR(VLOOKUP($B$5:$B$199,'[2]23'!$B$5:$G$200,6,0),"")</f>
        <v/>
      </c>
      <c r="BT28" s="8" t="str">
        <f t="shared" si="22"/>
        <v/>
      </c>
      <c r="BU28" s="8" t="str">
        <f>IFERROR(VLOOKUP($B$5:$B$199,'[2]24'!$B$5:$D$200,3,0),"")</f>
        <v/>
      </c>
      <c r="BV28" s="8" t="str">
        <f>IFERROR(VLOOKUP($B$5:$B$199,'[2]24'!$B$5:$G$200,6,0),"")</f>
        <v/>
      </c>
      <c r="BW28" s="8" t="str">
        <f t="shared" si="23"/>
        <v/>
      </c>
      <c r="BX28" s="8" t="str">
        <f>IFERROR(VLOOKUP($B$5:$B$199,'[2]25'!$B$5:$D$200,3,0),"")</f>
        <v/>
      </c>
      <c r="BY28" s="8" t="str">
        <f>IFERROR(VLOOKUP($B$5:$B$199,'[2]25'!$B$5:$G$200,6,0),"")</f>
        <v/>
      </c>
      <c r="BZ28" s="8" t="str">
        <f t="shared" si="24"/>
        <v/>
      </c>
      <c r="CA28" s="8" t="str">
        <f>IFERROR(VLOOKUP($B$5:$B$199,'[2]26'!$B$5:$D$200,3,0),"")</f>
        <v/>
      </c>
      <c r="CB28" s="8" t="str">
        <f>IFERROR(VLOOKUP($B$5:$B$199,'[2]26'!$B$5:$G$200,6,0),"")</f>
        <v/>
      </c>
      <c r="CC28" s="8" t="str">
        <f t="shared" si="25"/>
        <v/>
      </c>
      <c r="CD28" s="8" t="str">
        <f>IFERROR(VLOOKUP($B$5:$B$199,'[2]27'!$B$5:$D$200,3,0),"")</f>
        <v/>
      </c>
      <c r="CE28" s="8" t="str">
        <f>IFERROR(VLOOKUP($B$5:$B$199,'[2]27'!$B$5:$G$200,6,0),"")</f>
        <v/>
      </c>
      <c r="CF28" s="8" t="str">
        <f t="shared" si="26"/>
        <v/>
      </c>
      <c r="CG28" s="8" t="str">
        <f>IFERROR(VLOOKUP($B$5:$B$199,'[2]28'!$B$5:$D$200,3,0),"")</f>
        <v/>
      </c>
      <c r="CH28" s="8" t="str">
        <f>IFERROR(VLOOKUP($B$5:$B$199,'[2]28'!$B$5:$G$200,6,0),"")</f>
        <v/>
      </c>
      <c r="CI28" s="8" t="str">
        <f t="shared" si="27"/>
        <v/>
      </c>
      <c r="CJ28" s="8" t="str">
        <f>IFERROR(VLOOKUP($B$5:$B$199,'[2]29'!$B$5:$D$200,3,0),"")</f>
        <v/>
      </c>
      <c r="CK28" s="8" t="str">
        <f>IFERROR(VLOOKUP($B$5:$B$199,'[2]29'!$B$5:$G$200,6,0),"")</f>
        <v/>
      </c>
      <c r="CL28" s="8" t="str">
        <f t="shared" si="28"/>
        <v/>
      </c>
      <c r="CM28" s="8" t="str">
        <f>IFERROR(VLOOKUP($B$5:$B$199,'[2]30'!$B$5:$D$200,3,0),"")</f>
        <v/>
      </c>
      <c r="CN28" s="8" t="str">
        <f>IFERROR(VLOOKUP($B$5:$B$199,'[2]30'!$B$5:$G$200,6,0),"")</f>
        <v/>
      </c>
      <c r="CO28" s="8" t="str">
        <f t="shared" si="29"/>
        <v/>
      </c>
      <c r="CP28" s="8" t="str">
        <f>IFERROR(VLOOKUP($B$5:$B$199,'[2]31'!$B$5:$D$200,3,0),"")</f>
        <v/>
      </c>
      <c r="CQ28" s="8" t="str">
        <f>IFERROR(VLOOKUP($B$5:$B$199,'[2]31'!$B$5:$G$200,6,0),"")</f>
        <v/>
      </c>
      <c r="CR28" s="8" t="str">
        <f t="shared" si="30"/>
        <v/>
      </c>
      <c r="CT28" s="3">
        <f t="shared" si="31"/>
        <v>6</v>
      </c>
      <c r="CU28" s="3">
        <f t="shared" si="32"/>
        <v>89467.367451639351</v>
      </c>
      <c r="CV28" s="3">
        <f t="shared" si="33"/>
        <v>536804.20470983605</v>
      </c>
      <c r="CX28">
        <f t="shared" si="34"/>
        <v>2</v>
      </c>
    </row>
    <row r="29" spans="2:102" x14ac:dyDescent="0.25">
      <c r="B29" s="7" t="s">
        <v>137</v>
      </c>
      <c r="C29" s="7" t="str">
        <f>VLOOKUP($B29,DBASE!$C$7:$D$403,2,0)</f>
        <v>NEXTAR 112GR</v>
      </c>
      <c r="D29" s="8" t="str">
        <f>IFERROR(VLOOKUP($B$5:$B$199,'[2]1'!$B$5:$D$200,3,0),"")</f>
        <v/>
      </c>
      <c r="E29" s="8" t="str">
        <f>IFERROR(VLOOKUP($B$5:$B$199,'[2]1'!$B$5:$G$200,6,0),"")</f>
        <v/>
      </c>
      <c r="F29" s="8" t="str">
        <f t="shared" si="0"/>
        <v/>
      </c>
      <c r="G29" s="8" t="str">
        <f>IFERROR(VLOOKUP($B$5:$B$199,'[2]2'!$B$5:$D$200,3,0),"")</f>
        <v/>
      </c>
      <c r="H29" s="8" t="str">
        <f>IFERROR(VLOOKUP($B$5:$B$199,'[2]2'!$B$5:$G$200,6,0),"")</f>
        <v/>
      </c>
      <c r="I29" s="8" t="str">
        <f t="shared" si="1"/>
        <v/>
      </c>
      <c r="J29" s="8" t="str">
        <f>IFERROR(VLOOKUP($B$5:$B$199,'[2]3'!$B$5:$D$200,3,0),"")</f>
        <v/>
      </c>
      <c r="K29" s="8" t="str">
        <f>IFERROR(VLOOKUP($B$5:$B$199,'[2]3'!$B$5:$G$200,6,0),"")</f>
        <v/>
      </c>
      <c r="L29" s="8" t="str">
        <f t="shared" si="2"/>
        <v/>
      </c>
      <c r="M29" s="8" t="str">
        <f>IFERROR(VLOOKUP($B$5:$B$199,'[2]4'!$B$5:$D$200,3,0),"")</f>
        <v/>
      </c>
      <c r="N29" s="8" t="str">
        <f>IFERROR(VLOOKUP($B$5:$B$199,'[2]4'!$B$5:$G$200,6,0),"")</f>
        <v/>
      </c>
      <c r="O29" s="8" t="str">
        <f t="shared" si="3"/>
        <v/>
      </c>
      <c r="P29" s="8" t="str">
        <f>IFERROR(VLOOKUP($B$5:$B$199,'[2]5'!$B$5:$D$200,3,0),"")</f>
        <v/>
      </c>
      <c r="Q29" s="8" t="str">
        <f>IFERROR(VLOOKUP($B$5:$B$199,'[2]5'!$B$5:$G$200,6,0),"")</f>
        <v/>
      </c>
      <c r="R29" s="8" t="str">
        <f t="shared" si="4"/>
        <v/>
      </c>
      <c r="S29" s="8" t="str">
        <f>IFERROR(VLOOKUP($B$5:$B$199,'[2]6'!$B$5:$D$200,3,0),"")</f>
        <v/>
      </c>
      <c r="T29" s="8" t="str">
        <f>IFERROR(VLOOKUP($B$5:$B$199,'[2]6'!$B$5:$G$200,6,0),"")</f>
        <v/>
      </c>
      <c r="U29" s="8" t="str">
        <f t="shared" si="5"/>
        <v/>
      </c>
      <c r="V29" s="8">
        <f>IFERROR(VLOOKUP($B$5:$B$199,'[2]7'!$B$5:$D$200,3,0),"")</f>
        <v>1</v>
      </c>
      <c r="W29" s="8">
        <f>IFERROR(VLOOKUP($B$5:$B$199,'[2]7'!$B$5:$G$200,6,0),"")</f>
        <v>116434.73490327869</v>
      </c>
      <c r="X29" s="8">
        <f t="shared" si="6"/>
        <v>116434.73490327869</v>
      </c>
      <c r="Y29" s="8" t="str">
        <f>IFERROR(VLOOKUP($B$5:$B$199,'[2]8'!$B$5:$D$200,3,0),"")</f>
        <v/>
      </c>
      <c r="Z29" s="8" t="str">
        <f>IFERROR(VLOOKUP($B$5:$B$199,'[2]8'!$B$5:$G$200,6,0),"")</f>
        <v/>
      </c>
      <c r="AA29" s="8" t="str">
        <f t="shared" si="7"/>
        <v/>
      </c>
      <c r="AB29" s="8" t="str">
        <f>IFERROR(VLOOKUP($B$5:$B$199,'[2]9'!$B$5:$D$200,3,0),"")</f>
        <v/>
      </c>
      <c r="AC29" s="8" t="str">
        <f>IFERROR(VLOOKUP($B$5:$B$199,'[2]9'!$B$5:$G$200,6,0),"")</f>
        <v/>
      </c>
      <c r="AD29" s="8" t="str">
        <f t="shared" si="8"/>
        <v/>
      </c>
      <c r="AE29" s="8" t="str">
        <f>IFERROR(VLOOKUP($B$5:$B$199,'[2]10'!$B$5:$D$200,3,0),"")</f>
        <v/>
      </c>
      <c r="AF29" s="8" t="str">
        <f>IFERROR(VLOOKUP($B$5:$B$199,'[2]10'!$B$5:$G$200,6,0),"")</f>
        <v/>
      </c>
      <c r="AG29" s="8" t="str">
        <f t="shared" si="9"/>
        <v/>
      </c>
      <c r="AH29" s="8" t="str">
        <f>IFERROR(VLOOKUP($B$5:$B$199,'[2]11'!$B$5:$D$200,3,0),"")</f>
        <v/>
      </c>
      <c r="AI29" s="8" t="str">
        <f>IFERROR(VLOOKUP($B$5:$B$199,'[2]11'!$B$5:$G$200,6,0),"")</f>
        <v/>
      </c>
      <c r="AJ29" s="8" t="str">
        <f t="shared" si="10"/>
        <v/>
      </c>
      <c r="AK29" s="8" t="str">
        <f>IFERROR(VLOOKUP($B$5:$B$199,'[2]12'!$B$5:$D$200,3,0),"")</f>
        <v/>
      </c>
      <c r="AL29" s="8" t="str">
        <f>IFERROR(VLOOKUP($B$5:$B$199,'[2]12'!$B$5:$G$200,6,0),"")</f>
        <v/>
      </c>
      <c r="AM29" s="8" t="str">
        <f t="shared" si="11"/>
        <v/>
      </c>
      <c r="AN29" s="8" t="str">
        <f>IFERROR(VLOOKUP($B$5:$B$199,'[2]13'!$B$5:$D$200,3,0),"")</f>
        <v/>
      </c>
      <c r="AO29" s="8" t="str">
        <f>IFERROR(VLOOKUP($B$5:$B$199,'[2]13'!$B$5:$G$200,6,0),"")</f>
        <v/>
      </c>
      <c r="AP29" s="8" t="str">
        <f t="shared" si="12"/>
        <v/>
      </c>
      <c r="AQ29" s="8" t="str">
        <f>IFERROR(VLOOKUP($B$5:$B$199,'[2]14'!$B$5:$D$200,3,0),"")</f>
        <v/>
      </c>
      <c r="AR29" s="8" t="str">
        <f>IFERROR(VLOOKUP($B$5:$B$199,'[2]14'!$B$5:$G$200,6,0),"")</f>
        <v/>
      </c>
      <c r="AS29" s="8" t="str">
        <f t="shared" si="13"/>
        <v/>
      </c>
      <c r="AT29" s="8" t="str">
        <f>IFERROR(VLOOKUP($B$5:$B$199,'[2]15'!$B$5:$D$200,3,0),"")</f>
        <v/>
      </c>
      <c r="AU29" s="8" t="str">
        <f>IFERROR(VLOOKUP($B$5:$B$199,'[2]15'!$B$5:$G$200,6,0),"")</f>
        <v/>
      </c>
      <c r="AV29" s="8" t="str">
        <f t="shared" si="14"/>
        <v/>
      </c>
      <c r="AW29" s="8" t="str">
        <f>IFERROR(VLOOKUP($B$5:$B$199,'[2]16'!$B$5:$D$200,3,0),"")</f>
        <v/>
      </c>
      <c r="AX29" s="8" t="str">
        <f>IFERROR(VLOOKUP($B$5:$B$199,'[2]16'!$B$5:$G$200,6,0),"")</f>
        <v/>
      </c>
      <c r="AY29" s="8" t="str">
        <f t="shared" si="15"/>
        <v/>
      </c>
      <c r="AZ29" s="8" t="str">
        <f>IFERROR(VLOOKUP($B$5:$B$199,'[2]17'!$B$5:$D$200,3,0),"")</f>
        <v/>
      </c>
      <c r="BA29" s="8" t="str">
        <f>IFERROR(VLOOKUP($B$5:$B$199,'[2]17'!$B$5:$G$200,6,0),"")</f>
        <v/>
      </c>
      <c r="BB29" s="8" t="str">
        <f t="shared" si="16"/>
        <v/>
      </c>
      <c r="BC29" s="8" t="str">
        <f>IFERROR(VLOOKUP($B$5:$B$199,'[2]18'!$B$5:$D$200,3,0),"")</f>
        <v/>
      </c>
      <c r="BD29" s="8" t="str">
        <f>IFERROR(VLOOKUP($B$5:$B$199,'[2]18'!$B$5:$G$200,6,0),"")</f>
        <v/>
      </c>
      <c r="BE29" s="8" t="str">
        <f t="shared" si="17"/>
        <v/>
      </c>
      <c r="BF29" s="8" t="str">
        <f>IFERROR(VLOOKUP($B$5:$B$199,'[2]19'!$B$5:$D$200,3,0),"")</f>
        <v/>
      </c>
      <c r="BG29" s="8" t="str">
        <f>IFERROR(VLOOKUP($B$5:$B$199,'[2]19'!$B$5:$G$200,6,0),"")</f>
        <v/>
      </c>
      <c r="BH29" s="8" t="str">
        <f t="shared" si="18"/>
        <v/>
      </c>
      <c r="BI29" s="8" t="str">
        <f>IFERROR(VLOOKUP($B$5:$B$199,'[2]20'!$B$5:$D$200,3,0),"")</f>
        <v/>
      </c>
      <c r="BJ29" s="8" t="str">
        <f>IFERROR(VLOOKUP($B$5:$B$199,'[2]20'!$B$5:$G$200,6,0),"")</f>
        <v/>
      </c>
      <c r="BK29" s="8" t="str">
        <f t="shared" si="19"/>
        <v/>
      </c>
      <c r="BL29" s="8" t="str">
        <f>IFERROR(VLOOKUP($B$5:$B$199,'[2]21'!$B$5:$D$200,3,0),"")</f>
        <v/>
      </c>
      <c r="BM29" s="8" t="str">
        <f>IFERROR(VLOOKUP($B$5:$B$199,'[2]21'!$B$5:$G$200,6,0),"")</f>
        <v/>
      </c>
      <c r="BN29" s="8" t="str">
        <f t="shared" si="20"/>
        <v/>
      </c>
      <c r="BO29" s="8" t="str">
        <f>IFERROR(VLOOKUP($B$5:$B$199,'[2]22'!$B$5:$D$200,3,0),"")</f>
        <v/>
      </c>
      <c r="BP29" s="8" t="str">
        <f>IFERROR(VLOOKUP($B$5:$B$199,'[2]22'!$B$5:$G$200,6,0),"")</f>
        <v/>
      </c>
      <c r="BQ29" s="8" t="str">
        <f t="shared" si="21"/>
        <v/>
      </c>
      <c r="BR29" s="8" t="str">
        <f>IFERROR(VLOOKUP($B$5:$B$199,'[2]23'!$B$5:$D$200,3,0),"")</f>
        <v/>
      </c>
      <c r="BS29" s="8" t="str">
        <f>IFERROR(VLOOKUP($B$5:$B$199,'[2]23'!$B$5:$G$200,6,0),"")</f>
        <v/>
      </c>
      <c r="BT29" s="8" t="str">
        <f t="shared" si="22"/>
        <v/>
      </c>
      <c r="BU29" s="8" t="str">
        <f>IFERROR(VLOOKUP($B$5:$B$199,'[2]24'!$B$5:$D$200,3,0),"")</f>
        <v/>
      </c>
      <c r="BV29" s="8" t="str">
        <f>IFERROR(VLOOKUP($B$5:$B$199,'[2]24'!$B$5:$G$200,6,0),"")</f>
        <v/>
      </c>
      <c r="BW29" s="8" t="str">
        <f t="shared" si="23"/>
        <v/>
      </c>
      <c r="BX29" s="8" t="str">
        <f>IFERROR(VLOOKUP($B$5:$B$199,'[2]25'!$B$5:$D$200,3,0),"")</f>
        <v/>
      </c>
      <c r="BY29" s="8" t="str">
        <f>IFERROR(VLOOKUP($B$5:$B$199,'[2]25'!$B$5:$G$200,6,0),"")</f>
        <v/>
      </c>
      <c r="BZ29" s="8" t="str">
        <f t="shared" si="24"/>
        <v/>
      </c>
      <c r="CA29" s="8" t="str">
        <f>IFERROR(VLOOKUP($B$5:$B$199,'[2]26'!$B$5:$D$200,3,0),"")</f>
        <v/>
      </c>
      <c r="CB29" s="8" t="str">
        <f>IFERROR(VLOOKUP($B$5:$B$199,'[2]26'!$B$5:$G$200,6,0),"")</f>
        <v/>
      </c>
      <c r="CC29" s="8" t="str">
        <f t="shared" si="25"/>
        <v/>
      </c>
      <c r="CD29" s="8" t="str">
        <f>IFERROR(VLOOKUP($B$5:$B$199,'[2]27'!$B$5:$D$200,3,0),"")</f>
        <v/>
      </c>
      <c r="CE29" s="8" t="str">
        <f>IFERROR(VLOOKUP($B$5:$B$199,'[2]27'!$B$5:$G$200,6,0),"")</f>
        <v/>
      </c>
      <c r="CF29" s="8" t="str">
        <f t="shared" si="26"/>
        <v/>
      </c>
      <c r="CG29" s="8" t="str">
        <f>IFERROR(VLOOKUP($B$5:$B$199,'[2]28'!$B$5:$D$200,3,0),"")</f>
        <v/>
      </c>
      <c r="CH29" s="8" t="str">
        <f>IFERROR(VLOOKUP($B$5:$B$199,'[2]28'!$B$5:$G$200,6,0),"")</f>
        <v/>
      </c>
      <c r="CI29" s="8" t="str">
        <f t="shared" si="27"/>
        <v/>
      </c>
      <c r="CJ29" s="8" t="str">
        <f>IFERROR(VLOOKUP($B$5:$B$199,'[2]29'!$B$5:$D$200,3,0),"")</f>
        <v/>
      </c>
      <c r="CK29" s="8" t="str">
        <f>IFERROR(VLOOKUP($B$5:$B$199,'[2]29'!$B$5:$G$200,6,0),"")</f>
        <v/>
      </c>
      <c r="CL29" s="8" t="str">
        <f t="shared" si="28"/>
        <v/>
      </c>
      <c r="CM29" s="8" t="str">
        <f>IFERROR(VLOOKUP($B$5:$B$199,'[2]30'!$B$5:$D$200,3,0),"")</f>
        <v/>
      </c>
      <c r="CN29" s="8" t="str">
        <f>IFERROR(VLOOKUP($B$5:$B$199,'[2]30'!$B$5:$G$200,6,0),"")</f>
        <v/>
      </c>
      <c r="CO29" s="8" t="str">
        <f t="shared" si="29"/>
        <v/>
      </c>
      <c r="CP29" s="8" t="str">
        <f>IFERROR(VLOOKUP($B$5:$B$199,'[2]31'!$B$5:$D$200,3,0),"")</f>
        <v/>
      </c>
      <c r="CQ29" s="8" t="str">
        <f>IFERROR(VLOOKUP($B$5:$B$199,'[2]31'!$B$5:$G$200,6,0),"")</f>
        <v/>
      </c>
      <c r="CR29" s="8" t="str">
        <f t="shared" si="30"/>
        <v/>
      </c>
      <c r="CT29" s="3">
        <f t="shared" si="31"/>
        <v>1</v>
      </c>
      <c r="CU29" s="3">
        <f t="shared" si="32"/>
        <v>116434.73490327869</v>
      </c>
      <c r="CV29" s="3">
        <f t="shared" si="33"/>
        <v>116434.73490327869</v>
      </c>
      <c r="CX29">
        <f t="shared" si="34"/>
        <v>1</v>
      </c>
    </row>
    <row r="30" spans="2:102" x14ac:dyDescent="0.25">
      <c r="B30" s="7"/>
      <c r="C30" s="7" t="e">
        <f>VLOOKUP($B30,DBASE!$C$7:$D$403,2,0)</f>
        <v>#N/A</v>
      </c>
      <c r="D30" s="8" t="str">
        <f>IFERROR(VLOOKUP($B$5:$B$199,'[2]1'!$B$5:$D$200,3,0),"")</f>
        <v/>
      </c>
      <c r="E30" s="8" t="str">
        <f>IFERROR(VLOOKUP($B$5:$B$199,'[2]1'!$B$5:$G$200,6,0),"")</f>
        <v/>
      </c>
      <c r="F30" s="8" t="str">
        <f t="shared" si="0"/>
        <v/>
      </c>
      <c r="G30" s="8" t="str">
        <f>IFERROR(VLOOKUP($B$5:$B$199,'[2]2'!$B$5:$D$200,3,0),"")</f>
        <v/>
      </c>
      <c r="H30" s="8" t="str">
        <f>IFERROR(VLOOKUP($B$5:$B$199,'[2]2'!$B$5:$G$200,6,0),"")</f>
        <v/>
      </c>
      <c r="I30" s="8" t="str">
        <f t="shared" si="1"/>
        <v/>
      </c>
      <c r="J30" s="8" t="str">
        <f>IFERROR(VLOOKUP($B$5:$B$199,'[2]3'!$B$5:$D$200,3,0),"")</f>
        <v/>
      </c>
      <c r="K30" s="8" t="str">
        <f>IFERROR(VLOOKUP($B$5:$B$199,'[2]3'!$B$5:$G$200,6,0),"")</f>
        <v/>
      </c>
      <c r="L30" s="8" t="str">
        <f t="shared" si="2"/>
        <v/>
      </c>
      <c r="M30" s="8" t="str">
        <f>IFERROR(VLOOKUP($B$5:$B$199,'[2]4'!$B$5:$D$200,3,0),"")</f>
        <v/>
      </c>
      <c r="N30" s="8" t="str">
        <f>IFERROR(VLOOKUP($B$5:$B$199,'[2]4'!$B$5:$G$200,6,0),"")</f>
        <v/>
      </c>
      <c r="O30" s="8" t="str">
        <f t="shared" si="3"/>
        <v/>
      </c>
      <c r="P30" s="8" t="str">
        <f>IFERROR(VLOOKUP($B$5:$B$199,'[2]5'!$B$5:$D$200,3,0),"")</f>
        <v/>
      </c>
      <c r="Q30" s="8" t="str">
        <f>IFERROR(VLOOKUP($B$5:$B$199,'[2]5'!$B$5:$G$200,6,0),"")</f>
        <v/>
      </c>
      <c r="R30" s="8" t="str">
        <f t="shared" si="4"/>
        <v/>
      </c>
      <c r="S30" s="8" t="str">
        <f>IFERROR(VLOOKUP($B$5:$B$199,'[2]6'!$B$5:$D$200,3,0),"")</f>
        <v/>
      </c>
      <c r="T30" s="8" t="str">
        <f>IFERROR(VLOOKUP($B$5:$B$199,'[2]6'!$B$5:$G$200,6,0),"")</f>
        <v/>
      </c>
      <c r="U30" s="8" t="str">
        <f t="shared" si="5"/>
        <v/>
      </c>
      <c r="V30" s="8" t="str">
        <f>IFERROR(VLOOKUP($B$5:$B$199,'[2]7'!$B$5:$D$200,3,0),"")</f>
        <v/>
      </c>
      <c r="W30" s="8" t="str">
        <f>IFERROR(VLOOKUP($B$5:$B$199,'[2]7'!$B$5:$G$200,6,0),"")</f>
        <v/>
      </c>
      <c r="X30" s="8" t="str">
        <f t="shared" si="6"/>
        <v/>
      </c>
      <c r="Y30" s="8" t="str">
        <f>IFERROR(VLOOKUP($B$5:$B$199,'[2]8'!$B$5:$D$200,3,0),"")</f>
        <v/>
      </c>
      <c r="Z30" s="8" t="str">
        <f>IFERROR(VLOOKUP($B$5:$B$199,'[2]8'!$B$5:$G$200,6,0),"")</f>
        <v/>
      </c>
      <c r="AA30" s="8" t="str">
        <f t="shared" si="7"/>
        <v/>
      </c>
      <c r="AB30" s="8" t="str">
        <f>IFERROR(VLOOKUP($B$5:$B$199,'[2]9'!$B$5:$D$200,3,0),"")</f>
        <v/>
      </c>
      <c r="AC30" s="8" t="str">
        <f>IFERROR(VLOOKUP($B$5:$B$199,'[2]9'!$B$5:$G$200,6,0),"")</f>
        <v/>
      </c>
      <c r="AD30" s="8" t="str">
        <f t="shared" si="8"/>
        <v/>
      </c>
      <c r="AE30" s="8" t="str">
        <f>IFERROR(VLOOKUP($B$5:$B$199,'[2]10'!$B$5:$D$200,3,0),"")</f>
        <v/>
      </c>
      <c r="AF30" s="8" t="str">
        <f>IFERROR(VLOOKUP($B$5:$B$199,'[2]10'!$B$5:$G$200,6,0),"")</f>
        <v/>
      </c>
      <c r="AG30" s="8" t="str">
        <f t="shared" si="9"/>
        <v/>
      </c>
      <c r="AH30" s="8" t="str">
        <f>IFERROR(VLOOKUP($B$5:$B$199,'[2]11'!$B$5:$D$200,3,0),"")</f>
        <v/>
      </c>
      <c r="AI30" s="8" t="str">
        <f>IFERROR(VLOOKUP($B$5:$B$199,'[2]11'!$B$5:$G$200,6,0),"")</f>
        <v/>
      </c>
      <c r="AJ30" s="8" t="str">
        <f t="shared" si="10"/>
        <v/>
      </c>
      <c r="AK30" s="8" t="str">
        <f>IFERROR(VLOOKUP($B$5:$B$199,'[2]12'!$B$5:$D$200,3,0),"")</f>
        <v/>
      </c>
      <c r="AL30" s="8" t="str">
        <f>IFERROR(VLOOKUP($B$5:$B$199,'[2]12'!$B$5:$G$200,6,0),"")</f>
        <v/>
      </c>
      <c r="AM30" s="8" t="str">
        <f t="shared" si="11"/>
        <v/>
      </c>
      <c r="AN30" s="8" t="str">
        <f>IFERROR(VLOOKUP($B$5:$B$199,'[2]13'!$B$5:$D$200,3,0),"")</f>
        <v/>
      </c>
      <c r="AO30" s="8" t="str">
        <f>IFERROR(VLOOKUP($B$5:$B$199,'[2]13'!$B$5:$G$200,6,0),"")</f>
        <v/>
      </c>
      <c r="AP30" s="8" t="str">
        <f t="shared" si="12"/>
        <v/>
      </c>
      <c r="AQ30" s="8" t="str">
        <f>IFERROR(VLOOKUP($B$5:$B$199,'[2]14'!$B$5:$D$200,3,0),"")</f>
        <v/>
      </c>
      <c r="AR30" s="8" t="str">
        <f>IFERROR(VLOOKUP($B$5:$B$199,'[2]14'!$B$5:$G$200,6,0),"")</f>
        <v/>
      </c>
      <c r="AS30" s="8" t="str">
        <f t="shared" si="13"/>
        <v/>
      </c>
      <c r="AT30" s="8" t="str">
        <f>IFERROR(VLOOKUP($B$5:$B$199,'[2]15'!$B$5:$D$200,3,0),"")</f>
        <v/>
      </c>
      <c r="AU30" s="8" t="str">
        <f>IFERROR(VLOOKUP($B$5:$B$199,'[2]15'!$B$5:$G$200,6,0),"")</f>
        <v/>
      </c>
      <c r="AV30" s="8" t="str">
        <f t="shared" si="14"/>
        <v/>
      </c>
      <c r="AW30" s="8" t="str">
        <f>IFERROR(VLOOKUP($B$5:$B$199,'[2]16'!$B$5:$D$200,3,0),"")</f>
        <v/>
      </c>
      <c r="AX30" s="8" t="str">
        <f>IFERROR(VLOOKUP($B$5:$B$199,'[2]16'!$B$5:$G$200,6,0),"")</f>
        <v/>
      </c>
      <c r="AY30" s="8" t="str">
        <f t="shared" si="15"/>
        <v/>
      </c>
      <c r="AZ30" s="8" t="str">
        <f>IFERROR(VLOOKUP($B$5:$B$199,'[2]17'!$B$5:$D$200,3,0),"")</f>
        <v/>
      </c>
      <c r="BA30" s="8" t="str">
        <f>IFERROR(VLOOKUP($B$5:$B$199,'[2]17'!$B$5:$G$200,6,0),"")</f>
        <v/>
      </c>
      <c r="BB30" s="8" t="str">
        <f t="shared" si="16"/>
        <v/>
      </c>
      <c r="BC30" s="8" t="str">
        <f>IFERROR(VLOOKUP($B$5:$B$199,'[2]18'!$B$5:$D$200,3,0),"")</f>
        <v/>
      </c>
      <c r="BD30" s="8" t="str">
        <f>IFERROR(VLOOKUP($B$5:$B$199,'[2]18'!$B$5:$G$200,6,0),"")</f>
        <v/>
      </c>
      <c r="BE30" s="8" t="str">
        <f t="shared" si="17"/>
        <v/>
      </c>
      <c r="BF30" s="8" t="str">
        <f>IFERROR(VLOOKUP($B$5:$B$199,'[2]19'!$B$5:$D$200,3,0),"")</f>
        <v/>
      </c>
      <c r="BG30" s="8" t="str">
        <f>IFERROR(VLOOKUP($B$5:$B$199,'[2]19'!$B$5:$G$200,6,0),"")</f>
        <v/>
      </c>
      <c r="BH30" s="8" t="str">
        <f t="shared" si="18"/>
        <v/>
      </c>
      <c r="BI30" s="8" t="str">
        <f>IFERROR(VLOOKUP($B$5:$B$199,'[2]20'!$B$5:$D$200,3,0),"")</f>
        <v/>
      </c>
      <c r="BJ30" s="8" t="str">
        <f>IFERROR(VLOOKUP($B$5:$B$199,'[2]20'!$B$5:$G$200,6,0),"")</f>
        <v/>
      </c>
      <c r="BK30" s="8" t="str">
        <f t="shared" si="19"/>
        <v/>
      </c>
      <c r="BL30" s="8" t="str">
        <f>IFERROR(VLOOKUP($B$5:$B$199,'[2]21'!$B$5:$D$200,3,0),"")</f>
        <v/>
      </c>
      <c r="BM30" s="8" t="str">
        <f>IFERROR(VLOOKUP($B$5:$B$199,'[2]21'!$B$5:$G$200,6,0),"")</f>
        <v/>
      </c>
      <c r="BN30" s="8" t="str">
        <f t="shared" si="20"/>
        <v/>
      </c>
      <c r="BO30" s="8" t="str">
        <f>IFERROR(VLOOKUP($B$5:$B$199,'[2]22'!$B$5:$D$200,3,0),"")</f>
        <v/>
      </c>
      <c r="BP30" s="8" t="str">
        <f>IFERROR(VLOOKUP($B$5:$B$199,'[2]22'!$B$5:$G$200,6,0),"")</f>
        <v/>
      </c>
      <c r="BQ30" s="8" t="str">
        <f t="shared" si="21"/>
        <v/>
      </c>
      <c r="BR30" s="8" t="str">
        <f>IFERROR(VLOOKUP($B$5:$B$199,'[2]23'!$B$5:$D$200,3,0),"")</f>
        <v/>
      </c>
      <c r="BS30" s="8" t="str">
        <f>IFERROR(VLOOKUP($B$5:$B$199,'[2]23'!$B$5:$G$200,6,0),"")</f>
        <v/>
      </c>
      <c r="BT30" s="8" t="str">
        <f t="shared" si="22"/>
        <v/>
      </c>
      <c r="BU30" s="8" t="str">
        <f>IFERROR(VLOOKUP($B$5:$B$199,'[2]24'!$B$5:$D$200,3,0),"")</f>
        <v/>
      </c>
      <c r="BV30" s="8" t="str">
        <f>IFERROR(VLOOKUP($B$5:$B$199,'[2]24'!$B$5:$G$200,6,0),"")</f>
        <v/>
      </c>
      <c r="BW30" s="8" t="str">
        <f t="shared" si="23"/>
        <v/>
      </c>
      <c r="BX30" s="8" t="str">
        <f>IFERROR(VLOOKUP($B$5:$B$199,'[2]25'!$B$5:$D$200,3,0),"")</f>
        <v/>
      </c>
      <c r="BY30" s="8" t="str">
        <f>IFERROR(VLOOKUP($B$5:$B$199,'[2]25'!$B$5:$G$200,6,0),"")</f>
        <v/>
      </c>
      <c r="BZ30" s="8" t="str">
        <f t="shared" si="24"/>
        <v/>
      </c>
      <c r="CA30" s="8" t="str">
        <f>IFERROR(VLOOKUP($B$5:$B$199,'[2]26'!$B$5:$D$200,3,0),"")</f>
        <v/>
      </c>
      <c r="CB30" s="8" t="str">
        <f>IFERROR(VLOOKUP($B$5:$B$199,'[2]26'!$B$5:$G$200,6,0),"")</f>
        <v/>
      </c>
      <c r="CC30" s="8" t="str">
        <f t="shared" si="25"/>
        <v/>
      </c>
      <c r="CD30" s="8" t="str">
        <f>IFERROR(VLOOKUP($B$5:$B$199,'[2]27'!$B$5:$D$200,3,0),"")</f>
        <v/>
      </c>
      <c r="CE30" s="8" t="str">
        <f>IFERROR(VLOOKUP($B$5:$B$199,'[2]27'!$B$5:$G$200,6,0),"")</f>
        <v/>
      </c>
      <c r="CF30" s="8" t="str">
        <f t="shared" si="26"/>
        <v/>
      </c>
      <c r="CG30" s="8" t="str">
        <f>IFERROR(VLOOKUP($B$5:$B$199,'[2]28'!$B$5:$D$200,3,0),"")</f>
        <v/>
      </c>
      <c r="CH30" s="8" t="str">
        <f>IFERROR(VLOOKUP($B$5:$B$199,'[2]28'!$B$5:$G$200,6,0),"")</f>
        <v/>
      </c>
      <c r="CI30" s="8" t="str">
        <f t="shared" si="27"/>
        <v/>
      </c>
      <c r="CJ30" s="8" t="str">
        <f>IFERROR(VLOOKUP($B$5:$B$199,'[2]29'!$B$5:$D$200,3,0),"")</f>
        <v/>
      </c>
      <c r="CK30" s="8" t="str">
        <f>IFERROR(VLOOKUP($B$5:$B$199,'[2]29'!$B$5:$G$200,6,0),"")</f>
        <v/>
      </c>
      <c r="CL30" s="8" t="str">
        <f t="shared" si="28"/>
        <v/>
      </c>
      <c r="CM30" s="8" t="str">
        <f>IFERROR(VLOOKUP($B$5:$B$199,'[2]30'!$B$5:$D$200,3,0),"")</f>
        <v/>
      </c>
      <c r="CN30" s="8" t="str">
        <f>IFERROR(VLOOKUP($B$5:$B$199,'[2]30'!$B$5:$G$200,6,0),"")</f>
        <v/>
      </c>
      <c r="CO30" s="8" t="str">
        <f t="shared" si="29"/>
        <v/>
      </c>
      <c r="CP30" s="8" t="str">
        <f>IFERROR(VLOOKUP($B$5:$B$199,'[2]31'!$B$5:$D$200,3,0),"")</f>
        <v/>
      </c>
      <c r="CQ30" s="8" t="str">
        <f>IFERROR(VLOOKUP($B$5:$B$199,'[2]31'!$B$5:$G$200,6,0),"")</f>
        <v/>
      </c>
      <c r="CR30" s="8" t="str">
        <f t="shared" si="30"/>
        <v/>
      </c>
      <c r="CT30" s="3">
        <f t="shared" si="31"/>
        <v>0</v>
      </c>
      <c r="CU30" s="3" t="str">
        <f t="shared" si="32"/>
        <v/>
      </c>
      <c r="CV30" s="3" t="str">
        <f t="shared" si="33"/>
        <v/>
      </c>
      <c r="CX30">
        <f t="shared" si="34"/>
        <v>0</v>
      </c>
    </row>
    <row r="31" spans="2:102" x14ac:dyDescent="0.25">
      <c r="B31" s="7" t="s">
        <v>61</v>
      </c>
      <c r="C31" s="7" t="str">
        <f>VLOOKUP($B31,DBASE!$C$7:$D$403,2,0)</f>
        <v>MINTZ PEPPERMINT</v>
      </c>
      <c r="D31" s="8">
        <f>IFERROR(VLOOKUP($B$5:$B$199,'[2]1'!$B$5:$D$200,3,0),"")</f>
        <v>50</v>
      </c>
      <c r="E31" s="8">
        <f>IFERROR(VLOOKUP($B$5:$B$199,'[2]1'!$B$5:$G$200,6,0),"")</f>
        <v>73124.999800000005</v>
      </c>
      <c r="F31" s="8">
        <f t="shared" si="0"/>
        <v>3656249.99</v>
      </c>
      <c r="G31" s="8" t="str">
        <f>IFERROR(VLOOKUP($B$5:$B$199,'[2]2'!$B$5:$D$200,3,0),"")</f>
        <v/>
      </c>
      <c r="H31" s="8" t="str">
        <f>IFERROR(VLOOKUP($B$5:$B$199,'[2]2'!$B$5:$G$200,6,0),"")</f>
        <v/>
      </c>
      <c r="I31" s="8" t="str">
        <f t="shared" si="1"/>
        <v/>
      </c>
      <c r="J31" s="8" t="str">
        <f>IFERROR(VLOOKUP($B$5:$B$199,'[2]3'!$B$5:$D$200,3,0),"")</f>
        <v/>
      </c>
      <c r="K31" s="8" t="str">
        <f>IFERROR(VLOOKUP($B$5:$B$199,'[2]3'!$B$5:$G$200,6,0),"")</f>
        <v/>
      </c>
      <c r="L31" s="8" t="str">
        <f t="shared" si="2"/>
        <v/>
      </c>
      <c r="M31" s="8" t="str">
        <f>IFERROR(VLOOKUP($B$5:$B$199,'[2]4'!$B$5:$D$200,3,0),"")</f>
        <v/>
      </c>
      <c r="N31" s="8" t="str">
        <f>IFERROR(VLOOKUP($B$5:$B$199,'[2]4'!$B$5:$G$200,6,0),"")</f>
        <v/>
      </c>
      <c r="O31" s="8" t="str">
        <f t="shared" si="3"/>
        <v/>
      </c>
      <c r="P31" s="8" t="str">
        <f>IFERROR(VLOOKUP($B$5:$B$199,'[2]5'!$B$5:$D$200,3,0),"")</f>
        <v/>
      </c>
      <c r="Q31" s="8" t="str">
        <f>IFERROR(VLOOKUP($B$5:$B$199,'[2]5'!$B$5:$G$200,6,0),"")</f>
        <v/>
      </c>
      <c r="R31" s="8" t="str">
        <f t="shared" si="4"/>
        <v/>
      </c>
      <c r="S31" s="8" t="str">
        <f>IFERROR(VLOOKUP($B$5:$B$199,'[2]6'!$B$5:$D$200,3,0),"")</f>
        <v/>
      </c>
      <c r="T31" s="8" t="str">
        <f>IFERROR(VLOOKUP($B$5:$B$199,'[2]6'!$B$5:$G$200,6,0),"")</f>
        <v/>
      </c>
      <c r="U31" s="8" t="str">
        <f t="shared" si="5"/>
        <v/>
      </c>
      <c r="V31" s="8" t="str">
        <f>IFERROR(VLOOKUP($B$5:$B$199,'[2]7'!$B$5:$D$200,3,0),"")</f>
        <v/>
      </c>
      <c r="W31" s="8" t="str">
        <f>IFERROR(VLOOKUP($B$5:$B$199,'[2]7'!$B$5:$G$200,6,0),"")</f>
        <v/>
      </c>
      <c r="X31" s="8" t="str">
        <f t="shared" si="6"/>
        <v/>
      </c>
      <c r="Y31" s="8" t="str">
        <f>IFERROR(VLOOKUP($B$5:$B$199,'[2]8'!$B$5:$D$200,3,0),"")</f>
        <v/>
      </c>
      <c r="Z31" s="8" t="str">
        <f>IFERROR(VLOOKUP($B$5:$B$199,'[2]8'!$B$5:$G$200,6,0),"")</f>
        <v/>
      </c>
      <c r="AA31" s="8" t="str">
        <f t="shared" si="7"/>
        <v/>
      </c>
      <c r="AB31" s="8" t="str">
        <f>IFERROR(VLOOKUP($B$5:$B$199,'[2]9'!$B$5:$D$200,3,0),"")</f>
        <v/>
      </c>
      <c r="AC31" s="8" t="str">
        <f>IFERROR(VLOOKUP($B$5:$B$199,'[2]9'!$B$5:$G$200,6,0),"")</f>
        <v/>
      </c>
      <c r="AD31" s="8" t="str">
        <f t="shared" si="8"/>
        <v/>
      </c>
      <c r="AE31" s="8" t="str">
        <f>IFERROR(VLOOKUP($B$5:$B$199,'[2]10'!$B$5:$D$200,3,0),"")</f>
        <v/>
      </c>
      <c r="AF31" s="8" t="str">
        <f>IFERROR(VLOOKUP($B$5:$B$199,'[2]10'!$B$5:$G$200,6,0),"")</f>
        <v/>
      </c>
      <c r="AG31" s="8" t="str">
        <f t="shared" si="9"/>
        <v/>
      </c>
      <c r="AH31" s="8" t="str">
        <f>IFERROR(VLOOKUP($B$5:$B$199,'[2]11'!$B$5:$D$200,3,0),"")</f>
        <v/>
      </c>
      <c r="AI31" s="8" t="str">
        <f>IFERROR(VLOOKUP($B$5:$B$199,'[2]11'!$B$5:$G$200,6,0),"")</f>
        <v/>
      </c>
      <c r="AJ31" s="8" t="str">
        <f t="shared" si="10"/>
        <v/>
      </c>
      <c r="AK31" s="8" t="str">
        <f>IFERROR(VLOOKUP($B$5:$B$199,'[2]12'!$B$5:$D$200,3,0),"")</f>
        <v/>
      </c>
      <c r="AL31" s="8" t="str">
        <f>IFERROR(VLOOKUP($B$5:$B$199,'[2]12'!$B$5:$G$200,6,0),"")</f>
        <v/>
      </c>
      <c r="AM31" s="8" t="str">
        <f t="shared" si="11"/>
        <v/>
      </c>
      <c r="AN31" s="8" t="str">
        <f>IFERROR(VLOOKUP($B$5:$B$199,'[2]13'!$B$5:$D$200,3,0),"")</f>
        <v/>
      </c>
      <c r="AO31" s="8" t="str">
        <f>IFERROR(VLOOKUP($B$5:$B$199,'[2]13'!$B$5:$G$200,6,0),"")</f>
        <v/>
      </c>
      <c r="AP31" s="8" t="str">
        <f t="shared" si="12"/>
        <v/>
      </c>
      <c r="AQ31" s="8" t="str">
        <f>IFERROR(VLOOKUP($B$5:$B$199,'[2]14'!$B$5:$D$200,3,0),"")</f>
        <v/>
      </c>
      <c r="AR31" s="8" t="str">
        <f>IFERROR(VLOOKUP($B$5:$B$199,'[2]14'!$B$5:$G$200,6,0),"")</f>
        <v/>
      </c>
      <c r="AS31" s="8" t="str">
        <f t="shared" si="13"/>
        <v/>
      </c>
      <c r="AT31" s="8" t="str">
        <f>IFERROR(VLOOKUP($B$5:$B$199,'[2]15'!$B$5:$D$200,3,0),"")</f>
        <v/>
      </c>
      <c r="AU31" s="8" t="str">
        <f>IFERROR(VLOOKUP($B$5:$B$199,'[2]15'!$B$5:$G$200,6,0),"")</f>
        <v/>
      </c>
      <c r="AV31" s="8" t="str">
        <f t="shared" si="14"/>
        <v/>
      </c>
      <c r="AW31" s="8" t="str">
        <f>IFERROR(VLOOKUP($B$5:$B$199,'[2]16'!$B$5:$D$200,3,0),"")</f>
        <v/>
      </c>
      <c r="AX31" s="8" t="str">
        <f>IFERROR(VLOOKUP($B$5:$B$199,'[2]16'!$B$5:$G$200,6,0),"")</f>
        <v/>
      </c>
      <c r="AY31" s="8" t="str">
        <f t="shared" si="15"/>
        <v/>
      </c>
      <c r="AZ31" s="8" t="str">
        <f>IFERROR(VLOOKUP($B$5:$B$199,'[2]17'!$B$5:$D$200,3,0),"")</f>
        <v/>
      </c>
      <c r="BA31" s="8" t="str">
        <f>IFERROR(VLOOKUP($B$5:$B$199,'[2]17'!$B$5:$G$200,6,0),"")</f>
        <v/>
      </c>
      <c r="BB31" s="8" t="str">
        <f t="shared" si="16"/>
        <v/>
      </c>
      <c r="BC31" s="8" t="str">
        <f>IFERROR(VLOOKUP($B$5:$B$199,'[2]18'!$B$5:$D$200,3,0),"")</f>
        <v/>
      </c>
      <c r="BD31" s="8" t="str">
        <f>IFERROR(VLOOKUP($B$5:$B$199,'[2]18'!$B$5:$G$200,6,0),"")</f>
        <v/>
      </c>
      <c r="BE31" s="8" t="str">
        <f t="shared" si="17"/>
        <v/>
      </c>
      <c r="BF31" s="8" t="str">
        <f>IFERROR(VLOOKUP($B$5:$B$199,'[2]19'!$B$5:$D$200,3,0),"")</f>
        <v/>
      </c>
      <c r="BG31" s="8" t="str">
        <f>IFERROR(VLOOKUP($B$5:$B$199,'[2]19'!$B$5:$G$200,6,0),"")</f>
        <v/>
      </c>
      <c r="BH31" s="8" t="str">
        <f t="shared" si="18"/>
        <v/>
      </c>
      <c r="BI31" s="8" t="str">
        <f>IFERROR(VLOOKUP($B$5:$B$199,'[2]20'!$B$5:$D$200,3,0),"")</f>
        <v/>
      </c>
      <c r="BJ31" s="8" t="str">
        <f>IFERROR(VLOOKUP($B$5:$B$199,'[2]20'!$B$5:$G$200,6,0),"")</f>
        <v/>
      </c>
      <c r="BK31" s="8" t="str">
        <f t="shared" si="19"/>
        <v/>
      </c>
      <c r="BL31" s="8" t="str">
        <f>IFERROR(VLOOKUP($B$5:$B$199,'[2]21'!$B$5:$D$200,3,0),"")</f>
        <v/>
      </c>
      <c r="BM31" s="8" t="str">
        <f>IFERROR(VLOOKUP($B$5:$B$199,'[2]21'!$B$5:$G$200,6,0),"")</f>
        <v/>
      </c>
      <c r="BN31" s="8" t="str">
        <f t="shared" si="20"/>
        <v/>
      </c>
      <c r="BO31" s="8" t="str">
        <f>IFERROR(VLOOKUP($B$5:$B$199,'[2]22'!$B$5:$D$200,3,0),"")</f>
        <v/>
      </c>
      <c r="BP31" s="8" t="str">
        <f>IFERROR(VLOOKUP($B$5:$B$199,'[2]22'!$B$5:$G$200,6,0),"")</f>
        <v/>
      </c>
      <c r="BQ31" s="8" t="str">
        <f t="shared" si="21"/>
        <v/>
      </c>
      <c r="BR31" s="8" t="str">
        <f>IFERROR(VLOOKUP($B$5:$B$199,'[2]23'!$B$5:$D$200,3,0),"")</f>
        <v/>
      </c>
      <c r="BS31" s="8" t="str">
        <f>IFERROR(VLOOKUP($B$5:$B$199,'[2]23'!$B$5:$G$200,6,0),"")</f>
        <v/>
      </c>
      <c r="BT31" s="8" t="str">
        <f t="shared" si="22"/>
        <v/>
      </c>
      <c r="BU31" s="8" t="str">
        <f>IFERROR(VLOOKUP($B$5:$B$199,'[2]24'!$B$5:$D$200,3,0),"")</f>
        <v/>
      </c>
      <c r="BV31" s="8" t="str">
        <f>IFERROR(VLOOKUP($B$5:$B$199,'[2]24'!$B$5:$G$200,6,0),"")</f>
        <v/>
      </c>
      <c r="BW31" s="8" t="str">
        <f t="shared" si="23"/>
        <v/>
      </c>
      <c r="BX31" s="8" t="str">
        <f>IFERROR(VLOOKUP($B$5:$B$199,'[2]25'!$B$5:$D$200,3,0),"")</f>
        <v/>
      </c>
      <c r="BY31" s="8" t="str">
        <f>IFERROR(VLOOKUP($B$5:$B$199,'[2]25'!$B$5:$G$200,6,0),"")</f>
        <v/>
      </c>
      <c r="BZ31" s="8" t="str">
        <f t="shared" si="24"/>
        <v/>
      </c>
      <c r="CA31" s="8" t="str">
        <f>IFERROR(VLOOKUP($B$5:$B$199,'[2]26'!$B$5:$D$200,3,0),"")</f>
        <v/>
      </c>
      <c r="CB31" s="8" t="str">
        <f>IFERROR(VLOOKUP($B$5:$B$199,'[2]26'!$B$5:$G$200,6,0),"")</f>
        <v/>
      </c>
      <c r="CC31" s="8" t="str">
        <f t="shared" si="25"/>
        <v/>
      </c>
      <c r="CD31" s="8" t="str">
        <f>IFERROR(VLOOKUP($B$5:$B$199,'[2]27'!$B$5:$D$200,3,0),"")</f>
        <v/>
      </c>
      <c r="CE31" s="8" t="str">
        <f>IFERROR(VLOOKUP($B$5:$B$199,'[2]27'!$B$5:$G$200,6,0),"")</f>
        <v/>
      </c>
      <c r="CF31" s="8" t="str">
        <f t="shared" si="26"/>
        <v/>
      </c>
      <c r="CG31" s="8" t="str">
        <f>IFERROR(VLOOKUP($B$5:$B$199,'[2]28'!$B$5:$D$200,3,0),"")</f>
        <v/>
      </c>
      <c r="CH31" s="8" t="str">
        <f>IFERROR(VLOOKUP($B$5:$B$199,'[2]28'!$B$5:$G$200,6,0),"")</f>
        <v/>
      </c>
      <c r="CI31" s="8" t="str">
        <f t="shared" si="27"/>
        <v/>
      </c>
      <c r="CJ31" s="8" t="str">
        <f>IFERROR(VLOOKUP($B$5:$B$199,'[2]29'!$B$5:$D$200,3,0),"")</f>
        <v/>
      </c>
      <c r="CK31" s="8" t="str">
        <f>IFERROR(VLOOKUP($B$5:$B$199,'[2]29'!$B$5:$G$200,6,0),"")</f>
        <v/>
      </c>
      <c r="CL31" s="8" t="str">
        <f t="shared" si="28"/>
        <v/>
      </c>
      <c r="CM31" s="8" t="str">
        <f>IFERROR(VLOOKUP($B$5:$B$199,'[2]30'!$B$5:$D$200,3,0),"")</f>
        <v/>
      </c>
      <c r="CN31" s="8" t="str">
        <f>IFERROR(VLOOKUP($B$5:$B$199,'[2]30'!$B$5:$G$200,6,0),"")</f>
        <v/>
      </c>
      <c r="CO31" s="8" t="str">
        <f t="shared" si="29"/>
        <v/>
      </c>
      <c r="CP31" s="8" t="str">
        <f>IFERROR(VLOOKUP($B$5:$B$199,'[2]31'!$B$5:$D$200,3,0),"")</f>
        <v/>
      </c>
      <c r="CQ31" s="8" t="str">
        <f>IFERROR(VLOOKUP($B$5:$B$199,'[2]31'!$B$5:$G$200,6,0),"")</f>
        <v/>
      </c>
      <c r="CR31" s="8" t="str">
        <f t="shared" si="30"/>
        <v/>
      </c>
      <c r="CT31" s="3">
        <f t="shared" si="31"/>
        <v>50</v>
      </c>
      <c r="CU31" s="3">
        <f t="shared" si="32"/>
        <v>73124.999800000005</v>
      </c>
      <c r="CV31" s="3">
        <f t="shared" si="33"/>
        <v>3656249.99</v>
      </c>
      <c r="CX31">
        <f t="shared" si="34"/>
        <v>1</v>
      </c>
    </row>
    <row r="32" spans="2:102" x14ac:dyDescent="0.25">
      <c r="B32" s="7" t="s">
        <v>62</v>
      </c>
      <c r="C32" s="7" t="str">
        <f>VLOOKUP($B32,DBASE!$C$7:$D$403,2,0)</f>
        <v>MINTZ DOUBLEMINT</v>
      </c>
      <c r="D32" s="8">
        <f>IFERROR(VLOOKUP($B$5:$B$199,'[2]1'!$B$5:$D$200,3,0),"")</f>
        <v>50</v>
      </c>
      <c r="E32" s="8">
        <f>IFERROR(VLOOKUP($B$5:$B$199,'[2]1'!$B$5:$G$200,6,0),"")</f>
        <v>73125.000199999995</v>
      </c>
      <c r="F32" s="8">
        <f t="shared" si="0"/>
        <v>3656250.01</v>
      </c>
      <c r="G32" s="8" t="str">
        <f>IFERROR(VLOOKUP($B$5:$B$199,'[2]2'!$B$5:$D$200,3,0),"")</f>
        <v/>
      </c>
      <c r="H32" s="8" t="str">
        <f>IFERROR(VLOOKUP($B$5:$B$199,'[2]2'!$B$5:$G$200,6,0),"")</f>
        <v/>
      </c>
      <c r="I32" s="8" t="str">
        <f t="shared" si="1"/>
        <v/>
      </c>
      <c r="J32" s="8" t="str">
        <f>IFERROR(VLOOKUP($B$5:$B$199,'[2]3'!$B$5:$D$200,3,0),"")</f>
        <v/>
      </c>
      <c r="K32" s="8" t="str">
        <f>IFERROR(VLOOKUP($B$5:$B$199,'[2]3'!$B$5:$G$200,6,0),"")</f>
        <v/>
      </c>
      <c r="L32" s="8" t="str">
        <f t="shared" si="2"/>
        <v/>
      </c>
      <c r="M32" s="8" t="str">
        <f>IFERROR(VLOOKUP($B$5:$B$199,'[2]4'!$B$5:$D$200,3,0),"")</f>
        <v/>
      </c>
      <c r="N32" s="8" t="str">
        <f>IFERROR(VLOOKUP($B$5:$B$199,'[2]4'!$B$5:$G$200,6,0),"")</f>
        <v/>
      </c>
      <c r="O32" s="8" t="str">
        <f t="shared" si="3"/>
        <v/>
      </c>
      <c r="P32" s="8" t="str">
        <f>IFERROR(VLOOKUP($B$5:$B$199,'[2]5'!$B$5:$D$200,3,0),"")</f>
        <v/>
      </c>
      <c r="Q32" s="8" t="str">
        <f>IFERROR(VLOOKUP($B$5:$B$199,'[2]5'!$B$5:$G$200,6,0),"")</f>
        <v/>
      </c>
      <c r="R32" s="8" t="str">
        <f t="shared" si="4"/>
        <v/>
      </c>
      <c r="S32" s="8" t="str">
        <f>IFERROR(VLOOKUP($B$5:$B$199,'[2]6'!$B$5:$D$200,3,0),"")</f>
        <v/>
      </c>
      <c r="T32" s="8" t="str">
        <f>IFERROR(VLOOKUP($B$5:$B$199,'[2]6'!$B$5:$G$200,6,0),"")</f>
        <v/>
      </c>
      <c r="U32" s="8" t="str">
        <f t="shared" si="5"/>
        <v/>
      </c>
      <c r="V32" s="8" t="str">
        <f>IFERROR(VLOOKUP($B$5:$B$199,'[2]7'!$B$5:$D$200,3,0),"")</f>
        <v/>
      </c>
      <c r="W32" s="8" t="str">
        <f>IFERROR(VLOOKUP($B$5:$B$199,'[2]7'!$B$5:$G$200,6,0),"")</f>
        <v/>
      </c>
      <c r="X32" s="8" t="str">
        <f t="shared" si="6"/>
        <v/>
      </c>
      <c r="Y32" s="8" t="str">
        <f>IFERROR(VLOOKUP($B$5:$B$199,'[2]8'!$B$5:$D$200,3,0),"")</f>
        <v/>
      </c>
      <c r="Z32" s="8" t="str">
        <f>IFERROR(VLOOKUP($B$5:$B$199,'[2]8'!$B$5:$G$200,6,0),"")</f>
        <v/>
      </c>
      <c r="AA32" s="8" t="str">
        <f t="shared" si="7"/>
        <v/>
      </c>
      <c r="AB32" s="8" t="str">
        <f>IFERROR(VLOOKUP($B$5:$B$199,'[2]9'!$B$5:$D$200,3,0),"")</f>
        <v/>
      </c>
      <c r="AC32" s="8" t="str">
        <f>IFERROR(VLOOKUP($B$5:$B$199,'[2]9'!$B$5:$G$200,6,0),"")</f>
        <v/>
      </c>
      <c r="AD32" s="8" t="str">
        <f t="shared" si="8"/>
        <v/>
      </c>
      <c r="AE32" s="8" t="str">
        <f>IFERROR(VLOOKUP($B$5:$B$199,'[2]10'!$B$5:$D$200,3,0),"")</f>
        <v/>
      </c>
      <c r="AF32" s="8" t="str">
        <f>IFERROR(VLOOKUP($B$5:$B$199,'[2]10'!$B$5:$G$200,6,0),"")</f>
        <v/>
      </c>
      <c r="AG32" s="8" t="str">
        <f t="shared" si="9"/>
        <v/>
      </c>
      <c r="AH32" s="8" t="str">
        <f>IFERROR(VLOOKUP($B$5:$B$199,'[2]11'!$B$5:$D$200,3,0),"")</f>
        <v/>
      </c>
      <c r="AI32" s="8" t="str">
        <f>IFERROR(VLOOKUP($B$5:$B$199,'[2]11'!$B$5:$G$200,6,0),"")</f>
        <v/>
      </c>
      <c r="AJ32" s="8" t="str">
        <f t="shared" si="10"/>
        <v/>
      </c>
      <c r="AK32" s="8" t="str">
        <f>IFERROR(VLOOKUP($B$5:$B$199,'[2]12'!$B$5:$D$200,3,0),"")</f>
        <v/>
      </c>
      <c r="AL32" s="8" t="str">
        <f>IFERROR(VLOOKUP($B$5:$B$199,'[2]12'!$B$5:$G$200,6,0),"")</f>
        <v/>
      </c>
      <c r="AM32" s="8" t="str">
        <f t="shared" si="11"/>
        <v/>
      </c>
      <c r="AN32" s="8" t="str">
        <f>IFERROR(VLOOKUP($B$5:$B$199,'[2]13'!$B$5:$D$200,3,0),"")</f>
        <v/>
      </c>
      <c r="AO32" s="8" t="str">
        <f>IFERROR(VLOOKUP($B$5:$B$199,'[2]13'!$B$5:$G$200,6,0),"")</f>
        <v/>
      </c>
      <c r="AP32" s="8" t="str">
        <f t="shared" si="12"/>
        <v/>
      </c>
      <c r="AQ32" s="8" t="str">
        <f>IFERROR(VLOOKUP($B$5:$B$199,'[2]14'!$B$5:$D$200,3,0),"")</f>
        <v/>
      </c>
      <c r="AR32" s="8" t="str">
        <f>IFERROR(VLOOKUP($B$5:$B$199,'[2]14'!$B$5:$G$200,6,0),"")</f>
        <v/>
      </c>
      <c r="AS32" s="8" t="str">
        <f t="shared" si="13"/>
        <v/>
      </c>
      <c r="AT32" s="8" t="str">
        <f>IFERROR(VLOOKUP($B$5:$B$199,'[2]15'!$B$5:$D$200,3,0),"")</f>
        <v/>
      </c>
      <c r="AU32" s="8" t="str">
        <f>IFERROR(VLOOKUP($B$5:$B$199,'[2]15'!$B$5:$G$200,6,0),"")</f>
        <v/>
      </c>
      <c r="AV32" s="8" t="str">
        <f t="shared" si="14"/>
        <v/>
      </c>
      <c r="AW32" s="8" t="str">
        <f>IFERROR(VLOOKUP($B$5:$B$199,'[2]16'!$B$5:$D$200,3,0),"")</f>
        <v/>
      </c>
      <c r="AX32" s="8" t="str">
        <f>IFERROR(VLOOKUP($B$5:$B$199,'[2]16'!$B$5:$G$200,6,0),"")</f>
        <v/>
      </c>
      <c r="AY32" s="8" t="str">
        <f t="shared" si="15"/>
        <v/>
      </c>
      <c r="AZ32" s="8" t="str">
        <f>IFERROR(VLOOKUP($B$5:$B$199,'[2]17'!$B$5:$D$200,3,0),"")</f>
        <v/>
      </c>
      <c r="BA32" s="8" t="str">
        <f>IFERROR(VLOOKUP($B$5:$B$199,'[2]17'!$B$5:$G$200,6,0),"")</f>
        <v/>
      </c>
      <c r="BB32" s="8" t="str">
        <f t="shared" si="16"/>
        <v/>
      </c>
      <c r="BC32" s="8" t="str">
        <f>IFERROR(VLOOKUP($B$5:$B$199,'[2]18'!$B$5:$D$200,3,0),"")</f>
        <v/>
      </c>
      <c r="BD32" s="8" t="str">
        <f>IFERROR(VLOOKUP($B$5:$B$199,'[2]18'!$B$5:$G$200,6,0),"")</f>
        <v/>
      </c>
      <c r="BE32" s="8" t="str">
        <f t="shared" si="17"/>
        <v/>
      </c>
      <c r="BF32" s="8" t="str">
        <f>IFERROR(VLOOKUP($B$5:$B$199,'[2]19'!$B$5:$D$200,3,0),"")</f>
        <v/>
      </c>
      <c r="BG32" s="8" t="str">
        <f>IFERROR(VLOOKUP($B$5:$B$199,'[2]19'!$B$5:$G$200,6,0),"")</f>
        <v/>
      </c>
      <c r="BH32" s="8" t="str">
        <f t="shared" si="18"/>
        <v/>
      </c>
      <c r="BI32" s="8" t="str">
        <f>IFERROR(VLOOKUP($B$5:$B$199,'[2]20'!$B$5:$D$200,3,0),"")</f>
        <v/>
      </c>
      <c r="BJ32" s="8" t="str">
        <f>IFERROR(VLOOKUP($B$5:$B$199,'[2]20'!$B$5:$G$200,6,0),"")</f>
        <v/>
      </c>
      <c r="BK32" s="8" t="str">
        <f t="shared" si="19"/>
        <v/>
      </c>
      <c r="BL32" s="8" t="str">
        <f>IFERROR(VLOOKUP($B$5:$B$199,'[2]21'!$B$5:$D$200,3,0),"")</f>
        <v/>
      </c>
      <c r="BM32" s="8" t="str">
        <f>IFERROR(VLOOKUP($B$5:$B$199,'[2]21'!$B$5:$G$200,6,0),"")</f>
        <v/>
      </c>
      <c r="BN32" s="8" t="str">
        <f t="shared" si="20"/>
        <v/>
      </c>
      <c r="BO32" s="8" t="str">
        <f>IFERROR(VLOOKUP($B$5:$B$199,'[2]22'!$B$5:$D$200,3,0),"")</f>
        <v/>
      </c>
      <c r="BP32" s="8" t="str">
        <f>IFERROR(VLOOKUP($B$5:$B$199,'[2]22'!$B$5:$G$200,6,0),"")</f>
        <v/>
      </c>
      <c r="BQ32" s="8" t="str">
        <f t="shared" si="21"/>
        <v/>
      </c>
      <c r="BR32" s="8" t="str">
        <f>IFERROR(VLOOKUP($B$5:$B$199,'[2]23'!$B$5:$D$200,3,0),"")</f>
        <v/>
      </c>
      <c r="BS32" s="8" t="str">
        <f>IFERROR(VLOOKUP($B$5:$B$199,'[2]23'!$B$5:$G$200,6,0),"")</f>
        <v/>
      </c>
      <c r="BT32" s="8" t="str">
        <f t="shared" si="22"/>
        <v/>
      </c>
      <c r="BU32" s="8" t="str">
        <f>IFERROR(VLOOKUP($B$5:$B$199,'[2]24'!$B$5:$D$200,3,0),"")</f>
        <v/>
      </c>
      <c r="BV32" s="8" t="str">
        <f>IFERROR(VLOOKUP($B$5:$B$199,'[2]24'!$B$5:$G$200,6,0),"")</f>
        <v/>
      </c>
      <c r="BW32" s="8" t="str">
        <f t="shared" si="23"/>
        <v/>
      </c>
      <c r="BX32" s="8" t="str">
        <f>IFERROR(VLOOKUP($B$5:$B$199,'[2]25'!$B$5:$D$200,3,0),"")</f>
        <v/>
      </c>
      <c r="BY32" s="8" t="str">
        <f>IFERROR(VLOOKUP($B$5:$B$199,'[2]25'!$B$5:$G$200,6,0),"")</f>
        <v/>
      </c>
      <c r="BZ32" s="8" t="str">
        <f t="shared" si="24"/>
        <v/>
      </c>
      <c r="CA32" s="8" t="str">
        <f>IFERROR(VLOOKUP($B$5:$B$199,'[2]26'!$B$5:$D$200,3,0),"")</f>
        <v/>
      </c>
      <c r="CB32" s="8" t="str">
        <f>IFERROR(VLOOKUP($B$5:$B$199,'[2]26'!$B$5:$G$200,6,0),"")</f>
        <v/>
      </c>
      <c r="CC32" s="8" t="str">
        <f t="shared" si="25"/>
        <v/>
      </c>
      <c r="CD32" s="8" t="str">
        <f>IFERROR(VLOOKUP($B$5:$B$199,'[2]27'!$B$5:$D$200,3,0),"")</f>
        <v/>
      </c>
      <c r="CE32" s="8" t="str">
        <f>IFERROR(VLOOKUP($B$5:$B$199,'[2]27'!$B$5:$G$200,6,0),"")</f>
        <v/>
      </c>
      <c r="CF32" s="8" t="str">
        <f t="shared" si="26"/>
        <v/>
      </c>
      <c r="CG32" s="8" t="str">
        <f>IFERROR(VLOOKUP($B$5:$B$199,'[2]28'!$B$5:$D$200,3,0),"")</f>
        <v/>
      </c>
      <c r="CH32" s="8" t="str">
        <f>IFERROR(VLOOKUP($B$5:$B$199,'[2]28'!$B$5:$G$200,6,0),"")</f>
        <v/>
      </c>
      <c r="CI32" s="8" t="str">
        <f t="shared" si="27"/>
        <v/>
      </c>
      <c r="CJ32" s="8" t="str">
        <f>IFERROR(VLOOKUP($B$5:$B$199,'[2]29'!$B$5:$D$200,3,0),"")</f>
        <v/>
      </c>
      <c r="CK32" s="8" t="str">
        <f>IFERROR(VLOOKUP($B$5:$B$199,'[2]29'!$B$5:$G$200,6,0),"")</f>
        <v/>
      </c>
      <c r="CL32" s="8" t="str">
        <f t="shared" si="28"/>
        <v/>
      </c>
      <c r="CM32" s="8" t="str">
        <f>IFERROR(VLOOKUP($B$5:$B$199,'[2]30'!$B$5:$D$200,3,0),"")</f>
        <v/>
      </c>
      <c r="CN32" s="8" t="str">
        <f>IFERROR(VLOOKUP($B$5:$B$199,'[2]30'!$B$5:$G$200,6,0),"")</f>
        <v/>
      </c>
      <c r="CO32" s="8" t="str">
        <f t="shared" si="29"/>
        <v/>
      </c>
      <c r="CP32" s="8" t="str">
        <f>IFERROR(VLOOKUP($B$5:$B$199,'[2]31'!$B$5:$D$200,3,0),"")</f>
        <v/>
      </c>
      <c r="CQ32" s="8" t="str">
        <f>IFERROR(VLOOKUP($B$5:$B$199,'[2]31'!$B$5:$G$200,6,0),"")</f>
        <v/>
      </c>
      <c r="CR32" s="8" t="str">
        <f t="shared" si="30"/>
        <v/>
      </c>
      <c r="CT32" s="3">
        <f t="shared" si="31"/>
        <v>50</v>
      </c>
      <c r="CU32" s="3">
        <f t="shared" si="32"/>
        <v>73125.000199999995</v>
      </c>
      <c r="CV32" s="3">
        <f t="shared" si="33"/>
        <v>3656250.01</v>
      </c>
      <c r="CX32">
        <f t="shared" si="34"/>
        <v>1</v>
      </c>
    </row>
    <row r="33" spans="2:102" x14ac:dyDescent="0.25">
      <c r="B33" s="7" t="s">
        <v>63</v>
      </c>
      <c r="C33" s="7" t="str">
        <f>VLOOKUP($B33,DBASE!$C$7:$D$403,2,0)</f>
        <v>BLASTER NEOPOLITAN</v>
      </c>
      <c r="D33" s="8">
        <f>IFERROR(VLOOKUP($B$5:$B$199,'[2]1'!$B$5:$D$200,3,0),"")</f>
        <v>10</v>
      </c>
      <c r="E33" s="8">
        <f>IFERROR(VLOOKUP($B$5:$B$199,'[2]1'!$B$5:$G$200,6,0),"")</f>
        <v>97499.921999999991</v>
      </c>
      <c r="F33" s="8">
        <f t="shared" si="0"/>
        <v>974999.22</v>
      </c>
      <c r="G33" s="8" t="str">
        <f>IFERROR(VLOOKUP($B$5:$B$199,'[2]2'!$B$5:$D$200,3,0),"")</f>
        <v/>
      </c>
      <c r="H33" s="8" t="str">
        <f>IFERROR(VLOOKUP($B$5:$B$199,'[2]2'!$B$5:$G$200,6,0),"")</f>
        <v/>
      </c>
      <c r="I33" s="8" t="str">
        <f t="shared" si="1"/>
        <v/>
      </c>
      <c r="J33" s="8" t="str">
        <f>IFERROR(VLOOKUP($B$5:$B$199,'[2]3'!$B$5:$D$200,3,0),"")</f>
        <v/>
      </c>
      <c r="K33" s="8" t="str">
        <f>IFERROR(VLOOKUP($B$5:$B$199,'[2]3'!$B$5:$G$200,6,0),"")</f>
        <v/>
      </c>
      <c r="L33" s="8" t="str">
        <f t="shared" si="2"/>
        <v/>
      </c>
      <c r="M33" s="8" t="str">
        <f>IFERROR(VLOOKUP($B$5:$B$199,'[2]4'!$B$5:$D$200,3,0),"")</f>
        <v/>
      </c>
      <c r="N33" s="8" t="str">
        <f>IFERROR(VLOOKUP($B$5:$B$199,'[2]4'!$B$5:$G$200,6,0),"")</f>
        <v/>
      </c>
      <c r="O33" s="8" t="str">
        <f t="shared" si="3"/>
        <v/>
      </c>
      <c r="P33" s="8" t="str">
        <f>IFERROR(VLOOKUP($B$5:$B$199,'[2]5'!$B$5:$D$200,3,0),"")</f>
        <v/>
      </c>
      <c r="Q33" s="8" t="str">
        <f>IFERROR(VLOOKUP($B$5:$B$199,'[2]5'!$B$5:$G$200,6,0),"")</f>
        <v/>
      </c>
      <c r="R33" s="8" t="str">
        <f t="shared" si="4"/>
        <v/>
      </c>
      <c r="S33" s="8" t="str">
        <f>IFERROR(VLOOKUP($B$5:$B$199,'[2]6'!$B$5:$D$200,3,0),"")</f>
        <v/>
      </c>
      <c r="T33" s="8" t="str">
        <f>IFERROR(VLOOKUP($B$5:$B$199,'[2]6'!$B$5:$G$200,6,0),"")</f>
        <v/>
      </c>
      <c r="U33" s="8" t="str">
        <f t="shared" si="5"/>
        <v/>
      </c>
      <c r="V33" s="8" t="str">
        <f>IFERROR(VLOOKUP($B$5:$B$199,'[2]7'!$B$5:$D$200,3,0),"")</f>
        <v/>
      </c>
      <c r="W33" s="8" t="str">
        <f>IFERROR(VLOOKUP($B$5:$B$199,'[2]7'!$B$5:$G$200,6,0),"")</f>
        <v/>
      </c>
      <c r="X33" s="8" t="str">
        <f t="shared" si="6"/>
        <v/>
      </c>
      <c r="Y33" s="8" t="str">
        <f>IFERROR(VLOOKUP($B$5:$B$199,'[2]8'!$B$5:$D$200,3,0),"")</f>
        <v/>
      </c>
      <c r="Z33" s="8" t="str">
        <f>IFERROR(VLOOKUP($B$5:$B$199,'[2]8'!$B$5:$G$200,6,0),"")</f>
        <v/>
      </c>
      <c r="AA33" s="8" t="str">
        <f t="shared" si="7"/>
        <v/>
      </c>
      <c r="AB33" s="8" t="str">
        <f>IFERROR(VLOOKUP($B$5:$B$199,'[2]9'!$B$5:$D$200,3,0),"")</f>
        <v/>
      </c>
      <c r="AC33" s="8" t="str">
        <f>IFERROR(VLOOKUP($B$5:$B$199,'[2]9'!$B$5:$G$200,6,0),"")</f>
        <v/>
      </c>
      <c r="AD33" s="8" t="str">
        <f t="shared" si="8"/>
        <v/>
      </c>
      <c r="AE33" s="8" t="str">
        <f>IFERROR(VLOOKUP($B$5:$B$199,'[2]10'!$B$5:$D$200,3,0),"")</f>
        <v/>
      </c>
      <c r="AF33" s="8" t="str">
        <f>IFERROR(VLOOKUP($B$5:$B$199,'[2]10'!$B$5:$G$200,6,0),"")</f>
        <v/>
      </c>
      <c r="AG33" s="8" t="str">
        <f t="shared" si="9"/>
        <v/>
      </c>
      <c r="AH33" s="8" t="str">
        <f>IFERROR(VLOOKUP($B$5:$B$199,'[2]11'!$B$5:$D$200,3,0),"")</f>
        <v/>
      </c>
      <c r="AI33" s="8" t="str">
        <f>IFERROR(VLOOKUP($B$5:$B$199,'[2]11'!$B$5:$G$200,6,0),"")</f>
        <v/>
      </c>
      <c r="AJ33" s="8" t="str">
        <f t="shared" si="10"/>
        <v/>
      </c>
      <c r="AK33" s="8" t="str">
        <f>IFERROR(VLOOKUP($B$5:$B$199,'[2]12'!$B$5:$D$200,3,0),"")</f>
        <v/>
      </c>
      <c r="AL33" s="8" t="str">
        <f>IFERROR(VLOOKUP($B$5:$B$199,'[2]12'!$B$5:$G$200,6,0),"")</f>
        <v/>
      </c>
      <c r="AM33" s="8" t="str">
        <f t="shared" si="11"/>
        <v/>
      </c>
      <c r="AN33" s="8" t="str">
        <f>IFERROR(VLOOKUP($B$5:$B$199,'[2]13'!$B$5:$D$200,3,0),"")</f>
        <v/>
      </c>
      <c r="AO33" s="8" t="str">
        <f>IFERROR(VLOOKUP($B$5:$B$199,'[2]13'!$B$5:$G$200,6,0),"")</f>
        <v/>
      </c>
      <c r="AP33" s="8" t="str">
        <f t="shared" si="12"/>
        <v/>
      </c>
      <c r="AQ33" s="8" t="str">
        <f>IFERROR(VLOOKUP($B$5:$B$199,'[2]14'!$B$5:$D$200,3,0),"")</f>
        <v/>
      </c>
      <c r="AR33" s="8" t="str">
        <f>IFERROR(VLOOKUP($B$5:$B$199,'[2]14'!$B$5:$G$200,6,0),"")</f>
        <v/>
      </c>
      <c r="AS33" s="8" t="str">
        <f t="shared" si="13"/>
        <v/>
      </c>
      <c r="AT33" s="8" t="str">
        <f>IFERROR(VLOOKUP($B$5:$B$199,'[2]15'!$B$5:$D$200,3,0),"")</f>
        <v/>
      </c>
      <c r="AU33" s="8" t="str">
        <f>IFERROR(VLOOKUP($B$5:$B$199,'[2]15'!$B$5:$G$200,6,0),"")</f>
        <v/>
      </c>
      <c r="AV33" s="8" t="str">
        <f t="shared" si="14"/>
        <v/>
      </c>
      <c r="AW33" s="8" t="str">
        <f>IFERROR(VLOOKUP($B$5:$B$199,'[2]16'!$B$5:$D$200,3,0),"")</f>
        <v/>
      </c>
      <c r="AX33" s="8" t="str">
        <f>IFERROR(VLOOKUP($B$5:$B$199,'[2]16'!$B$5:$G$200,6,0),"")</f>
        <v/>
      </c>
      <c r="AY33" s="8" t="str">
        <f t="shared" si="15"/>
        <v/>
      </c>
      <c r="AZ33" s="8" t="str">
        <f>IFERROR(VLOOKUP($B$5:$B$199,'[2]17'!$B$5:$D$200,3,0),"")</f>
        <v/>
      </c>
      <c r="BA33" s="8" t="str">
        <f>IFERROR(VLOOKUP($B$5:$B$199,'[2]17'!$B$5:$G$200,6,0),"")</f>
        <v/>
      </c>
      <c r="BB33" s="8" t="str">
        <f t="shared" si="16"/>
        <v/>
      </c>
      <c r="BC33" s="8" t="str">
        <f>IFERROR(VLOOKUP($B$5:$B$199,'[2]18'!$B$5:$D$200,3,0),"")</f>
        <v/>
      </c>
      <c r="BD33" s="8" t="str">
        <f>IFERROR(VLOOKUP($B$5:$B$199,'[2]18'!$B$5:$G$200,6,0),"")</f>
        <v/>
      </c>
      <c r="BE33" s="8" t="str">
        <f t="shared" si="17"/>
        <v/>
      </c>
      <c r="BF33" s="8" t="str">
        <f>IFERROR(VLOOKUP($B$5:$B$199,'[2]19'!$B$5:$D$200,3,0),"")</f>
        <v/>
      </c>
      <c r="BG33" s="8" t="str">
        <f>IFERROR(VLOOKUP($B$5:$B$199,'[2]19'!$B$5:$G$200,6,0),"")</f>
        <v/>
      </c>
      <c r="BH33" s="8" t="str">
        <f t="shared" si="18"/>
        <v/>
      </c>
      <c r="BI33" s="8" t="str">
        <f>IFERROR(VLOOKUP($B$5:$B$199,'[2]20'!$B$5:$D$200,3,0),"")</f>
        <v/>
      </c>
      <c r="BJ33" s="8" t="str">
        <f>IFERROR(VLOOKUP($B$5:$B$199,'[2]20'!$B$5:$G$200,6,0),"")</f>
        <v/>
      </c>
      <c r="BK33" s="8" t="str">
        <f t="shared" si="19"/>
        <v/>
      </c>
      <c r="BL33" s="8" t="str">
        <f>IFERROR(VLOOKUP($B$5:$B$199,'[2]21'!$B$5:$D$200,3,0),"")</f>
        <v/>
      </c>
      <c r="BM33" s="8" t="str">
        <f>IFERROR(VLOOKUP($B$5:$B$199,'[2]21'!$B$5:$G$200,6,0),"")</f>
        <v/>
      </c>
      <c r="BN33" s="8" t="str">
        <f t="shared" si="20"/>
        <v/>
      </c>
      <c r="BO33" s="8" t="str">
        <f>IFERROR(VLOOKUP($B$5:$B$199,'[2]22'!$B$5:$D$200,3,0),"")</f>
        <v/>
      </c>
      <c r="BP33" s="8" t="str">
        <f>IFERROR(VLOOKUP($B$5:$B$199,'[2]22'!$B$5:$G$200,6,0),"")</f>
        <v/>
      </c>
      <c r="BQ33" s="8" t="str">
        <f t="shared" si="21"/>
        <v/>
      </c>
      <c r="BR33" s="8" t="str">
        <f>IFERROR(VLOOKUP($B$5:$B$199,'[2]23'!$B$5:$D$200,3,0),"")</f>
        <v/>
      </c>
      <c r="BS33" s="8" t="str">
        <f>IFERROR(VLOOKUP($B$5:$B$199,'[2]23'!$B$5:$G$200,6,0),"")</f>
        <v/>
      </c>
      <c r="BT33" s="8" t="str">
        <f t="shared" si="22"/>
        <v/>
      </c>
      <c r="BU33" s="8" t="str">
        <f>IFERROR(VLOOKUP($B$5:$B$199,'[2]24'!$B$5:$D$200,3,0),"")</f>
        <v/>
      </c>
      <c r="BV33" s="8" t="str">
        <f>IFERROR(VLOOKUP($B$5:$B$199,'[2]24'!$B$5:$G$200,6,0),"")</f>
        <v/>
      </c>
      <c r="BW33" s="8" t="str">
        <f t="shared" si="23"/>
        <v/>
      </c>
      <c r="BX33" s="8" t="str">
        <f>IFERROR(VLOOKUP($B$5:$B$199,'[2]25'!$B$5:$D$200,3,0),"")</f>
        <v/>
      </c>
      <c r="BY33" s="8" t="str">
        <f>IFERROR(VLOOKUP($B$5:$B$199,'[2]25'!$B$5:$G$200,6,0),"")</f>
        <v/>
      </c>
      <c r="BZ33" s="8" t="str">
        <f t="shared" si="24"/>
        <v/>
      </c>
      <c r="CA33" s="8" t="str">
        <f>IFERROR(VLOOKUP($B$5:$B$199,'[2]26'!$B$5:$D$200,3,0),"")</f>
        <v/>
      </c>
      <c r="CB33" s="8" t="str">
        <f>IFERROR(VLOOKUP($B$5:$B$199,'[2]26'!$B$5:$G$200,6,0),"")</f>
        <v/>
      </c>
      <c r="CC33" s="8" t="str">
        <f t="shared" si="25"/>
        <v/>
      </c>
      <c r="CD33" s="8" t="str">
        <f>IFERROR(VLOOKUP($B$5:$B$199,'[2]27'!$B$5:$D$200,3,0),"")</f>
        <v/>
      </c>
      <c r="CE33" s="8" t="str">
        <f>IFERROR(VLOOKUP($B$5:$B$199,'[2]27'!$B$5:$G$200,6,0),"")</f>
        <v/>
      </c>
      <c r="CF33" s="8" t="str">
        <f t="shared" si="26"/>
        <v/>
      </c>
      <c r="CG33" s="8" t="str">
        <f>IFERROR(VLOOKUP($B$5:$B$199,'[2]28'!$B$5:$D$200,3,0),"")</f>
        <v/>
      </c>
      <c r="CH33" s="8" t="str">
        <f>IFERROR(VLOOKUP($B$5:$B$199,'[2]28'!$B$5:$G$200,6,0),"")</f>
        <v/>
      </c>
      <c r="CI33" s="8" t="str">
        <f t="shared" si="27"/>
        <v/>
      </c>
      <c r="CJ33" s="8" t="str">
        <f>IFERROR(VLOOKUP($B$5:$B$199,'[2]29'!$B$5:$D$200,3,0),"")</f>
        <v/>
      </c>
      <c r="CK33" s="8" t="str">
        <f>IFERROR(VLOOKUP($B$5:$B$199,'[2]29'!$B$5:$G$200,6,0),"")</f>
        <v/>
      </c>
      <c r="CL33" s="8" t="str">
        <f t="shared" si="28"/>
        <v/>
      </c>
      <c r="CM33" s="8" t="str">
        <f>IFERROR(VLOOKUP($B$5:$B$199,'[2]30'!$B$5:$D$200,3,0),"")</f>
        <v/>
      </c>
      <c r="CN33" s="8" t="str">
        <f>IFERROR(VLOOKUP($B$5:$B$199,'[2]30'!$B$5:$G$200,6,0),"")</f>
        <v/>
      </c>
      <c r="CO33" s="8" t="str">
        <f t="shared" si="29"/>
        <v/>
      </c>
      <c r="CP33" s="8" t="str">
        <f>IFERROR(VLOOKUP($B$5:$B$199,'[2]31'!$B$5:$D$200,3,0),"")</f>
        <v/>
      </c>
      <c r="CQ33" s="8" t="str">
        <f>IFERROR(VLOOKUP($B$5:$B$199,'[2]31'!$B$5:$G$200,6,0),"")</f>
        <v/>
      </c>
      <c r="CR33" s="8" t="str">
        <f t="shared" si="30"/>
        <v/>
      </c>
      <c r="CT33" s="3">
        <f t="shared" si="31"/>
        <v>10</v>
      </c>
      <c r="CU33" s="3">
        <f t="shared" si="32"/>
        <v>97499.921999999991</v>
      </c>
      <c r="CV33" s="3">
        <f t="shared" si="33"/>
        <v>974999.22</v>
      </c>
      <c r="CX33">
        <f t="shared" si="34"/>
        <v>1</v>
      </c>
    </row>
    <row r="34" spans="2:102" x14ac:dyDescent="0.25">
      <c r="B34" s="7" t="s">
        <v>64</v>
      </c>
      <c r="C34" s="7" t="str">
        <f>VLOOKUP($B34,DBASE!$C$7:$D$403,2,0)</f>
        <v>BLASTER POP FRUITFULL</v>
      </c>
      <c r="D34" s="8">
        <f>IFERROR(VLOOKUP($B$5:$B$199,'[2]1'!$B$5:$D$200,3,0),"")</f>
        <v>30</v>
      </c>
      <c r="E34" s="8">
        <f>IFERROR(VLOOKUP($B$5:$B$199,'[2]1'!$B$5:$G$200,6,0),"")</f>
        <v>44362.499666666663</v>
      </c>
      <c r="F34" s="8">
        <f t="shared" si="0"/>
        <v>1330874.99</v>
      </c>
      <c r="G34" s="8" t="str">
        <f>IFERROR(VLOOKUP($B$5:$B$199,'[2]2'!$B$5:$D$200,3,0),"")</f>
        <v/>
      </c>
      <c r="H34" s="8" t="str">
        <f>IFERROR(VLOOKUP($B$5:$B$199,'[2]2'!$B$5:$G$200,6,0),"")</f>
        <v/>
      </c>
      <c r="I34" s="8" t="str">
        <f t="shared" si="1"/>
        <v/>
      </c>
      <c r="J34" s="8" t="str">
        <f>IFERROR(VLOOKUP($B$5:$B$199,'[2]3'!$B$5:$D$200,3,0),"")</f>
        <v/>
      </c>
      <c r="K34" s="8" t="str">
        <f>IFERROR(VLOOKUP($B$5:$B$199,'[2]3'!$B$5:$G$200,6,0),"")</f>
        <v/>
      </c>
      <c r="L34" s="8" t="str">
        <f t="shared" si="2"/>
        <v/>
      </c>
      <c r="M34" s="8" t="str">
        <f>IFERROR(VLOOKUP($B$5:$B$199,'[2]4'!$B$5:$D$200,3,0),"")</f>
        <v/>
      </c>
      <c r="N34" s="8" t="str">
        <f>IFERROR(VLOOKUP($B$5:$B$199,'[2]4'!$B$5:$G$200,6,0),"")</f>
        <v/>
      </c>
      <c r="O34" s="8" t="str">
        <f t="shared" si="3"/>
        <v/>
      </c>
      <c r="P34" s="8" t="str">
        <f>IFERROR(VLOOKUP($B$5:$B$199,'[2]5'!$B$5:$D$200,3,0),"")</f>
        <v/>
      </c>
      <c r="Q34" s="8" t="str">
        <f>IFERROR(VLOOKUP($B$5:$B$199,'[2]5'!$B$5:$G$200,6,0),"")</f>
        <v/>
      </c>
      <c r="R34" s="8" t="str">
        <f t="shared" si="4"/>
        <v/>
      </c>
      <c r="S34" s="8" t="str">
        <f>IFERROR(VLOOKUP($B$5:$B$199,'[2]6'!$B$5:$D$200,3,0),"")</f>
        <v/>
      </c>
      <c r="T34" s="8" t="str">
        <f>IFERROR(VLOOKUP($B$5:$B$199,'[2]6'!$B$5:$G$200,6,0),"")</f>
        <v/>
      </c>
      <c r="U34" s="8" t="str">
        <f t="shared" si="5"/>
        <v/>
      </c>
      <c r="V34" s="8" t="str">
        <f>IFERROR(VLOOKUP($B$5:$B$199,'[2]7'!$B$5:$D$200,3,0),"")</f>
        <v/>
      </c>
      <c r="W34" s="8" t="str">
        <f>IFERROR(VLOOKUP($B$5:$B$199,'[2]7'!$B$5:$G$200,6,0),"")</f>
        <v/>
      </c>
      <c r="X34" s="8" t="str">
        <f t="shared" si="6"/>
        <v/>
      </c>
      <c r="Y34" s="8" t="str">
        <f>IFERROR(VLOOKUP($B$5:$B$199,'[2]8'!$B$5:$D$200,3,0),"")</f>
        <v/>
      </c>
      <c r="Z34" s="8" t="str">
        <f>IFERROR(VLOOKUP($B$5:$B$199,'[2]8'!$B$5:$G$200,6,0),"")</f>
        <v/>
      </c>
      <c r="AA34" s="8" t="str">
        <f t="shared" si="7"/>
        <v/>
      </c>
      <c r="AB34" s="8" t="str">
        <f>IFERROR(VLOOKUP($B$5:$B$199,'[2]9'!$B$5:$D$200,3,0),"")</f>
        <v/>
      </c>
      <c r="AC34" s="8" t="str">
        <f>IFERROR(VLOOKUP($B$5:$B$199,'[2]9'!$B$5:$G$200,6,0),"")</f>
        <v/>
      </c>
      <c r="AD34" s="8" t="str">
        <f t="shared" si="8"/>
        <v/>
      </c>
      <c r="AE34" s="8" t="str">
        <f>IFERROR(VLOOKUP($B$5:$B$199,'[2]10'!$B$5:$D$200,3,0),"")</f>
        <v/>
      </c>
      <c r="AF34" s="8" t="str">
        <f>IFERROR(VLOOKUP($B$5:$B$199,'[2]10'!$B$5:$G$200,6,0),"")</f>
        <v/>
      </c>
      <c r="AG34" s="8" t="str">
        <f t="shared" si="9"/>
        <v/>
      </c>
      <c r="AH34" s="8" t="str">
        <f>IFERROR(VLOOKUP($B$5:$B$199,'[2]11'!$B$5:$D$200,3,0),"")</f>
        <v/>
      </c>
      <c r="AI34" s="8" t="str">
        <f>IFERROR(VLOOKUP($B$5:$B$199,'[2]11'!$B$5:$G$200,6,0),"")</f>
        <v/>
      </c>
      <c r="AJ34" s="8" t="str">
        <f t="shared" si="10"/>
        <v/>
      </c>
      <c r="AK34" s="8" t="str">
        <f>IFERROR(VLOOKUP($B$5:$B$199,'[2]12'!$B$5:$D$200,3,0),"")</f>
        <v/>
      </c>
      <c r="AL34" s="8" t="str">
        <f>IFERROR(VLOOKUP($B$5:$B$199,'[2]12'!$B$5:$G$200,6,0),"")</f>
        <v/>
      </c>
      <c r="AM34" s="8" t="str">
        <f t="shared" si="11"/>
        <v/>
      </c>
      <c r="AN34" s="8" t="str">
        <f>IFERROR(VLOOKUP($B$5:$B$199,'[2]13'!$B$5:$D$200,3,0),"")</f>
        <v/>
      </c>
      <c r="AO34" s="8" t="str">
        <f>IFERROR(VLOOKUP($B$5:$B$199,'[2]13'!$B$5:$G$200,6,0),"")</f>
        <v/>
      </c>
      <c r="AP34" s="8" t="str">
        <f t="shared" si="12"/>
        <v/>
      </c>
      <c r="AQ34" s="8" t="str">
        <f>IFERROR(VLOOKUP($B$5:$B$199,'[2]14'!$B$5:$D$200,3,0),"")</f>
        <v/>
      </c>
      <c r="AR34" s="8" t="str">
        <f>IFERROR(VLOOKUP($B$5:$B$199,'[2]14'!$B$5:$G$200,6,0),"")</f>
        <v/>
      </c>
      <c r="AS34" s="8" t="str">
        <f t="shared" si="13"/>
        <v/>
      </c>
      <c r="AT34" s="8" t="str">
        <f>IFERROR(VLOOKUP($B$5:$B$199,'[2]15'!$B$5:$D$200,3,0),"")</f>
        <v/>
      </c>
      <c r="AU34" s="8" t="str">
        <f>IFERROR(VLOOKUP($B$5:$B$199,'[2]15'!$B$5:$G$200,6,0),"")</f>
        <v/>
      </c>
      <c r="AV34" s="8" t="str">
        <f t="shared" si="14"/>
        <v/>
      </c>
      <c r="AW34" s="8" t="str">
        <f>IFERROR(VLOOKUP($B$5:$B$199,'[2]16'!$B$5:$D$200,3,0),"")</f>
        <v/>
      </c>
      <c r="AX34" s="8" t="str">
        <f>IFERROR(VLOOKUP($B$5:$B$199,'[2]16'!$B$5:$G$200,6,0),"")</f>
        <v/>
      </c>
      <c r="AY34" s="8" t="str">
        <f t="shared" si="15"/>
        <v/>
      </c>
      <c r="AZ34" s="8" t="str">
        <f>IFERROR(VLOOKUP($B$5:$B$199,'[2]17'!$B$5:$D$200,3,0),"")</f>
        <v/>
      </c>
      <c r="BA34" s="8" t="str">
        <f>IFERROR(VLOOKUP($B$5:$B$199,'[2]17'!$B$5:$G$200,6,0),"")</f>
        <v/>
      </c>
      <c r="BB34" s="8" t="str">
        <f t="shared" si="16"/>
        <v/>
      </c>
      <c r="BC34" s="8" t="str">
        <f>IFERROR(VLOOKUP($B$5:$B$199,'[2]18'!$B$5:$D$200,3,0),"")</f>
        <v/>
      </c>
      <c r="BD34" s="8" t="str">
        <f>IFERROR(VLOOKUP($B$5:$B$199,'[2]18'!$B$5:$G$200,6,0),"")</f>
        <v/>
      </c>
      <c r="BE34" s="8" t="str">
        <f t="shared" si="17"/>
        <v/>
      </c>
      <c r="BF34" s="8" t="str">
        <f>IFERROR(VLOOKUP($B$5:$B$199,'[2]19'!$B$5:$D$200,3,0),"")</f>
        <v/>
      </c>
      <c r="BG34" s="8" t="str">
        <f>IFERROR(VLOOKUP($B$5:$B$199,'[2]19'!$B$5:$G$200,6,0),"")</f>
        <v/>
      </c>
      <c r="BH34" s="8" t="str">
        <f t="shared" si="18"/>
        <v/>
      </c>
      <c r="BI34" s="8" t="str">
        <f>IFERROR(VLOOKUP($B$5:$B$199,'[2]20'!$B$5:$D$200,3,0),"")</f>
        <v/>
      </c>
      <c r="BJ34" s="8" t="str">
        <f>IFERROR(VLOOKUP($B$5:$B$199,'[2]20'!$B$5:$G$200,6,0),"")</f>
        <v/>
      </c>
      <c r="BK34" s="8" t="str">
        <f t="shared" si="19"/>
        <v/>
      </c>
      <c r="BL34" s="8" t="str">
        <f>IFERROR(VLOOKUP($B$5:$B$199,'[2]21'!$B$5:$D$200,3,0),"")</f>
        <v/>
      </c>
      <c r="BM34" s="8" t="str">
        <f>IFERROR(VLOOKUP($B$5:$B$199,'[2]21'!$B$5:$G$200,6,0),"")</f>
        <v/>
      </c>
      <c r="BN34" s="8" t="str">
        <f t="shared" si="20"/>
        <v/>
      </c>
      <c r="BO34" s="8" t="str">
        <f>IFERROR(VLOOKUP($B$5:$B$199,'[2]22'!$B$5:$D$200,3,0),"")</f>
        <v/>
      </c>
      <c r="BP34" s="8" t="str">
        <f>IFERROR(VLOOKUP($B$5:$B$199,'[2]22'!$B$5:$G$200,6,0),"")</f>
        <v/>
      </c>
      <c r="BQ34" s="8" t="str">
        <f t="shared" si="21"/>
        <v/>
      </c>
      <c r="BR34" s="8" t="str">
        <f>IFERROR(VLOOKUP($B$5:$B$199,'[2]23'!$B$5:$D$200,3,0),"")</f>
        <v/>
      </c>
      <c r="BS34" s="8" t="str">
        <f>IFERROR(VLOOKUP($B$5:$B$199,'[2]23'!$B$5:$G$200,6,0),"")</f>
        <v/>
      </c>
      <c r="BT34" s="8" t="str">
        <f t="shared" si="22"/>
        <v/>
      </c>
      <c r="BU34" s="8" t="str">
        <f>IFERROR(VLOOKUP($B$5:$B$199,'[2]24'!$B$5:$D$200,3,0),"")</f>
        <v/>
      </c>
      <c r="BV34" s="8" t="str">
        <f>IFERROR(VLOOKUP($B$5:$B$199,'[2]24'!$B$5:$G$200,6,0),"")</f>
        <v/>
      </c>
      <c r="BW34" s="8" t="str">
        <f t="shared" si="23"/>
        <v/>
      </c>
      <c r="BX34" s="8" t="str">
        <f>IFERROR(VLOOKUP($B$5:$B$199,'[2]25'!$B$5:$D$200,3,0),"")</f>
        <v/>
      </c>
      <c r="BY34" s="8" t="str">
        <f>IFERROR(VLOOKUP($B$5:$B$199,'[2]25'!$B$5:$G$200,6,0),"")</f>
        <v/>
      </c>
      <c r="BZ34" s="8" t="str">
        <f t="shared" si="24"/>
        <v/>
      </c>
      <c r="CA34" s="8" t="str">
        <f>IFERROR(VLOOKUP($B$5:$B$199,'[2]26'!$B$5:$D$200,3,0),"")</f>
        <v/>
      </c>
      <c r="CB34" s="8" t="str">
        <f>IFERROR(VLOOKUP($B$5:$B$199,'[2]26'!$B$5:$G$200,6,0),"")</f>
        <v/>
      </c>
      <c r="CC34" s="8" t="str">
        <f t="shared" si="25"/>
        <v/>
      </c>
      <c r="CD34" s="8" t="str">
        <f>IFERROR(VLOOKUP($B$5:$B$199,'[2]27'!$B$5:$D$200,3,0),"")</f>
        <v/>
      </c>
      <c r="CE34" s="8" t="str">
        <f>IFERROR(VLOOKUP($B$5:$B$199,'[2]27'!$B$5:$G$200,6,0),"")</f>
        <v/>
      </c>
      <c r="CF34" s="8" t="str">
        <f t="shared" si="26"/>
        <v/>
      </c>
      <c r="CG34" s="8" t="str">
        <f>IFERROR(VLOOKUP($B$5:$B$199,'[2]28'!$B$5:$D$200,3,0),"")</f>
        <v/>
      </c>
      <c r="CH34" s="8" t="str">
        <f>IFERROR(VLOOKUP($B$5:$B$199,'[2]28'!$B$5:$G$200,6,0),"")</f>
        <v/>
      </c>
      <c r="CI34" s="8" t="str">
        <f t="shared" si="27"/>
        <v/>
      </c>
      <c r="CJ34" s="8" t="str">
        <f>IFERROR(VLOOKUP($B$5:$B$199,'[2]29'!$B$5:$D$200,3,0),"")</f>
        <v/>
      </c>
      <c r="CK34" s="8" t="str">
        <f>IFERROR(VLOOKUP($B$5:$B$199,'[2]29'!$B$5:$G$200,6,0),"")</f>
        <v/>
      </c>
      <c r="CL34" s="8" t="str">
        <f t="shared" si="28"/>
        <v/>
      </c>
      <c r="CM34" s="8" t="str">
        <f>IFERROR(VLOOKUP($B$5:$B$199,'[2]30'!$B$5:$D$200,3,0),"")</f>
        <v/>
      </c>
      <c r="CN34" s="8" t="str">
        <f>IFERROR(VLOOKUP($B$5:$B$199,'[2]30'!$B$5:$G$200,6,0),"")</f>
        <v/>
      </c>
      <c r="CO34" s="8" t="str">
        <f t="shared" si="29"/>
        <v/>
      </c>
      <c r="CP34" s="8" t="str">
        <f>IFERROR(VLOOKUP($B$5:$B$199,'[2]31'!$B$5:$D$200,3,0),"")</f>
        <v/>
      </c>
      <c r="CQ34" s="8" t="str">
        <f>IFERROR(VLOOKUP($B$5:$B$199,'[2]31'!$B$5:$G$200,6,0),"")</f>
        <v/>
      </c>
      <c r="CR34" s="8" t="str">
        <f t="shared" si="30"/>
        <v/>
      </c>
      <c r="CT34" s="3">
        <f t="shared" si="31"/>
        <v>30</v>
      </c>
      <c r="CU34" s="3">
        <f t="shared" si="32"/>
        <v>44362.499666666663</v>
      </c>
      <c r="CV34" s="3">
        <f t="shared" si="33"/>
        <v>1330874.99</v>
      </c>
      <c r="CX34">
        <f t="shared" si="34"/>
        <v>1</v>
      </c>
    </row>
    <row r="35" spans="2:102" x14ac:dyDescent="0.25">
      <c r="B35" s="7" t="s">
        <v>54</v>
      </c>
      <c r="C35" s="7" t="str">
        <f>VLOOKUP($B35,DBASE!$C$7:$D$403,2,0)</f>
        <v>WAFER TANGGO LONG COKLAT 8GR</v>
      </c>
      <c r="D35" s="8">
        <f>IFERROR(VLOOKUP($B$5:$B$199,'[2]1'!$B$5:$D$200,3,0),"")</f>
        <v>10</v>
      </c>
      <c r="E35" s="8">
        <f>IFERROR(VLOOKUP($B$5:$B$199,'[2]1'!$B$5:$G$200,6,0),"")</f>
        <v>75270</v>
      </c>
      <c r="F35" s="8">
        <f t="shared" si="0"/>
        <v>752700</v>
      </c>
      <c r="G35" s="8" t="str">
        <f>IFERROR(VLOOKUP($B$5:$B$199,'[2]2'!$B$5:$D$200,3,0),"")</f>
        <v/>
      </c>
      <c r="H35" s="8" t="str">
        <f>IFERROR(VLOOKUP($B$5:$B$199,'[2]2'!$B$5:$G$200,6,0),"")</f>
        <v/>
      </c>
      <c r="I35" s="8" t="str">
        <f t="shared" si="1"/>
        <v/>
      </c>
      <c r="J35" s="8" t="str">
        <f>IFERROR(VLOOKUP($B$5:$B$199,'[2]3'!$B$5:$D$200,3,0),"")</f>
        <v/>
      </c>
      <c r="K35" s="8" t="str">
        <f>IFERROR(VLOOKUP($B$5:$B$199,'[2]3'!$B$5:$G$200,6,0),"")</f>
        <v/>
      </c>
      <c r="L35" s="8" t="str">
        <f t="shared" si="2"/>
        <v/>
      </c>
      <c r="M35" s="8" t="str">
        <f>IFERROR(VLOOKUP($B$5:$B$199,'[2]4'!$B$5:$D$200,3,0),"")</f>
        <v/>
      </c>
      <c r="N35" s="8" t="str">
        <f>IFERROR(VLOOKUP($B$5:$B$199,'[2]4'!$B$5:$G$200,6,0),"")</f>
        <v/>
      </c>
      <c r="O35" s="8" t="str">
        <f t="shared" si="3"/>
        <v/>
      </c>
      <c r="P35" s="8" t="str">
        <f>IFERROR(VLOOKUP($B$5:$B$199,'[2]5'!$B$5:$D$200,3,0),"")</f>
        <v/>
      </c>
      <c r="Q35" s="8" t="str">
        <f>IFERROR(VLOOKUP($B$5:$B$199,'[2]5'!$B$5:$G$200,6,0),"")</f>
        <v/>
      </c>
      <c r="R35" s="8" t="str">
        <f t="shared" si="4"/>
        <v/>
      </c>
      <c r="S35" s="8" t="str">
        <f>IFERROR(VLOOKUP($B$5:$B$199,'[2]6'!$B$5:$D$200,3,0),"")</f>
        <v/>
      </c>
      <c r="T35" s="8" t="str">
        <f>IFERROR(VLOOKUP($B$5:$B$199,'[2]6'!$B$5:$G$200,6,0),"")</f>
        <v/>
      </c>
      <c r="U35" s="8" t="str">
        <f t="shared" si="5"/>
        <v/>
      </c>
      <c r="V35" s="8" t="str">
        <f>IFERROR(VLOOKUP($B$5:$B$199,'[2]7'!$B$5:$D$200,3,0),"")</f>
        <v/>
      </c>
      <c r="W35" s="8" t="str">
        <f>IFERROR(VLOOKUP($B$5:$B$199,'[2]7'!$B$5:$G$200,6,0),"")</f>
        <v/>
      </c>
      <c r="X35" s="8" t="str">
        <f t="shared" si="6"/>
        <v/>
      </c>
      <c r="Y35" s="8" t="str">
        <f>IFERROR(VLOOKUP($B$5:$B$199,'[2]8'!$B$5:$D$200,3,0),"")</f>
        <v/>
      </c>
      <c r="Z35" s="8" t="str">
        <f>IFERROR(VLOOKUP($B$5:$B$199,'[2]8'!$B$5:$G$200,6,0),"")</f>
        <v/>
      </c>
      <c r="AA35" s="8" t="str">
        <f t="shared" si="7"/>
        <v/>
      </c>
      <c r="AB35" s="8" t="str">
        <f>IFERROR(VLOOKUP($B$5:$B$199,'[2]9'!$B$5:$D$200,3,0),"")</f>
        <v/>
      </c>
      <c r="AC35" s="8" t="str">
        <f>IFERROR(VLOOKUP($B$5:$B$199,'[2]9'!$B$5:$G$200,6,0),"")</f>
        <v/>
      </c>
      <c r="AD35" s="8" t="str">
        <f t="shared" si="8"/>
        <v/>
      </c>
      <c r="AE35" s="8" t="str">
        <f>IFERROR(VLOOKUP($B$5:$B$199,'[2]10'!$B$5:$D$200,3,0),"")</f>
        <v/>
      </c>
      <c r="AF35" s="8" t="str">
        <f>IFERROR(VLOOKUP($B$5:$B$199,'[2]10'!$B$5:$G$200,6,0),"")</f>
        <v/>
      </c>
      <c r="AG35" s="8" t="str">
        <f t="shared" si="9"/>
        <v/>
      </c>
      <c r="AH35" s="8" t="str">
        <f>IFERROR(VLOOKUP($B$5:$B$199,'[2]11'!$B$5:$D$200,3,0),"")</f>
        <v/>
      </c>
      <c r="AI35" s="8" t="str">
        <f>IFERROR(VLOOKUP($B$5:$B$199,'[2]11'!$B$5:$G$200,6,0),"")</f>
        <v/>
      </c>
      <c r="AJ35" s="8" t="str">
        <f t="shared" si="10"/>
        <v/>
      </c>
      <c r="AK35" s="8" t="str">
        <f>IFERROR(VLOOKUP($B$5:$B$199,'[2]12'!$B$5:$D$200,3,0),"")</f>
        <v/>
      </c>
      <c r="AL35" s="8" t="str">
        <f>IFERROR(VLOOKUP($B$5:$B$199,'[2]12'!$B$5:$G$200,6,0),"")</f>
        <v/>
      </c>
      <c r="AM35" s="8" t="str">
        <f t="shared" si="11"/>
        <v/>
      </c>
      <c r="AN35" s="8" t="str">
        <f>IFERROR(VLOOKUP($B$5:$B$199,'[2]13'!$B$5:$D$200,3,0),"")</f>
        <v/>
      </c>
      <c r="AO35" s="8" t="str">
        <f>IFERROR(VLOOKUP($B$5:$B$199,'[2]13'!$B$5:$G$200,6,0),"")</f>
        <v/>
      </c>
      <c r="AP35" s="8" t="str">
        <f t="shared" si="12"/>
        <v/>
      </c>
      <c r="AQ35" s="8" t="str">
        <f>IFERROR(VLOOKUP($B$5:$B$199,'[2]14'!$B$5:$D$200,3,0),"")</f>
        <v/>
      </c>
      <c r="AR35" s="8" t="str">
        <f>IFERROR(VLOOKUP($B$5:$B$199,'[2]14'!$B$5:$G$200,6,0),"")</f>
        <v/>
      </c>
      <c r="AS35" s="8" t="str">
        <f t="shared" si="13"/>
        <v/>
      </c>
      <c r="AT35" s="8" t="str">
        <f>IFERROR(VLOOKUP($B$5:$B$199,'[2]15'!$B$5:$D$200,3,0),"")</f>
        <v/>
      </c>
      <c r="AU35" s="8" t="str">
        <f>IFERROR(VLOOKUP($B$5:$B$199,'[2]15'!$B$5:$G$200,6,0),"")</f>
        <v/>
      </c>
      <c r="AV35" s="8" t="str">
        <f t="shared" si="14"/>
        <v/>
      </c>
      <c r="AW35" s="8" t="str">
        <f>IFERROR(VLOOKUP($B$5:$B$199,'[2]16'!$B$5:$D$200,3,0),"")</f>
        <v/>
      </c>
      <c r="AX35" s="8" t="str">
        <f>IFERROR(VLOOKUP($B$5:$B$199,'[2]16'!$B$5:$G$200,6,0),"")</f>
        <v/>
      </c>
      <c r="AY35" s="8" t="str">
        <f t="shared" si="15"/>
        <v/>
      </c>
      <c r="AZ35" s="8" t="str">
        <f>IFERROR(VLOOKUP($B$5:$B$199,'[2]17'!$B$5:$D$200,3,0),"")</f>
        <v/>
      </c>
      <c r="BA35" s="8" t="str">
        <f>IFERROR(VLOOKUP($B$5:$B$199,'[2]17'!$B$5:$G$200,6,0),"")</f>
        <v/>
      </c>
      <c r="BB35" s="8" t="str">
        <f t="shared" si="16"/>
        <v/>
      </c>
      <c r="BC35" s="8" t="str">
        <f>IFERROR(VLOOKUP($B$5:$B$199,'[2]18'!$B$5:$D$200,3,0),"")</f>
        <v/>
      </c>
      <c r="BD35" s="8" t="str">
        <f>IFERROR(VLOOKUP($B$5:$B$199,'[2]18'!$B$5:$G$200,6,0),"")</f>
        <v/>
      </c>
      <c r="BE35" s="8" t="str">
        <f t="shared" si="17"/>
        <v/>
      </c>
      <c r="BF35" s="8" t="str">
        <f>IFERROR(VLOOKUP($B$5:$B$199,'[2]19'!$B$5:$D$200,3,0),"")</f>
        <v/>
      </c>
      <c r="BG35" s="8" t="str">
        <f>IFERROR(VLOOKUP($B$5:$B$199,'[2]19'!$B$5:$G$200,6,0),"")</f>
        <v/>
      </c>
      <c r="BH35" s="8" t="str">
        <f t="shared" si="18"/>
        <v/>
      </c>
      <c r="BI35" s="8" t="str">
        <f>IFERROR(VLOOKUP($B$5:$B$199,'[2]20'!$B$5:$D$200,3,0),"")</f>
        <v/>
      </c>
      <c r="BJ35" s="8" t="str">
        <f>IFERROR(VLOOKUP($B$5:$B$199,'[2]20'!$B$5:$G$200,6,0),"")</f>
        <v/>
      </c>
      <c r="BK35" s="8" t="str">
        <f t="shared" si="19"/>
        <v/>
      </c>
      <c r="BL35" s="8" t="str">
        <f>IFERROR(VLOOKUP($B$5:$B$199,'[2]21'!$B$5:$D$200,3,0),"")</f>
        <v/>
      </c>
      <c r="BM35" s="8" t="str">
        <f>IFERROR(VLOOKUP($B$5:$B$199,'[2]21'!$B$5:$G$200,6,0),"")</f>
        <v/>
      </c>
      <c r="BN35" s="8" t="str">
        <f t="shared" si="20"/>
        <v/>
      </c>
      <c r="BO35" s="8" t="str">
        <f>IFERROR(VLOOKUP($B$5:$B$199,'[2]22'!$B$5:$D$200,3,0),"")</f>
        <v/>
      </c>
      <c r="BP35" s="8" t="str">
        <f>IFERROR(VLOOKUP($B$5:$B$199,'[2]22'!$B$5:$G$200,6,0),"")</f>
        <v/>
      </c>
      <c r="BQ35" s="8" t="str">
        <f t="shared" si="21"/>
        <v/>
      </c>
      <c r="BR35" s="8" t="str">
        <f>IFERROR(VLOOKUP($B$5:$B$199,'[2]23'!$B$5:$D$200,3,0),"")</f>
        <v/>
      </c>
      <c r="BS35" s="8" t="str">
        <f>IFERROR(VLOOKUP($B$5:$B$199,'[2]23'!$B$5:$G$200,6,0),"")</f>
        <v/>
      </c>
      <c r="BT35" s="8" t="str">
        <f t="shared" si="22"/>
        <v/>
      </c>
      <c r="BU35" s="8" t="str">
        <f>IFERROR(VLOOKUP($B$5:$B$199,'[2]24'!$B$5:$D$200,3,0),"")</f>
        <v/>
      </c>
      <c r="BV35" s="8" t="str">
        <f>IFERROR(VLOOKUP($B$5:$B$199,'[2]24'!$B$5:$G$200,6,0),"")</f>
        <v/>
      </c>
      <c r="BW35" s="8" t="str">
        <f t="shared" si="23"/>
        <v/>
      </c>
      <c r="BX35" s="8" t="str">
        <f>IFERROR(VLOOKUP($B$5:$B$199,'[2]25'!$B$5:$D$200,3,0),"")</f>
        <v/>
      </c>
      <c r="BY35" s="8" t="str">
        <f>IFERROR(VLOOKUP($B$5:$B$199,'[2]25'!$B$5:$G$200,6,0),"")</f>
        <v/>
      </c>
      <c r="BZ35" s="8" t="str">
        <f t="shared" si="24"/>
        <v/>
      </c>
      <c r="CA35" s="8" t="str">
        <f>IFERROR(VLOOKUP($B$5:$B$199,'[2]26'!$B$5:$D$200,3,0),"")</f>
        <v/>
      </c>
      <c r="CB35" s="8" t="str">
        <f>IFERROR(VLOOKUP($B$5:$B$199,'[2]26'!$B$5:$G$200,6,0),"")</f>
        <v/>
      </c>
      <c r="CC35" s="8" t="str">
        <f t="shared" si="25"/>
        <v/>
      </c>
      <c r="CD35" s="8" t="str">
        <f>IFERROR(VLOOKUP($B$5:$B$199,'[2]27'!$B$5:$D$200,3,0),"")</f>
        <v/>
      </c>
      <c r="CE35" s="8" t="str">
        <f>IFERROR(VLOOKUP($B$5:$B$199,'[2]27'!$B$5:$G$200,6,0),"")</f>
        <v/>
      </c>
      <c r="CF35" s="8" t="str">
        <f t="shared" si="26"/>
        <v/>
      </c>
      <c r="CG35" s="8" t="str">
        <f>IFERROR(VLOOKUP($B$5:$B$199,'[2]28'!$B$5:$D$200,3,0),"")</f>
        <v/>
      </c>
      <c r="CH35" s="8" t="str">
        <f>IFERROR(VLOOKUP($B$5:$B$199,'[2]28'!$B$5:$G$200,6,0),"")</f>
        <v/>
      </c>
      <c r="CI35" s="8" t="str">
        <f t="shared" si="27"/>
        <v/>
      </c>
      <c r="CJ35" s="8" t="str">
        <f>IFERROR(VLOOKUP($B$5:$B$199,'[2]29'!$B$5:$D$200,3,0),"")</f>
        <v/>
      </c>
      <c r="CK35" s="8" t="str">
        <f>IFERROR(VLOOKUP($B$5:$B$199,'[2]29'!$B$5:$G$200,6,0),"")</f>
        <v/>
      </c>
      <c r="CL35" s="8" t="str">
        <f t="shared" si="28"/>
        <v/>
      </c>
      <c r="CM35" s="8" t="str">
        <f>IFERROR(VLOOKUP($B$5:$B$199,'[2]30'!$B$5:$D$200,3,0),"")</f>
        <v/>
      </c>
      <c r="CN35" s="8" t="str">
        <f>IFERROR(VLOOKUP($B$5:$B$199,'[2]30'!$B$5:$G$200,6,0),"")</f>
        <v/>
      </c>
      <c r="CO35" s="8" t="str">
        <f t="shared" si="29"/>
        <v/>
      </c>
      <c r="CP35" s="8" t="str">
        <f>IFERROR(VLOOKUP($B$5:$B$199,'[2]31'!$B$5:$D$200,3,0),"")</f>
        <v/>
      </c>
      <c r="CQ35" s="8" t="str">
        <f>IFERROR(VLOOKUP($B$5:$B$199,'[2]31'!$B$5:$G$200,6,0),"")</f>
        <v/>
      </c>
      <c r="CR35" s="8" t="str">
        <f t="shared" si="30"/>
        <v/>
      </c>
      <c r="CT35" s="3">
        <f t="shared" si="31"/>
        <v>10</v>
      </c>
      <c r="CU35" s="3">
        <f t="shared" si="32"/>
        <v>75270</v>
      </c>
      <c r="CV35" s="3">
        <f t="shared" si="33"/>
        <v>752700</v>
      </c>
      <c r="CX35">
        <f t="shared" si="34"/>
        <v>1</v>
      </c>
    </row>
    <row r="36" spans="2:102" x14ac:dyDescent="0.25">
      <c r="B36" s="7" t="s">
        <v>55</v>
      </c>
      <c r="C36" s="7" t="str">
        <f>VLOOKUP($B36,DBASE!$C$7:$D$403,2,0)</f>
        <v>WAFER TANGGO LONG VANILA 8GR</v>
      </c>
      <c r="D36" s="8">
        <f>IFERROR(VLOOKUP($B$5:$B$199,'[2]1'!$B$5:$D$200,3,0),"")</f>
        <v>10</v>
      </c>
      <c r="E36" s="8">
        <f>IFERROR(VLOOKUP($B$5:$B$199,'[2]1'!$B$5:$G$200,6,0),"")</f>
        <v>75270</v>
      </c>
      <c r="F36" s="8">
        <f t="shared" si="0"/>
        <v>752700</v>
      </c>
      <c r="G36" s="8" t="str">
        <f>IFERROR(VLOOKUP($B$5:$B$199,'[2]2'!$B$5:$D$200,3,0),"")</f>
        <v/>
      </c>
      <c r="H36" s="8" t="str">
        <f>IFERROR(VLOOKUP($B$5:$B$199,'[2]2'!$B$5:$G$200,6,0),"")</f>
        <v/>
      </c>
      <c r="I36" s="8" t="str">
        <f t="shared" si="1"/>
        <v/>
      </c>
      <c r="J36" s="8" t="str">
        <f>IFERROR(VLOOKUP($B$5:$B$199,'[2]3'!$B$5:$D$200,3,0),"")</f>
        <v/>
      </c>
      <c r="K36" s="8" t="str">
        <f>IFERROR(VLOOKUP($B$5:$B$199,'[2]3'!$B$5:$G$200,6,0),"")</f>
        <v/>
      </c>
      <c r="L36" s="8" t="str">
        <f t="shared" si="2"/>
        <v/>
      </c>
      <c r="M36" s="8" t="str">
        <f>IFERROR(VLOOKUP($B$5:$B$199,'[2]4'!$B$5:$D$200,3,0),"")</f>
        <v/>
      </c>
      <c r="N36" s="8" t="str">
        <f>IFERROR(VLOOKUP($B$5:$B$199,'[2]4'!$B$5:$G$200,6,0),"")</f>
        <v/>
      </c>
      <c r="O36" s="8" t="str">
        <f t="shared" si="3"/>
        <v/>
      </c>
      <c r="P36" s="8" t="str">
        <f>IFERROR(VLOOKUP($B$5:$B$199,'[2]5'!$B$5:$D$200,3,0),"")</f>
        <v/>
      </c>
      <c r="Q36" s="8" t="str">
        <f>IFERROR(VLOOKUP($B$5:$B$199,'[2]5'!$B$5:$G$200,6,0),"")</f>
        <v/>
      </c>
      <c r="R36" s="8" t="str">
        <f t="shared" si="4"/>
        <v/>
      </c>
      <c r="S36" s="8" t="str">
        <f>IFERROR(VLOOKUP($B$5:$B$199,'[2]6'!$B$5:$D$200,3,0),"")</f>
        <v/>
      </c>
      <c r="T36" s="8" t="str">
        <f>IFERROR(VLOOKUP($B$5:$B$199,'[2]6'!$B$5:$G$200,6,0),"")</f>
        <v/>
      </c>
      <c r="U36" s="8" t="str">
        <f t="shared" si="5"/>
        <v/>
      </c>
      <c r="V36" s="8" t="str">
        <f>IFERROR(VLOOKUP($B$5:$B$199,'[2]7'!$B$5:$D$200,3,0),"")</f>
        <v/>
      </c>
      <c r="W36" s="8" t="str">
        <f>IFERROR(VLOOKUP($B$5:$B$199,'[2]7'!$B$5:$G$200,6,0),"")</f>
        <v/>
      </c>
      <c r="X36" s="8" t="str">
        <f t="shared" si="6"/>
        <v/>
      </c>
      <c r="Y36" s="8" t="str">
        <f>IFERROR(VLOOKUP($B$5:$B$199,'[2]8'!$B$5:$D$200,3,0),"")</f>
        <v/>
      </c>
      <c r="Z36" s="8" t="str">
        <f>IFERROR(VLOOKUP($B$5:$B$199,'[2]8'!$B$5:$G$200,6,0),"")</f>
        <v/>
      </c>
      <c r="AA36" s="8" t="str">
        <f t="shared" si="7"/>
        <v/>
      </c>
      <c r="AB36" s="8" t="str">
        <f>IFERROR(VLOOKUP($B$5:$B$199,'[2]9'!$B$5:$D$200,3,0),"")</f>
        <v/>
      </c>
      <c r="AC36" s="8" t="str">
        <f>IFERROR(VLOOKUP($B$5:$B$199,'[2]9'!$B$5:$G$200,6,0),"")</f>
        <v/>
      </c>
      <c r="AD36" s="8" t="str">
        <f t="shared" si="8"/>
        <v/>
      </c>
      <c r="AE36" s="8" t="str">
        <f>IFERROR(VLOOKUP($B$5:$B$199,'[2]10'!$B$5:$D$200,3,0),"")</f>
        <v/>
      </c>
      <c r="AF36" s="8" t="str">
        <f>IFERROR(VLOOKUP($B$5:$B$199,'[2]10'!$B$5:$G$200,6,0),"")</f>
        <v/>
      </c>
      <c r="AG36" s="8" t="str">
        <f t="shared" si="9"/>
        <v/>
      </c>
      <c r="AH36" s="8" t="str">
        <f>IFERROR(VLOOKUP($B$5:$B$199,'[2]11'!$B$5:$D$200,3,0),"")</f>
        <v/>
      </c>
      <c r="AI36" s="8" t="str">
        <f>IFERROR(VLOOKUP($B$5:$B$199,'[2]11'!$B$5:$G$200,6,0),"")</f>
        <v/>
      </c>
      <c r="AJ36" s="8" t="str">
        <f t="shared" si="10"/>
        <v/>
      </c>
      <c r="AK36" s="8" t="str">
        <f>IFERROR(VLOOKUP($B$5:$B$199,'[2]12'!$B$5:$D$200,3,0),"")</f>
        <v/>
      </c>
      <c r="AL36" s="8" t="str">
        <f>IFERROR(VLOOKUP($B$5:$B$199,'[2]12'!$B$5:$G$200,6,0),"")</f>
        <v/>
      </c>
      <c r="AM36" s="8" t="str">
        <f t="shared" si="11"/>
        <v/>
      </c>
      <c r="AN36" s="8" t="str">
        <f>IFERROR(VLOOKUP($B$5:$B$199,'[2]13'!$B$5:$D$200,3,0),"")</f>
        <v/>
      </c>
      <c r="AO36" s="8" t="str">
        <f>IFERROR(VLOOKUP($B$5:$B$199,'[2]13'!$B$5:$G$200,6,0),"")</f>
        <v/>
      </c>
      <c r="AP36" s="8" t="str">
        <f t="shared" si="12"/>
        <v/>
      </c>
      <c r="AQ36" s="8" t="str">
        <f>IFERROR(VLOOKUP($B$5:$B$199,'[2]14'!$B$5:$D$200,3,0),"")</f>
        <v/>
      </c>
      <c r="AR36" s="8" t="str">
        <f>IFERROR(VLOOKUP($B$5:$B$199,'[2]14'!$B$5:$G$200,6,0),"")</f>
        <v/>
      </c>
      <c r="AS36" s="8" t="str">
        <f t="shared" si="13"/>
        <v/>
      </c>
      <c r="AT36" s="8" t="str">
        <f>IFERROR(VLOOKUP($B$5:$B$199,'[2]15'!$B$5:$D$200,3,0),"")</f>
        <v/>
      </c>
      <c r="AU36" s="8" t="str">
        <f>IFERROR(VLOOKUP($B$5:$B$199,'[2]15'!$B$5:$G$200,6,0),"")</f>
        <v/>
      </c>
      <c r="AV36" s="8" t="str">
        <f t="shared" si="14"/>
        <v/>
      </c>
      <c r="AW36" s="8" t="str">
        <f>IFERROR(VLOOKUP($B$5:$B$199,'[2]16'!$B$5:$D$200,3,0),"")</f>
        <v/>
      </c>
      <c r="AX36" s="8" t="str">
        <f>IFERROR(VLOOKUP($B$5:$B$199,'[2]16'!$B$5:$G$200,6,0),"")</f>
        <v/>
      </c>
      <c r="AY36" s="8" t="str">
        <f t="shared" si="15"/>
        <v/>
      </c>
      <c r="AZ36" s="8" t="str">
        <f>IFERROR(VLOOKUP($B$5:$B$199,'[2]17'!$B$5:$D$200,3,0),"")</f>
        <v/>
      </c>
      <c r="BA36" s="8" t="str">
        <f>IFERROR(VLOOKUP($B$5:$B$199,'[2]17'!$B$5:$G$200,6,0),"")</f>
        <v/>
      </c>
      <c r="BB36" s="8" t="str">
        <f t="shared" si="16"/>
        <v/>
      </c>
      <c r="BC36" s="8" t="str">
        <f>IFERROR(VLOOKUP($B$5:$B$199,'[2]18'!$B$5:$D$200,3,0),"")</f>
        <v/>
      </c>
      <c r="BD36" s="8" t="str">
        <f>IFERROR(VLOOKUP($B$5:$B$199,'[2]18'!$B$5:$G$200,6,0),"")</f>
        <v/>
      </c>
      <c r="BE36" s="8" t="str">
        <f t="shared" si="17"/>
        <v/>
      </c>
      <c r="BF36" s="8" t="str">
        <f>IFERROR(VLOOKUP($B$5:$B$199,'[2]19'!$B$5:$D$200,3,0),"")</f>
        <v/>
      </c>
      <c r="BG36" s="8" t="str">
        <f>IFERROR(VLOOKUP($B$5:$B$199,'[2]19'!$B$5:$G$200,6,0),"")</f>
        <v/>
      </c>
      <c r="BH36" s="8" t="str">
        <f t="shared" si="18"/>
        <v/>
      </c>
      <c r="BI36" s="8" t="str">
        <f>IFERROR(VLOOKUP($B$5:$B$199,'[2]20'!$B$5:$D$200,3,0),"")</f>
        <v/>
      </c>
      <c r="BJ36" s="8" t="str">
        <f>IFERROR(VLOOKUP($B$5:$B$199,'[2]20'!$B$5:$G$200,6,0),"")</f>
        <v/>
      </c>
      <c r="BK36" s="8" t="str">
        <f t="shared" si="19"/>
        <v/>
      </c>
      <c r="BL36" s="8" t="str">
        <f>IFERROR(VLOOKUP($B$5:$B$199,'[2]21'!$B$5:$D$200,3,0),"")</f>
        <v/>
      </c>
      <c r="BM36" s="8" t="str">
        <f>IFERROR(VLOOKUP($B$5:$B$199,'[2]21'!$B$5:$G$200,6,0),"")</f>
        <v/>
      </c>
      <c r="BN36" s="8" t="str">
        <f t="shared" si="20"/>
        <v/>
      </c>
      <c r="BO36" s="8" t="str">
        <f>IFERROR(VLOOKUP($B$5:$B$199,'[2]22'!$B$5:$D$200,3,0),"")</f>
        <v/>
      </c>
      <c r="BP36" s="8" t="str">
        <f>IFERROR(VLOOKUP($B$5:$B$199,'[2]22'!$B$5:$G$200,6,0),"")</f>
        <v/>
      </c>
      <c r="BQ36" s="8" t="str">
        <f t="shared" si="21"/>
        <v/>
      </c>
      <c r="BR36" s="8" t="str">
        <f>IFERROR(VLOOKUP($B$5:$B$199,'[2]23'!$B$5:$D$200,3,0),"")</f>
        <v/>
      </c>
      <c r="BS36" s="8" t="str">
        <f>IFERROR(VLOOKUP($B$5:$B$199,'[2]23'!$B$5:$G$200,6,0),"")</f>
        <v/>
      </c>
      <c r="BT36" s="8" t="str">
        <f t="shared" si="22"/>
        <v/>
      </c>
      <c r="BU36" s="8" t="str">
        <f>IFERROR(VLOOKUP($B$5:$B$199,'[2]24'!$B$5:$D$200,3,0),"")</f>
        <v/>
      </c>
      <c r="BV36" s="8" t="str">
        <f>IFERROR(VLOOKUP($B$5:$B$199,'[2]24'!$B$5:$G$200,6,0),"")</f>
        <v/>
      </c>
      <c r="BW36" s="8" t="str">
        <f t="shared" si="23"/>
        <v/>
      </c>
      <c r="BX36" s="8" t="str">
        <f>IFERROR(VLOOKUP($B$5:$B$199,'[2]25'!$B$5:$D$200,3,0),"")</f>
        <v/>
      </c>
      <c r="BY36" s="8" t="str">
        <f>IFERROR(VLOOKUP($B$5:$B$199,'[2]25'!$B$5:$G$200,6,0),"")</f>
        <v/>
      </c>
      <c r="BZ36" s="8" t="str">
        <f t="shared" si="24"/>
        <v/>
      </c>
      <c r="CA36" s="8" t="str">
        <f>IFERROR(VLOOKUP($B$5:$B$199,'[2]26'!$B$5:$D$200,3,0),"")</f>
        <v/>
      </c>
      <c r="CB36" s="8" t="str">
        <f>IFERROR(VLOOKUP($B$5:$B$199,'[2]26'!$B$5:$G$200,6,0),"")</f>
        <v/>
      </c>
      <c r="CC36" s="8" t="str">
        <f t="shared" si="25"/>
        <v/>
      </c>
      <c r="CD36" s="8" t="str">
        <f>IFERROR(VLOOKUP($B$5:$B$199,'[2]27'!$B$5:$D$200,3,0),"")</f>
        <v/>
      </c>
      <c r="CE36" s="8" t="str">
        <f>IFERROR(VLOOKUP($B$5:$B$199,'[2]27'!$B$5:$G$200,6,0),"")</f>
        <v/>
      </c>
      <c r="CF36" s="8" t="str">
        <f t="shared" si="26"/>
        <v/>
      </c>
      <c r="CG36" s="8" t="str">
        <f>IFERROR(VLOOKUP($B$5:$B$199,'[2]28'!$B$5:$D$200,3,0),"")</f>
        <v/>
      </c>
      <c r="CH36" s="8" t="str">
        <f>IFERROR(VLOOKUP($B$5:$B$199,'[2]28'!$B$5:$G$200,6,0),"")</f>
        <v/>
      </c>
      <c r="CI36" s="8" t="str">
        <f t="shared" si="27"/>
        <v/>
      </c>
      <c r="CJ36" s="8" t="str">
        <f>IFERROR(VLOOKUP($B$5:$B$199,'[2]29'!$B$5:$D$200,3,0),"")</f>
        <v/>
      </c>
      <c r="CK36" s="8" t="str">
        <f>IFERROR(VLOOKUP($B$5:$B$199,'[2]29'!$B$5:$G$200,6,0),"")</f>
        <v/>
      </c>
      <c r="CL36" s="8" t="str">
        <f t="shared" si="28"/>
        <v/>
      </c>
      <c r="CM36" s="8" t="str">
        <f>IFERROR(VLOOKUP($B$5:$B$199,'[2]30'!$B$5:$D$200,3,0),"")</f>
        <v/>
      </c>
      <c r="CN36" s="8" t="str">
        <f>IFERROR(VLOOKUP($B$5:$B$199,'[2]30'!$B$5:$G$200,6,0),"")</f>
        <v/>
      </c>
      <c r="CO36" s="8" t="str">
        <f t="shared" si="29"/>
        <v/>
      </c>
      <c r="CP36" s="8" t="str">
        <f>IFERROR(VLOOKUP($B$5:$B$199,'[2]31'!$B$5:$D$200,3,0),"")</f>
        <v/>
      </c>
      <c r="CQ36" s="8" t="str">
        <f>IFERROR(VLOOKUP($B$5:$B$199,'[2]31'!$B$5:$G$200,6,0),"")</f>
        <v/>
      </c>
      <c r="CR36" s="8" t="str">
        <f t="shared" si="30"/>
        <v/>
      </c>
      <c r="CT36" s="3">
        <f t="shared" si="31"/>
        <v>10</v>
      </c>
      <c r="CU36" s="3">
        <f t="shared" si="32"/>
        <v>75270</v>
      </c>
      <c r="CV36" s="3">
        <f t="shared" si="33"/>
        <v>752700</v>
      </c>
      <c r="CX36">
        <f t="shared" si="34"/>
        <v>1</v>
      </c>
    </row>
    <row r="37" spans="2:102" x14ac:dyDescent="0.25">
      <c r="B37" s="7" t="s">
        <v>56</v>
      </c>
      <c r="C37" s="7" t="str">
        <f>VLOOKUP($B37,DBASE!$C$7:$D$403,2,0)</f>
        <v>WAFER TANGGO LONG KEJU 8GR</v>
      </c>
      <c r="D37" s="8">
        <f>IFERROR(VLOOKUP($B$5:$B$199,'[2]1'!$B$5:$D$200,3,0),"")</f>
        <v>10</v>
      </c>
      <c r="E37" s="8">
        <f>IFERROR(VLOOKUP($B$5:$B$199,'[2]1'!$B$5:$G$200,6,0),"")</f>
        <v>74676</v>
      </c>
      <c r="F37" s="8">
        <f t="shared" si="0"/>
        <v>746760</v>
      </c>
      <c r="G37" s="8" t="str">
        <f>IFERROR(VLOOKUP($B$5:$B$199,'[2]2'!$B$5:$D$200,3,0),"")</f>
        <v/>
      </c>
      <c r="H37" s="8" t="str">
        <f>IFERROR(VLOOKUP($B$5:$B$199,'[2]2'!$B$5:$G$200,6,0),"")</f>
        <v/>
      </c>
      <c r="I37" s="8" t="str">
        <f t="shared" si="1"/>
        <v/>
      </c>
      <c r="J37" s="8" t="str">
        <f>IFERROR(VLOOKUP($B$5:$B$199,'[2]3'!$B$5:$D$200,3,0),"")</f>
        <v/>
      </c>
      <c r="K37" s="8" t="str">
        <f>IFERROR(VLOOKUP($B$5:$B$199,'[2]3'!$B$5:$G$200,6,0),"")</f>
        <v/>
      </c>
      <c r="L37" s="8" t="str">
        <f t="shared" si="2"/>
        <v/>
      </c>
      <c r="M37" s="8" t="str">
        <f>IFERROR(VLOOKUP($B$5:$B$199,'[2]4'!$B$5:$D$200,3,0),"")</f>
        <v/>
      </c>
      <c r="N37" s="8" t="str">
        <f>IFERROR(VLOOKUP($B$5:$B$199,'[2]4'!$B$5:$G$200,6,0),"")</f>
        <v/>
      </c>
      <c r="O37" s="8" t="str">
        <f t="shared" si="3"/>
        <v/>
      </c>
      <c r="P37" s="8" t="str">
        <f>IFERROR(VLOOKUP($B$5:$B$199,'[2]5'!$B$5:$D$200,3,0),"")</f>
        <v/>
      </c>
      <c r="Q37" s="8" t="str">
        <f>IFERROR(VLOOKUP($B$5:$B$199,'[2]5'!$B$5:$G$200,6,0),"")</f>
        <v/>
      </c>
      <c r="R37" s="8" t="str">
        <f t="shared" si="4"/>
        <v/>
      </c>
      <c r="S37" s="8" t="str">
        <f>IFERROR(VLOOKUP($B$5:$B$199,'[2]6'!$B$5:$D$200,3,0),"")</f>
        <v/>
      </c>
      <c r="T37" s="8" t="str">
        <f>IFERROR(VLOOKUP($B$5:$B$199,'[2]6'!$B$5:$G$200,6,0),"")</f>
        <v/>
      </c>
      <c r="U37" s="8" t="str">
        <f t="shared" si="5"/>
        <v/>
      </c>
      <c r="V37" s="8" t="str">
        <f>IFERROR(VLOOKUP($B$5:$B$199,'[2]7'!$B$5:$D$200,3,0),"")</f>
        <v/>
      </c>
      <c r="W37" s="8" t="str">
        <f>IFERROR(VLOOKUP($B$5:$B$199,'[2]7'!$B$5:$G$200,6,0),"")</f>
        <v/>
      </c>
      <c r="X37" s="8" t="str">
        <f t="shared" si="6"/>
        <v/>
      </c>
      <c r="Y37" s="8" t="str">
        <f>IFERROR(VLOOKUP($B$5:$B$199,'[2]8'!$B$5:$D$200,3,0),"")</f>
        <v/>
      </c>
      <c r="Z37" s="8" t="str">
        <f>IFERROR(VLOOKUP($B$5:$B$199,'[2]8'!$B$5:$G$200,6,0),"")</f>
        <v/>
      </c>
      <c r="AA37" s="8" t="str">
        <f t="shared" si="7"/>
        <v/>
      </c>
      <c r="AB37" s="8" t="str">
        <f>IFERROR(VLOOKUP($B$5:$B$199,'[2]9'!$B$5:$D$200,3,0),"")</f>
        <v/>
      </c>
      <c r="AC37" s="8" t="str">
        <f>IFERROR(VLOOKUP($B$5:$B$199,'[2]9'!$B$5:$G$200,6,0),"")</f>
        <v/>
      </c>
      <c r="AD37" s="8" t="str">
        <f t="shared" si="8"/>
        <v/>
      </c>
      <c r="AE37" s="8" t="str">
        <f>IFERROR(VLOOKUP($B$5:$B$199,'[2]10'!$B$5:$D$200,3,0),"")</f>
        <v/>
      </c>
      <c r="AF37" s="8" t="str">
        <f>IFERROR(VLOOKUP($B$5:$B$199,'[2]10'!$B$5:$G$200,6,0),"")</f>
        <v/>
      </c>
      <c r="AG37" s="8" t="str">
        <f t="shared" si="9"/>
        <v/>
      </c>
      <c r="AH37" s="8" t="str">
        <f>IFERROR(VLOOKUP($B$5:$B$199,'[2]11'!$B$5:$D$200,3,0),"")</f>
        <v/>
      </c>
      <c r="AI37" s="8" t="str">
        <f>IFERROR(VLOOKUP($B$5:$B$199,'[2]11'!$B$5:$G$200,6,0),"")</f>
        <v/>
      </c>
      <c r="AJ37" s="8" t="str">
        <f t="shared" si="10"/>
        <v/>
      </c>
      <c r="AK37" s="8" t="str">
        <f>IFERROR(VLOOKUP($B$5:$B$199,'[2]12'!$B$5:$D$200,3,0),"")</f>
        <v/>
      </c>
      <c r="AL37" s="8" t="str">
        <f>IFERROR(VLOOKUP($B$5:$B$199,'[2]12'!$B$5:$G$200,6,0),"")</f>
        <v/>
      </c>
      <c r="AM37" s="8" t="str">
        <f t="shared" si="11"/>
        <v/>
      </c>
      <c r="AN37" s="8" t="str">
        <f>IFERROR(VLOOKUP($B$5:$B$199,'[2]13'!$B$5:$D$200,3,0),"")</f>
        <v/>
      </c>
      <c r="AO37" s="8" t="str">
        <f>IFERROR(VLOOKUP($B$5:$B$199,'[2]13'!$B$5:$G$200,6,0),"")</f>
        <v/>
      </c>
      <c r="AP37" s="8" t="str">
        <f t="shared" si="12"/>
        <v/>
      </c>
      <c r="AQ37" s="8" t="str">
        <f>IFERROR(VLOOKUP($B$5:$B$199,'[2]14'!$B$5:$D$200,3,0),"")</f>
        <v/>
      </c>
      <c r="AR37" s="8" t="str">
        <f>IFERROR(VLOOKUP($B$5:$B$199,'[2]14'!$B$5:$G$200,6,0),"")</f>
        <v/>
      </c>
      <c r="AS37" s="8" t="str">
        <f t="shared" si="13"/>
        <v/>
      </c>
      <c r="AT37" s="8" t="str">
        <f>IFERROR(VLOOKUP($B$5:$B$199,'[2]15'!$B$5:$D$200,3,0),"")</f>
        <v/>
      </c>
      <c r="AU37" s="8" t="str">
        <f>IFERROR(VLOOKUP($B$5:$B$199,'[2]15'!$B$5:$G$200,6,0),"")</f>
        <v/>
      </c>
      <c r="AV37" s="8" t="str">
        <f t="shared" si="14"/>
        <v/>
      </c>
      <c r="AW37" s="8" t="str">
        <f>IFERROR(VLOOKUP($B$5:$B$199,'[2]16'!$B$5:$D$200,3,0),"")</f>
        <v/>
      </c>
      <c r="AX37" s="8" t="str">
        <f>IFERROR(VLOOKUP($B$5:$B$199,'[2]16'!$B$5:$G$200,6,0),"")</f>
        <v/>
      </c>
      <c r="AY37" s="8" t="str">
        <f t="shared" si="15"/>
        <v/>
      </c>
      <c r="AZ37" s="8" t="str">
        <f>IFERROR(VLOOKUP($B$5:$B$199,'[2]17'!$B$5:$D$200,3,0),"")</f>
        <v/>
      </c>
      <c r="BA37" s="8" t="str">
        <f>IFERROR(VLOOKUP($B$5:$B$199,'[2]17'!$B$5:$G$200,6,0),"")</f>
        <v/>
      </c>
      <c r="BB37" s="8" t="str">
        <f t="shared" si="16"/>
        <v/>
      </c>
      <c r="BC37" s="8" t="str">
        <f>IFERROR(VLOOKUP($B$5:$B$199,'[2]18'!$B$5:$D$200,3,0),"")</f>
        <v/>
      </c>
      <c r="BD37" s="8" t="str">
        <f>IFERROR(VLOOKUP($B$5:$B$199,'[2]18'!$B$5:$G$200,6,0),"")</f>
        <v/>
      </c>
      <c r="BE37" s="8" t="str">
        <f t="shared" si="17"/>
        <v/>
      </c>
      <c r="BF37" s="8" t="str">
        <f>IFERROR(VLOOKUP($B$5:$B$199,'[2]19'!$B$5:$D$200,3,0),"")</f>
        <v/>
      </c>
      <c r="BG37" s="8" t="str">
        <f>IFERROR(VLOOKUP($B$5:$B$199,'[2]19'!$B$5:$G$200,6,0),"")</f>
        <v/>
      </c>
      <c r="BH37" s="8" t="str">
        <f t="shared" si="18"/>
        <v/>
      </c>
      <c r="BI37" s="8" t="str">
        <f>IFERROR(VLOOKUP($B$5:$B$199,'[2]20'!$B$5:$D$200,3,0),"")</f>
        <v/>
      </c>
      <c r="BJ37" s="8" t="str">
        <f>IFERROR(VLOOKUP($B$5:$B$199,'[2]20'!$B$5:$G$200,6,0),"")</f>
        <v/>
      </c>
      <c r="BK37" s="8" t="str">
        <f t="shared" si="19"/>
        <v/>
      </c>
      <c r="BL37" s="8" t="str">
        <f>IFERROR(VLOOKUP($B$5:$B$199,'[2]21'!$B$5:$D$200,3,0),"")</f>
        <v/>
      </c>
      <c r="BM37" s="8" t="str">
        <f>IFERROR(VLOOKUP($B$5:$B$199,'[2]21'!$B$5:$G$200,6,0),"")</f>
        <v/>
      </c>
      <c r="BN37" s="8" t="str">
        <f t="shared" si="20"/>
        <v/>
      </c>
      <c r="BO37" s="8" t="str">
        <f>IFERROR(VLOOKUP($B$5:$B$199,'[2]22'!$B$5:$D$200,3,0),"")</f>
        <v/>
      </c>
      <c r="BP37" s="8" t="str">
        <f>IFERROR(VLOOKUP($B$5:$B$199,'[2]22'!$B$5:$G$200,6,0),"")</f>
        <v/>
      </c>
      <c r="BQ37" s="8" t="str">
        <f t="shared" si="21"/>
        <v/>
      </c>
      <c r="BR37" s="8" t="str">
        <f>IFERROR(VLOOKUP($B$5:$B$199,'[2]23'!$B$5:$D$200,3,0),"")</f>
        <v/>
      </c>
      <c r="BS37" s="8" t="str">
        <f>IFERROR(VLOOKUP($B$5:$B$199,'[2]23'!$B$5:$G$200,6,0),"")</f>
        <v/>
      </c>
      <c r="BT37" s="8" t="str">
        <f t="shared" si="22"/>
        <v/>
      </c>
      <c r="BU37" s="8" t="str">
        <f>IFERROR(VLOOKUP($B$5:$B$199,'[2]24'!$B$5:$D$200,3,0),"")</f>
        <v/>
      </c>
      <c r="BV37" s="8" t="str">
        <f>IFERROR(VLOOKUP($B$5:$B$199,'[2]24'!$B$5:$G$200,6,0),"")</f>
        <v/>
      </c>
      <c r="BW37" s="8" t="str">
        <f t="shared" si="23"/>
        <v/>
      </c>
      <c r="BX37" s="8" t="str">
        <f>IFERROR(VLOOKUP($B$5:$B$199,'[2]25'!$B$5:$D$200,3,0),"")</f>
        <v/>
      </c>
      <c r="BY37" s="8" t="str">
        <f>IFERROR(VLOOKUP($B$5:$B$199,'[2]25'!$B$5:$G$200,6,0),"")</f>
        <v/>
      </c>
      <c r="BZ37" s="8" t="str">
        <f t="shared" si="24"/>
        <v/>
      </c>
      <c r="CA37" s="8" t="str">
        <f>IFERROR(VLOOKUP($B$5:$B$199,'[2]26'!$B$5:$D$200,3,0),"")</f>
        <v/>
      </c>
      <c r="CB37" s="8" t="str">
        <f>IFERROR(VLOOKUP($B$5:$B$199,'[2]26'!$B$5:$G$200,6,0),"")</f>
        <v/>
      </c>
      <c r="CC37" s="8" t="str">
        <f t="shared" si="25"/>
        <v/>
      </c>
      <c r="CD37" s="8" t="str">
        <f>IFERROR(VLOOKUP($B$5:$B$199,'[2]27'!$B$5:$D$200,3,0),"")</f>
        <v/>
      </c>
      <c r="CE37" s="8" t="str">
        <f>IFERROR(VLOOKUP($B$5:$B$199,'[2]27'!$B$5:$G$200,6,0),"")</f>
        <v/>
      </c>
      <c r="CF37" s="8" t="str">
        <f t="shared" si="26"/>
        <v/>
      </c>
      <c r="CG37" s="8" t="str">
        <f>IFERROR(VLOOKUP($B$5:$B$199,'[2]28'!$B$5:$D$200,3,0),"")</f>
        <v/>
      </c>
      <c r="CH37" s="8" t="str">
        <f>IFERROR(VLOOKUP($B$5:$B$199,'[2]28'!$B$5:$G$200,6,0),"")</f>
        <v/>
      </c>
      <c r="CI37" s="8" t="str">
        <f t="shared" si="27"/>
        <v/>
      </c>
      <c r="CJ37" s="8" t="str">
        <f>IFERROR(VLOOKUP($B$5:$B$199,'[2]29'!$B$5:$D$200,3,0),"")</f>
        <v/>
      </c>
      <c r="CK37" s="8" t="str">
        <f>IFERROR(VLOOKUP($B$5:$B$199,'[2]29'!$B$5:$G$200,6,0),"")</f>
        <v/>
      </c>
      <c r="CL37" s="8" t="str">
        <f t="shared" si="28"/>
        <v/>
      </c>
      <c r="CM37" s="8" t="str">
        <f>IFERROR(VLOOKUP($B$5:$B$199,'[2]30'!$B$5:$D$200,3,0),"")</f>
        <v/>
      </c>
      <c r="CN37" s="8" t="str">
        <f>IFERROR(VLOOKUP($B$5:$B$199,'[2]30'!$B$5:$G$200,6,0),"")</f>
        <v/>
      </c>
      <c r="CO37" s="8" t="str">
        <f t="shared" si="29"/>
        <v/>
      </c>
      <c r="CP37" s="8" t="str">
        <f>IFERROR(VLOOKUP($B$5:$B$199,'[2]31'!$B$5:$D$200,3,0),"")</f>
        <v/>
      </c>
      <c r="CQ37" s="8" t="str">
        <f>IFERROR(VLOOKUP($B$5:$B$199,'[2]31'!$B$5:$G$200,6,0),"")</f>
        <v/>
      </c>
      <c r="CR37" s="8" t="str">
        <f t="shared" si="30"/>
        <v/>
      </c>
      <c r="CT37" s="3">
        <f t="shared" si="31"/>
        <v>10</v>
      </c>
      <c r="CU37" s="3">
        <f t="shared" si="32"/>
        <v>74676</v>
      </c>
      <c r="CV37" s="3">
        <f t="shared" si="33"/>
        <v>746760</v>
      </c>
      <c r="CX37">
        <f t="shared" si="34"/>
        <v>1</v>
      </c>
    </row>
    <row r="38" spans="2:102" x14ac:dyDescent="0.25">
      <c r="B38" s="7" t="s">
        <v>57</v>
      </c>
      <c r="C38" s="7" t="str">
        <f>VLOOKUP($B38,DBASE!$C$7:$D$403,2,0)</f>
        <v>WAFER TANGGO LONG COKLAT 52GR</v>
      </c>
      <c r="D38" s="8">
        <f>IFERROR(VLOOKUP($B$5:$B$199,'[2]1'!$B$5:$D$200,3,0),"")</f>
        <v>40</v>
      </c>
      <c r="E38" s="8">
        <f>IFERROR(VLOOKUP($B$5:$B$199,'[2]1'!$B$5:$G$200,6,0),"")</f>
        <v>88270.674499999994</v>
      </c>
      <c r="F38" s="8">
        <f t="shared" si="0"/>
        <v>3530826.9799999995</v>
      </c>
      <c r="G38" s="8" t="str">
        <f>IFERROR(VLOOKUP($B$5:$B$199,'[2]2'!$B$5:$D$200,3,0),"")</f>
        <v/>
      </c>
      <c r="H38" s="8" t="str">
        <f>IFERROR(VLOOKUP($B$5:$B$199,'[2]2'!$B$5:$G$200,6,0),"")</f>
        <v/>
      </c>
      <c r="I38" s="8" t="str">
        <f t="shared" si="1"/>
        <v/>
      </c>
      <c r="J38" s="8" t="str">
        <f>IFERROR(VLOOKUP($B$5:$B$199,'[2]3'!$B$5:$D$200,3,0),"")</f>
        <v/>
      </c>
      <c r="K38" s="8" t="str">
        <f>IFERROR(VLOOKUP($B$5:$B$199,'[2]3'!$B$5:$G$200,6,0),"")</f>
        <v/>
      </c>
      <c r="L38" s="8" t="str">
        <f t="shared" si="2"/>
        <v/>
      </c>
      <c r="M38" s="8" t="str">
        <f>IFERROR(VLOOKUP($B$5:$B$199,'[2]4'!$B$5:$D$200,3,0),"")</f>
        <v/>
      </c>
      <c r="N38" s="8" t="str">
        <f>IFERROR(VLOOKUP($B$5:$B$199,'[2]4'!$B$5:$G$200,6,0),"")</f>
        <v/>
      </c>
      <c r="O38" s="8" t="str">
        <f t="shared" si="3"/>
        <v/>
      </c>
      <c r="P38" s="8" t="str">
        <f>IFERROR(VLOOKUP($B$5:$B$199,'[2]5'!$B$5:$D$200,3,0),"")</f>
        <v/>
      </c>
      <c r="Q38" s="8" t="str">
        <f>IFERROR(VLOOKUP($B$5:$B$199,'[2]5'!$B$5:$G$200,6,0),"")</f>
        <v/>
      </c>
      <c r="R38" s="8" t="str">
        <f t="shared" si="4"/>
        <v/>
      </c>
      <c r="S38" s="8" t="str">
        <f>IFERROR(VLOOKUP($B$5:$B$199,'[2]6'!$B$5:$D$200,3,0),"")</f>
        <v/>
      </c>
      <c r="T38" s="8" t="str">
        <f>IFERROR(VLOOKUP($B$5:$B$199,'[2]6'!$B$5:$G$200,6,0),"")</f>
        <v/>
      </c>
      <c r="U38" s="8" t="str">
        <f t="shared" si="5"/>
        <v/>
      </c>
      <c r="V38" s="8" t="str">
        <f>IFERROR(VLOOKUP($B$5:$B$199,'[2]7'!$B$5:$D$200,3,0),"")</f>
        <v/>
      </c>
      <c r="W38" s="8" t="str">
        <f>IFERROR(VLOOKUP($B$5:$B$199,'[2]7'!$B$5:$G$200,6,0),"")</f>
        <v/>
      </c>
      <c r="X38" s="8" t="str">
        <f t="shared" si="6"/>
        <v/>
      </c>
      <c r="Y38" s="8" t="str">
        <f>IFERROR(VLOOKUP($B$5:$B$199,'[2]8'!$B$5:$D$200,3,0),"")</f>
        <v/>
      </c>
      <c r="Z38" s="8" t="str">
        <f>IFERROR(VLOOKUP($B$5:$B$199,'[2]8'!$B$5:$G$200,6,0),"")</f>
        <v/>
      </c>
      <c r="AA38" s="8" t="str">
        <f t="shared" si="7"/>
        <v/>
      </c>
      <c r="AB38" s="8" t="str">
        <f>IFERROR(VLOOKUP($B$5:$B$199,'[2]9'!$B$5:$D$200,3,0),"")</f>
        <v/>
      </c>
      <c r="AC38" s="8" t="str">
        <f>IFERROR(VLOOKUP($B$5:$B$199,'[2]9'!$B$5:$G$200,6,0),"")</f>
        <v/>
      </c>
      <c r="AD38" s="8" t="str">
        <f t="shared" si="8"/>
        <v/>
      </c>
      <c r="AE38" s="8" t="str">
        <f>IFERROR(VLOOKUP($B$5:$B$199,'[2]10'!$B$5:$D$200,3,0),"")</f>
        <v/>
      </c>
      <c r="AF38" s="8" t="str">
        <f>IFERROR(VLOOKUP($B$5:$B$199,'[2]10'!$B$5:$G$200,6,0),"")</f>
        <v/>
      </c>
      <c r="AG38" s="8" t="str">
        <f t="shared" si="9"/>
        <v/>
      </c>
      <c r="AH38" s="8" t="str">
        <f>IFERROR(VLOOKUP($B$5:$B$199,'[2]11'!$B$5:$D$200,3,0),"")</f>
        <v/>
      </c>
      <c r="AI38" s="8" t="str">
        <f>IFERROR(VLOOKUP($B$5:$B$199,'[2]11'!$B$5:$G$200,6,0),"")</f>
        <v/>
      </c>
      <c r="AJ38" s="8" t="str">
        <f t="shared" si="10"/>
        <v/>
      </c>
      <c r="AK38" s="8" t="str">
        <f>IFERROR(VLOOKUP($B$5:$B$199,'[2]12'!$B$5:$D$200,3,0),"")</f>
        <v/>
      </c>
      <c r="AL38" s="8" t="str">
        <f>IFERROR(VLOOKUP($B$5:$B$199,'[2]12'!$B$5:$G$200,6,0),"")</f>
        <v/>
      </c>
      <c r="AM38" s="8" t="str">
        <f t="shared" si="11"/>
        <v/>
      </c>
      <c r="AN38" s="8" t="str">
        <f>IFERROR(VLOOKUP($B$5:$B$199,'[2]13'!$B$5:$D$200,3,0),"")</f>
        <v/>
      </c>
      <c r="AO38" s="8" t="str">
        <f>IFERROR(VLOOKUP($B$5:$B$199,'[2]13'!$B$5:$G$200,6,0),"")</f>
        <v/>
      </c>
      <c r="AP38" s="8" t="str">
        <f t="shared" si="12"/>
        <v/>
      </c>
      <c r="AQ38" s="8" t="str">
        <f>IFERROR(VLOOKUP($B$5:$B$199,'[2]14'!$B$5:$D$200,3,0),"")</f>
        <v/>
      </c>
      <c r="AR38" s="8" t="str">
        <f>IFERROR(VLOOKUP($B$5:$B$199,'[2]14'!$B$5:$G$200,6,0),"")</f>
        <v/>
      </c>
      <c r="AS38" s="8" t="str">
        <f t="shared" si="13"/>
        <v/>
      </c>
      <c r="AT38" s="8" t="str">
        <f>IFERROR(VLOOKUP($B$5:$B$199,'[2]15'!$B$5:$D$200,3,0),"")</f>
        <v/>
      </c>
      <c r="AU38" s="8" t="str">
        <f>IFERROR(VLOOKUP($B$5:$B$199,'[2]15'!$B$5:$G$200,6,0),"")</f>
        <v/>
      </c>
      <c r="AV38" s="8" t="str">
        <f t="shared" si="14"/>
        <v/>
      </c>
      <c r="AW38" s="8" t="str">
        <f>IFERROR(VLOOKUP($B$5:$B$199,'[2]16'!$B$5:$D$200,3,0),"")</f>
        <v/>
      </c>
      <c r="AX38" s="8" t="str">
        <f>IFERROR(VLOOKUP($B$5:$B$199,'[2]16'!$B$5:$G$200,6,0),"")</f>
        <v/>
      </c>
      <c r="AY38" s="8" t="str">
        <f t="shared" si="15"/>
        <v/>
      </c>
      <c r="AZ38" s="8" t="str">
        <f>IFERROR(VLOOKUP($B$5:$B$199,'[2]17'!$B$5:$D$200,3,0),"")</f>
        <v/>
      </c>
      <c r="BA38" s="8" t="str">
        <f>IFERROR(VLOOKUP($B$5:$B$199,'[2]17'!$B$5:$G$200,6,0),"")</f>
        <v/>
      </c>
      <c r="BB38" s="8" t="str">
        <f t="shared" si="16"/>
        <v/>
      </c>
      <c r="BC38" s="8" t="str">
        <f>IFERROR(VLOOKUP($B$5:$B$199,'[2]18'!$B$5:$D$200,3,0),"")</f>
        <v/>
      </c>
      <c r="BD38" s="8" t="str">
        <f>IFERROR(VLOOKUP($B$5:$B$199,'[2]18'!$B$5:$G$200,6,0),"")</f>
        <v/>
      </c>
      <c r="BE38" s="8" t="str">
        <f t="shared" si="17"/>
        <v/>
      </c>
      <c r="BF38" s="8" t="str">
        <f>IFERROR(VLOOKUP($B$5:$B$199,'[2]19'!$B$5:$D$200,3,0),"")</f>
        <v/>
      </c>
      <c r="BG38" s="8" t="str">
        <f>IFERROR(VLOOKUP($B$5:$B$199,'[2]19'!$B$5:$G$200,6,0),"")</f>
        <v/>
      </c>
      <c r="BH38" s="8" t="str">
        <f t="shared" si="18"/>
        <v/>
      </c>
      <c r="BI38" s="8" t="str">
        <f>IFERROR(VLOOKUP($B$5:$B$199,'[2]20'!$B$5:$D$200,3,0),"")</f>
        <v/>
      </c>
      <c r="BJ38" s="8" t="str">
        <f>IFERROR(VLOOKUP($B$5:$B$199,'[2]20'!$B$5:$G$200,6,0),"")</f>
        <v/>
      </c>
      <c r="BK38" s="8" t="str">
        <f t="shared" si="19"/>
        <v/>
      </c>
      <c r="BL38" s="8" t="str">
        <f>IFERROR(VLOOKUP($B$5:$B$199,'[2]21'!$B$5:$D$200,3,0),"")</f>
        <v/>
      </c>
      <c r="BM38" s="8" t="str">
        <f>IFERROR(VLOOKUP($B$5:$B$199,'[2]21'!$B$5:$G$200,6,0),"")</f>
        <v/>
      </c>
      <c r="BN38" s="8" t="str">
        <f t="shared" si="20"/>
        <v/>
      </c>
      <c r="BO38" s="8" t="str">
        <f>IFERROR(VLOOKUP($B$5:$B$199,'[2]22'!$B$5:$D$200,3,0),"")</f>
        <v/>
      </c>
      <c r="BP38" s="8" t="str">
        <f>IFERROR(VLOOKUP($B$5:$B$199,'[2]22'!$B$5:$G$200,6,0),"")</f>
        <v/>
      </c>
      <c r="BQ38" s="8" t="str">
        <f t="shared" si="21"/>
        <v/>
      </c>
      <c r="BR38" s="8" t="str">
        <f>IFERROR(VLOOKUP($B$5:$B$199,'[2]23'!$B$5:$D$200,3,0),"")</f>
        <v/>
      </c>
      <c r="BS38" s="8" t="str">
        <f>IFERROR(VLOOKUP($B$5:$B$199,'[2]23'!$B$5:$G$200,6,0),"")</f>
        <v/>
      </c>
      <c r="BT38" s="8" t="str">
        <f t="shared" si="22"/>
        <v/>
      </c>
      <c r="BU38" s="8" t="str">
        <f>IFERROR(VLOOKUP($B$5:$B$199,'[2]24'!$B$5:$D$200,3,0),"")</f>
        <v/>
      </c>
      <c r="BV38" s="8" t="str">
        <f>IFERROR(VLOOKUP($B$5:$B$199,'[2]24'!$B$5:$G$200,6,0),"")</f>
        <v/>
      </c>
      <c r="BW38" s="8" t="str">
        <f t="shared" si="23"/>
        <v/>
      </c>
      <c r="BX38" s="8" t="str">
        <f>IFERROR(VLOOKUP($B$5:$B$199,'[2]25'!$B$5:$D$200,3,0),"")</f>
        <v/>
      </c>
      <c r="BY38" s="8" t="str">
        <f>IFERROR(VLOOKUP($B$5:$B$199,'[2]25'!$B$5:$G$200,6,0),"")</f>
        <v/>
      </c>
      <c r="BZ38" s="8" t="str">
        <f t="shared" si="24"/>
        <v/>
      </c>
      <c r="CA38" s="8" t="str">
        <f>IFERROR(VLOOKUP($B$5:$B$199,'[2]26'!$B$5:$D$200,3,0),"")</f>
        <v/>
      </c>
      <c r="CB38" s="8" t="str">
        <f>IFERROR(VLOOKUP($B$5:$B$199,'[2]26'!$B$5:$G$200,6,0),"")</f>
        <v/>
      </c>
      <c r="CC38" s="8" t="str">
        <f t="shared" si="25"/>
        <v/>
      </c>
      <c r="CD38" s="8" t="str">
        <f>IFERROR(VLOOKUP($B$5:$B$199,'[2]27'!$B$5:$D$200,3,0),"")</f>
        <v/>
      </c>
      <c r="CE38" s="8" t="str">
        <f>IFERROR(VLOOKUP($B$5:$B$199,'[2]27'!$B$5:$G$200,6,0),"")</f>
        <v/>
      </c>
      <c r="CF38" s="8" t="str">
        <f t="shared" si="26"/>
        <v/>
      </c>
      <c r="CG38" s="8" t="str">
        <f>IFERROR(VLOOKUP($B$5:$B$199,'[2]28'!$B$5:$D$200,3,0),"")</f>
        <v/>
      </c>
      <c r="CH38" s="8" t="str">
        <f>IFERROR(VLOOKUP($B$5:$B$199,'[2]28'!$B$5:$G$200,6,0),"")</f>
        <v/>
      </c>
      <c r="CI38" s="8" t="str">
        <f t="shared" si="27"/>
        <v/>
      </c>
      <c r="CJ38" s="8" t="str">
        <f>IFERROR(VLOOKUP($B$5:$B$199,'[2]29'!$B$5:$D$200,3,0),"")</f>
        <v/>
      </c>
      <c r="CK38" s="8" t="str">
        <f>IFERROR(VLOOKUP($B$5:$B$199,'[2]29'!$B$5:$G$200,6,0),"")</f>
        <v/>
      </c>
      <c r="CL38" s="8" t="str">
        <f t="shared" si="28"/>
        <v/>
      </c>
      <c r="CM38" s="8" t="str">
        <f>IFERROR(VLOOKUP($B$5:$B$199,'[2]30'!$B$5:$D$200,3,0),"")</f>
        <v/>
      </c>
      <c r="CN38" s="8" t="str">
        <f>IFERROR(VLOOKUP($B$5:$B$199,'[2]30'!$B$5:$G$200,6,0),"")</f>
        <v/>
      </c>
      <c r="CO38" s="8" t="str">
        <f t="shared" si="29"/>
        <v/>
      </c>
      <c r="CP38" s="8" t="str">
        <f>IFERROR(VLOOKUP($B$5:$B$199,'[2]31'!$B$5:$D$200,3,0),"")</f>
        <v/>
      </c>
      <c r="CQ38" s="8" t="str">
        <f>IFERROR(VLOOKUP($B$5:$B$199,'[2]31'!$B$5:$G$200,6,0),"")</f>
        <v/>
      </c>
      <c r="CR38" s="8" t="str">
        <f t="shared" si="30"/>
        <v/>
      </c>
      <c r="CT38" s="3">
        <f t="shared" si="31"/>
        <v>40</v>
      </c>
      <c r="CU38" s="3">
        <f t="shared" si="32"/>
        <v>88270.674499999994</v>
      </c>
      <c r="CV38" s="3">
        <f t="shared" si="33"/>
        <v>3530826.9799999995</v>
      </c>
      <c r="CX38">
        <f t="shared" si="34"/>
        <v>1</v>
      </c>
    </row>
    <row r="39" spans="2:102" x14ac:dyDescent="0.25">
      <c r="B39" s="7" t="s">
        <v>58</v>
      </c>
      <c r="C39" s="7" t="str">
        <f>VLOOKUP($B39,DBASE!$C$7:$D$403,2,0)</f>
        <v>WAFER TANGGO LONG VANILA 52GR</v>
      </c>
      <c r="D39" s="8">
        <f>IFERROR(VLOOKUP($B$5:$B$199,'[2]1'!$B$5:$D$200,3,0),"")</f>
        <v>20</v>
      </c>
      <c r="E39" s="8">
        <f>IFERROR(VLOOKUP($B$5:$B$199,'[2]1'!$B$5:$G$200,6,0),"")</f>
        <v>88270.650500000003</v>
      </c>
      <c r="F39" s="8">
        <f t="shared" si="0"/>
        <v>1765413.01</v>
      </c>
      <c r="G39" s="8" t="str">
        <f>IFERROR(VLOOKUP($B$5:$B$199,'[2]2'!$B$5:$D$200,3,0),"")</f>
        <v/>
      </c>
      <c r="H39" s="8" t="str">
        <f>IFERROR(VLOOKUP($B$5:$B$199,'[2]2'!$B$5:$G$200,6,0),"")</f>
        <v/>
      </c>
      <c r="I39" s="8" t="str">
        <f t="shared" si="1"/>
        <v/>
      </c>
      <c r="J39" s="8" t="str">
        <f>IFERROR(VLOOKUP($B$5:$B$199,'[2]3'!$B$5:$D$200,3,0),"")</f>
        <v/>
      </c>
      <c r="K39" s="8" t="str">
        <f>IFERROR(VLOOKUP($B$5:$B$199,'[2]3'!$B$5:$G$200,6,0),"")</f>
        <v/>
      </c>
      <c r="L39" s="8" t="str">
        <f t="shared" si="2"/>
        <v/>
      </c>
      <c r="M39" s="8" t="str">
        <f>IFERROR(VLOOKUP($B$5:$B$199,'[2]4'!$B$5:$D$200,3,0),"")</f>
        <v/>
      </c>
      <c r="N39" s="8" t="str">
        <f>IFERROR(VLOOKUP($B$5:$B$199,'[2]4'!$B$5:$G$200,6,0),"")</f>
        <v/>
      </c>
      <c r="O39" s="8" t="str">
        <f t="shared" si="3"/>
        <v/>
      </c>
      <c r="P39" s="8" t="str">
        <f>IFERROR(VLOOKUP($B$5:$B$199,'[2]5'!$B$5:$D$200,3,0),"")</f>
        <v/>
      </c>
      <c r="Q39" s="8" t="str">
        <f>IFERROR(VLOOKUP($B$5:$B$199,'[2]5'!$B$5:$G$200,6,0),"")</f>
        <v/>
      </c>
      <c r="R39" s="8" t="str">
        <f t="shared" si="4"/>
        <v/>
      </c>
      <c r="S39" s="8" t="str">
        <f>IFERROR(VLOOKUP($B$5:$B$199,'[2]6'!$B$5:$D$200,3,0),"")</f>
        <v/>
      </c>
      <c r="T39" s="8" t="str">
        <f>IFERROR(VLOOKUP($B$5:$B$199,'[2]6'!$B$5:$G$200,6,0),"")</f>
        <v/>
      </c>
      <c r="U39" s="8" t="str">
        <f t="shared" si="5"/>
        <v/>
      </c>
      <c r="V39" s="8" t="str">
        <f>IFERROR(VLOOKUP($B$5:$B$199,'[2]7'!$B$5:$D$200,3,0),"")</f>
        <v/>
      </c>
      <c r="W39" s="8" t="str">
        <f>IFERROR(VLOOKUP($B$5:$B$199,'[2]7'!$B$5:$G$200,6,0),"")</f>
        <v/>
      </c>
      <c r="X39" s="8" t="str">
        <f t="shared" si="6"/>
        <v/>
      </c>
      <c r="Y39" s="8" t="str">
        <f>IFERROR(VLOOKUP($B$5:$B$199,'[2]8'!$B$5:$D$200,3,0),"")</f>
        <v/>
      </c>
      <c r="Z39" s="8" t="str">
        <f>IFERROR(VLOOKUP($B$5:$B$199,'[2]8'!$B$5:$G$200,6,0),"")</f>
        <v/>
      </c>
      <c r="AA39" s="8" t="str">
        <f t="shared" si="7"/>
        <v/>
      </c>
      <c r="AB39" s="8" t="str">
        <f>IFERROR(VLOOKUP($B$5:$B$199,'[2]9'!$B$5:$D$200,3,0),"")</f>
        <v/>
      </c>
      <c r="AC39" s="8" t="str">
        <f>IFERROR(VLOOKUP($B$5:$B$199,'[2]9'!$B$5:$G$200,6,0),"")</f>
        <v/>
      </c>
      <c r="AD39" s="8" t="str">
        <f t="shared" si="8"/>
        <v/>
      </c>
      <c r="AE39" s="8" t="str">
        <f>IFERROR(VLOOKUP($B$5:$B$199,'[2]10'!$B$5:$D$200,3,0),"")</f>
        <v/>
      </c>
      <c r="AF39" s="8" t="str">
        <f>IFERROR(VLOOKUP($B$5:$B$199,'[2]10'!$B$5:$G$200,6,0),"")</f>
        <v/>
      </c>
      <c r="AG39" s="8" t="str">
        <f t="shared" si="9"/>
        <v/>
      </c>
      <c r="AH39" s="8" t="str">
        <f>IFERROR(VLOOKUP($B$5:$B$199,'[2]11'!$B$5:$D$200,3,0),"")</f>
        <v/>
      </c>
      <c r="AI39" s="8" t="str">
        <f>IFERROR(VLOOKUP($B$5:$B$199,'[2]11'!$B$5:$G$200,6,0),"")</f>
        <v/>
      </c>
      <c r="AJ39" s="8" t="str">
        <f t="shared" si="10"/>
        <v/>
      </c>
      <c r="AK39" s="8" t="str">
        <f>IFERROR(VLOOKUP($B$5:$B$199,'[2]12'!$B$5:$D$200,3,0),"")</f>
        <v/>
      </c>
      <c r="AL39" s="8" t="str">
        <f>IFERROR(VLOOKUP($B$5:$B$199,'[2]12'!$B$5:$G$200,6,0),"")</f>
        <v/>
      </c>
      <c r="AM39" s="8" t="str">
        <f t="shared" si="11"/>
        <v/>
      </c>
      <c r="AN39" s="8" t="str">
        <f>IFERROR(VLOOKUP($B$5:$B$199,'[2]13'!$B$5:$D$200,3,0),"")</f>
        <v/>
      </c>
      <c r="AO39" s="8" t="str">
        <f>IFERROR(VLOOKUP($B$5:$B$199,'[2]13'!$B$5:$G$200,6,0),"")</f>
        <v/>
      </c>
      <c r="AP39" s="8" t="str">
        <f t="shared" si="12"/>
        <v/>
      </c>
      <c r="AQ39" s="8" t="str">
        <f>IFERROR(VLOOKUP($B$5:$B$199,'[2]14'!$B$5:$D$200,3,0),"")</f>
        <v/>
      </c>
      <c r="AR39" s="8" t="str">
        <f>IFERROR(VLOOKUP($B$5:$B$199,'[2]14'!$B$5:$G$200,6,0),"")</f>
        <v/>
      </c>
      <c r="AS39" s="8" t="str">
        <f t="shared" si="13"/>
        <v/>
      </c>
      <c r="AT39" s="8" t="str">
        <f>IFERROR(VLOOKUP($B$5:$B$199,'[2]15'!$B$5:$D$200,3,0),"")</f>
        <v/>
      </c>
      <c r="AU39" s="8" t="str">
        <f>IFERROR(VLOOKUP($B$5:$B$199,'[2]15'!$B$5:$G$200,6,0),"")</f>
        <v/>
      </c>
      <c r="AV39" s="8" t="str">
        <f t="shared" si="14"/>
        <v/>
      </c>
      <c r="AW39" s="8" t="str">
        <f>IFERROR(VLOOKUP($B$5:$B$199,'[2]16'!$B$5:$D$200,3,0),"")</f>
        <v/>
      </c>
      <c r="AX39" s="8" t="str">
        <f>IFERROR(VLOOKUP($B$5:$B$199,'[2]16'!$B$5:$G$200,6,0),"")</f>
        <v/>
      </c>
      <c r="AY39" s="8" t="str">
        <f t="shared" si="15"/>
        <v/>
      </c>
      <c r="AZ39" s="8" t="str">
        <f>IFERROR(VLOOKUP($B$5:$B$199,'[2]17'!$B$5:$D$200,3,0),"")</f>
        <v/>
      </c>
      <c r="BA39" s="8" t="str">
        <f>IFERROR(VLOOKUP($B$5:$B$199,'[2]17'!$B$5:$G$200,6,0),"")</f>
        <v/>
      </c>
      <c r="BB39" s="8" t="str">
        <f t="shared" si="16"/>
        <v/>
      </c>
      <c r="BC39" s="8" t="str">
        <f>IFERROR(VLOOKUP($B$5:$B$199,'[2]18'!$B$5:$D$200,3,0),"")</f>
        <v/>
      </c>
      <c r="BD39" s="8" t="str">
        <f>IFERROR(VLOOKUP($B$5:$B$199,'[2]18'!$B$5:$G$200,6,0),"")</f>
        <v/>
      </c>
      <c r="BE39" s="8" t="str">
        <f t="shared" si="17"/>
        <v/>
      </c>
      <c r="BF39" s="8" t="str">
        <f>IFERROR(VLOOKUP($B$5:$B$199,'[2]19'!$B$5:$D$200,3,0),"")</f>
        <v/>
      </c>
      <c r="BG39" s="8" t="str">
        <f>IFERROR(VLOOKUP($B$5:$B$199,'[2]19'!$B$5:$G$200,6,0),"")</f>
        <v/>
      </c>
      <c r="BH39" s="8" t="str">
        <f t="shared" si="18"/>
        <v/>
      </c>
      <c r="BI39" s="8" t="str">
        <f>IFERROR(VLOOKUP($B$5:$B$199,'[2]20'!$B$5:$D$200,3,0),"")</f>
        <v/>
      </c>
      <c r="BJ39" s="8" t="str">
        <f>IFERROR(VLOOKUP($B$5:$B$199,'[2]20'!$B$5:$G$200,6,0),"")</f>
        <v/>
      </c>
      <c r="BK39" s="8" t="str">
        <f t="shared" si="19"/>
        <v/>
      </c>
      <c r="BL39" s="8" t="str">
        <f>IFERROR(VLOOKUP($B$5:$B$199,'[2]21'!$B$5:$D$200,3,0),"")</f>
        <v/>
      </c>
      <c r="BM39" s="8" t="str">
        <f>IFERROR(VLOOKUP($B$5:$B$199,'[2]21'!$B$5:$G$200,6,0),"")</f>
        <v/>
      </c>
      <c r="BN39" s="8" t="str">
        <f t="shared" si="20"/>
        <v/>
      </c>
      <c r="BO39" s="8" t="str">
        <f>IFERROR(VLOOKUP($B$5:$B$199,'[2]22'!$B$5:$D$200,3,0),"")</f>
        <v/>
      </c>
      <c r="BP39" s="8" t="str">
        <f>IFERROR(VLOOKUP($B$5:$B$199,'[2]22'!$B$5:$G$200,6,0),"")</f>
        <v/>
      </c>
      <c r="BQ39" s="8" t="str">
        <f t="shared" si="21"/>
        <v/>
      </c>
      <c r="BR39" s="8" t="str">
        <f>IFERROR(VLOOKUP($B$5:$B$199,'[2]23'!$B$5:$D$200,3,0),"")</f>
        <v/>
      </c>
      <c r="BS39" s="8" t="str">
        <f>IFERROR(VLOOKUP($B$5:$B$199,'[2]23'!$B$5:$G$200,6,0),"")</f>
        <v/>
      </c>
      <c r="BT39" s="8" t="str">
        <f t="shared" si="22"/>
        <v/>
      </c>
      <c r="BU39" s="8" t="str">
        <f>IFERROR(VLOOKUP($B$5:$B$199,'[2]24'!$B$5:$D$200,3,0),"")</f>
        <v/>
      </c>
      <c r="BV39" s="8" t="str">
        <f>IFERROR(VLOOKUP($B$5:$B$199,'[2]24'!$B$5:$G$200,6,0),"")</f>
        <v/>
      </c>
      <c r="BW39" s="8" t="str">
        <f t="shared" si="23"/>
        <v/>
      </c>
      <c r="BX39" s="8" t="str">
        <f>IFERROR(VLOOKUP($B$5:$B$199,'[2]25'!$B$5:$D$200,3,0),"")</f>
        <v/>
      </c>
      <c r="BY39" s="8" t="str">
        <f>IFERROR(VLOOKUP($B$5:$B$199,'[2]25'!$B$5:$G$200,6,0),"")</f>
        <v/>
      </c>
      <c r="BZ39" s="8" t="str">
        <f t="shared" si="24"/>
        <v/>
      </c>
      <c r="CA39" s="8" t="str">
        <f>IFERROR(VLOOKUP($B$5:$B$199,'[2]26'!$B$5:$D$200,3,0),"")</f>
        <v/>
      </c>
      <c r="CB39" s="8" t="str">
        <f>IFERROR(VLOOKUP($B$5:$B$199,'[2]26'!$B$5:$G$200,6,0),"")</f>
        <v/>
      </c>
      <c r="CC39" s="8" t="str">
        <f t="shared" si="25"/>
        <v/>
      </c>
      <c r="CD39" s="8" t="str">
        <f>IFERROR(VLOOKUP($B$5:$B$199,'[2]27'!$B$5:$D$200,3,0),"")</f>
        <v/>
      </c>
      <c r="CE39" s="8" t="str">
        <f>IFERROR(VLOOKUP($B$5:$B$199,'[2]27'!$B$5:$G$200,6,0),"")</f>
        <v/>
      </c>
      <c r="CF39" s="8" t="str">
        <f t="shared" si="26"/>
        <v/>
      </c>
      <c r="CG39" s="8" t="str">
        <f>IFERROR(VLOOKUP($B$5:$B$199,'[2]28'!$B$5:$D$200,3,0),"")</f>
        <v/>
      </c>
      <c r="CH39" s="8" t="str">
        <f>IFERROR(VLOOKUP($B$5:$B$199,'[2]28'!$B$5:$G$200,6,0),"")</f>
        <v/>
      </c>
      <c r="CI39" s="8" t="str">
        <f t="shared" si="27"/>
        <v/>
      </c>
      <c r="CJ39" s="8" t="str">
        <f>IFERROR(VLOOKUP($B$5:$B$199,'[2]29'!$B$5:$D$200,3,0),"")</f>
        <v/>
      </c>
      <c r="CK39" s="8" t="str">
        <f>IFERROR(VLOOKUP($B$5:$B$199,'[2]29'!$B$5:$G$200,6,0),"")</f>
        <v/>
      </c>
      <c r="CL39" s="8" t="str">
        <f t="shared" si="28"/>
        <v/>
      </c>
      <c r="CM39" s="8" t="str">
        <f>IFERROR(VLOOKUP($B$5:$B$199,'[2]30'!$B$5:$D$200,3,0),"")</f>
        <v/>
      </c>
      <c r="CN39" s="8" t="str">
        <f>IFERROR(VLOOKUP($B$5:$B$199,'[2]30'!$B$5:$G$200,6,0),"")</f>
        <v/>
      </c>
      <c r="CO39" s="8" t="str">
        <f t="shared" si="29"/>
        <v/>
      </c>
      <c r="CP39" s="8" t="str">
        <f>IFERROR(VLOOKUP($B$5:$B$199,'[2]31'!$B$5:$D$200,3,0),"")</f>
        <v/>
      </c>
      <c r="CQ39" s="8" t="str">
        <f>IFERROR(VLOOKUP($B$5:$B$199,'[2]31'!$B$5:$G$200,6,0),"")</f>
        <v/>
      </c>
      <c r="CR39" s="8" t="str">
        <f t="shared" si="30"/>
        <v/>
      </c>
      <c r="CT39" s="3">
        <f t="shared" si="31"/>
        <v>20</v>
      </c>
      <c r="CU39" s="3">
        <f t="shared" si="32"/>
        <v>88270.650500000003</v>
      </c>
      <c r="CV39" s="3">
        <f t="shared" si="33"/>
        <v>1765413.01</v>
      </c>
      <c r="CX39">
        <f t="shared" si="34"/>
        <v>1</v>
      </c>
    </row>
    <row r="40" spans="2:102" x14ac:dyDescent="0.25">
      <c r="B40" s="7" t="s">
        <v>59</v>
      </c>
      <c r="C40" s="7" t="str">
        <f>VLOOKUP($B40,DBASE!$C$7:$D$403,2,0)</f>
        <v>WAFER TANGGO LONG KEJU 52GR</v>
      </c>
      <c r="D40" s="8">
        <f>IFERROR(VLOOKUP($B$5:$B$199,'[2]1'!$B$5:$D$200,3,0),"")</f>
        <v>40</v>
      </c>
      <c r="E40" s="8">
        <f>IFERROR(VLOOKUP($B$5:$B$199,'[2]1'!$B$5:$G$200,6,0),"")</f>
        <v>87278.8</v>
      </c>
      <c r="F40" s="8">
        <f t="shared" si="0"/>
        <v>3491152</v>
      </c>
      <c r="G40" s="8" t="str">
        <f>IFERROR(VLOOKUP($B$5:$B$199,'[2]2'!$B$5:$D$200,3,0),"")</f>
        <v/>
      </c>
      <c r="H40" s="8" t="str">
        <f>IFERROR(VLOOKUP($B$5:$B$199,'[2]2'!$B$5:$G$200,6,0),"")</f>
        <v/>
      </c>
      <c r="I40" s="8" t="str">
        <f t="shared" si="1"/>
        <v/>
      </c>
      <c r="J40" s="8" t="str">
        <f>IFERROR(VLOOKUP($B$5:$B$199,'[2]3'!$B$5:$D$200,3,0),"")</f>
        <v/>
      </c>
      <c r="K40" s="8" t="str">
        <f>IFERROR(VLOOKUP($B$5:$B$199,'[2]3'!$B$5:$G$200,6,0),"")</f>
        <v/>
      </c>
      <c r="L40" s="8" t="str">
        <f t="shared" si="2"/>
        <v/>
      </c>
      <c r="M40" s="8" t="str">
        <f>IFERROR(VLOOKUP($B$5:$B$199,'[2]4'!$B$5:$D$200,3,0),"")</f>
        <v/>
      </c>
      <c r="N40" s="8" t="str">
        <f>IFERROR(VLOOKUP($B$5:$B$199,'[2]4'!$B$5:$G$200,6,0),"")</f>
        <v/>
      </c>
      <c r="O40" s="8" t="str">
        <f t="shared" si="3"/>
        <v/>
      </c>
      <c r="P40" s="8" t="str">
        <f>IFERROR(VLOOKUP($B$5:$B$199,'[2]5'!$B$5:$D$200,3,0),"")</f>
        <v/>
      </c>
      <c r="Q40" s="8" t="str">
        <f>IFERROR(VLOOKUP($B$5:$B$199,'[2]5'!$B$5:$G$200,6,0),"")</f>
        <v/>
      </c>
      <c r="R40" s="8" t="str">
        <f t="shared" si="4"/>
        <v/>
      </c>
      <c r="S40" s="8" t="str">
        <f>IFERROR(VLOOKUP($B$5:$B$199,'[2]6'!$B$5:$D$200,3,0),"")</f>
        <v/>
      </c>
      <c r="T40" s="8" t="str">
        <f>IFERROR(VLOOKUP($B$5:$B$199,'[2]6'!$B$5:$G$200,6,0),"")</f>
        <v/>
      </c>
      <c r="U40" s="8" t="str">
        <f t="shared" si="5"/>
        <v/>
      </c>
      <c r="V40" s="8" t="str">
        <f>IFERROR(VLOOKUP($B$5:$B$199,'[2]7'!$B$5:$D$200,3,0),"")</f>
        <v/>
      </c>
      <c r="W40" s="8" t="str">
        <f>IFERROR(VLOOKUP($B$5:$B$199,'[2]7'!$B$5:$G$200,6,0),"")</f>
        <v/>
      </c>
      <c r="X40" s="8" t="str">
        <f t="shared" si="6"/>
        <v/>
      </c>
      <c r="Y40" s="8" t="str">
        <f>IFERROR(VLOOKUP($B$5:$B$199,'[2]8'!$B$5:$D$200,3,0),"")</f>
        <v/>
      </c>
      <c r="Z40" s="8" t="str">
        <f>IFERROR(VLOOKUP($B$5:$B$199,'[2]8'!$B$5:$G$200,6,0),"")</f>
        <v/>
      </c>
      <c r="AA40" s="8" t="str">
        <f t="shared" si="7"/>
        <v/>
      </c>
      <c r="AB40" s="8" t="str">
        <f>IFERROR(VLOOKUP($B$5:$B$199,'[2]9'!$B$5:$D$200,3,0),"")</f>
        <v/>
      </c>
      <c r="AC40" s="8" t="str">
        <f>IFERROR(VLOOKUP($B$5:$B$199,'[2]9'!$B$5:$G$200,6,0),"")</f>
        <v/>
      </c>
      <c r="AD40" s="8" t="str">
        <f t="shared" si="8"/>
        <v/>
      </c>
      <c r="AE40" s="8" t="str">
        <f>IFERROR(VLOOKUP($B$5:$B$199,'[2]10'!$B$5:$D$200,3,0),"")</f>
        <v/>
      </c>
      <c r="AF40" s="8" t="str">
        <f>IFERROR(VLOOKUP($B$5:$B$199,'[2]10'!$B$5:$G$200,6,0),"")</f>
        <v/>
      </c>
      <c r="AG40" s="8" t="str">
        <f t="shared" si="9"/>
        <v/>
      </c>
      <c r="AH40" s="8" t="str">
        <f>IFERROR(VLOOKUP($B$5:$B$199,'[2]11'!$B$5:$D$200,3,0),"")</f>
        <v/>
      </c>
      <c r="AI40" s="8" t="str">
        <f>IFERROR(VLOOKUP($B$5:$B$199,'[2]11'!$B$5:$G$200,6,0),"")</f>
        <v/>
      </c>
      <c r="AJ40" s="8" t="str">
        <f t="shared" si="10"/>
        <v/>
      </c>
      <c r="AK40" s="8" t="str">
        <f>IFERROR(VLOOKUP($B$5:$B$199,'[2]12'!$B$5:$D$200,3,0),"")</f>
        <v/>
      </c>
      <c r="AL40" s="8" t="str">
        <f>IFERROR(VLOOKUP($B$5:$B$199,'[2]12'!$B$5:$G$200,6,0),"")</f>
        <v/>
      </c>
      <c r="AM40" s="8" t="str">
        <f t="shared" si="11"/>
        <v/>
      </c>
      <c r="AN40" s="8" t="str">
        <f>IFERROR(VLOOKUP($B$5:$B$199,'[2]13'!$B$5:$D$200,3,0),"")</f>
        <v/>
      </c>
      <c r="AO40" s="8" t="str">
        <f>IFERROR(VLOOKUP($B$5:$B$199,'[2]13'!$B$5:$G$200,6,0),"")</f>
        <v/>
      </c>
      <c r="AP40" s="8" t="str">
        <f t="shared" si="12"/>
        <v/>
      </c>
      <c r="AQ40" s="8" t="str">
        <f>IFERROR(VLOOKUP($B$5:$B$199,'[2]14'!$B$5:$D$200,3,0),"")</f>
        <v/>
      </c>
      <c r="AR40" s="8" t="str">
        <f>IFERROR(VLOOKUP($B$5:$B$199,'[2]14'!$B$5:$G$200,6,0),"")</f>
        <v/>
      </c>
      <c r="AS40" s="8" t="str">
        <f t="shared" si="13"/>
        <v/>
      </c>
      <c r="AT40" s="8" t="str">
        <f>IFERROR(VLOOKUP($B$5:$B$199,'[2]15'!$B$5:$D$200,3,0),"")</f>
        <v/>
      </c>
      <c r="AU40" s="8" t="str">
        <f>IFERROR(VLOOKUP($B$5:$B$199,'[2]15'!$B$5:$G$200,6,0),"")</f>
        <v/>
      </c>
      <c r="AV40" s="8" t="str">
        <f t="shared" si="14"/>
        <v/>
      </c>
      <c r="AW40" s="8" t="str">
        <f>IFERROR(VLOOKUP($B$5:$B$199,'[2]16'!$B$5:$D$200,3,0),"")</f>
        <v/>
      </c>
      <c r="AX40" s="8" t="str">
        <f>IFERROR(VLOOKUP($B$5:$B$199,'[2]16'!$B$5:$G$200,6,0),"")</f>
        <v/>
      </c>
      <c r="AY40" s="8" t="str">
        <f t="shared" si="15"/>
        <v/>
      </c>
      <c r="AZ40" s="8" t="str">
        <f>IFERROR(VLOOKUP($B$5:$B$199,'[2]17'!$B$5:$D$200,3,0),"")</f>
        <v/>
      </c>
      <c r="BA40" s="8" t="str">
        <f>IFERROR(VLOOKUP($B$5:$B$199,'[2]17'!$B$5:$G$200,6,0),"")</f>
        <v/>
      </c>
      <c r="BB40" s="8" t="str">
        <f t="shared" si="16"/>
        <v/>
      </c>
      <c r="BC40" s="8" t="str">
        <f>IFERROR(VLOOKUP($B$5:$B$199,'[2]18'!$B$5:$D$200,3,0),"")</f>
        <v/>
      </c>
      <c r="BD40" s="8" t="str">
        <f>IFERROR(VLOOKUP($B$5:$B$199,'[2]18'!$B$5:$G$200,6,0),"")</f>
        <v/>
      </c>
      <c r="BE40" s="8" t="str">
        <f t="shared" si="17"/>
        <v/>
      </c>
      <c r="BF40" s="8" t="str">
        <f>IFERROR(VLOOKUP($B$5:$B$199,'[2]19'!$B$5:$D$200,3,0),"")</f>
        <v/>
      </c>
      <c r="BG40" s="8" t="str">
        <f>IFERROR(VLOOKUP($B$5:$B$199,'[2]19'!$B$5:$G$200,6,0),"")</f>
        <v/>
      </c>
      <c r="BH40" s="8" t="str">
        <f t="shared" si="18"/>
        <v/>
      </c>
      <c r="BI40" s="8" t="str">
        <f>IFERROR(VLOOKUP($B$5:$B$199,'[2]20'!$B$5:$D$200,3,0),"")</f>
        <v/>
      </c>
      <c r="BJ40" s="8" t="str">
        <f>IFERROR(VLOOKUP($B$5:$B$199,'[2]20'!$B$5:$G$200,6,0),"")</f>
        <v/>
      </c>
      <c r="BK40" s="8" t="str">
        <f t="shared" si="19"/>
        <v/>
      </c>
      <c r="BL40" s="8" t="str">
        <f>IFERROR(VLOOKUP($B$5:$B$199,'[2]21'!$B$5:$D$200,3,0),"")</f>
        <v/>
      </c>
      <c r="BM40" s="8" t="str">
        <f>IFERROR(VLOOKUP($B$5:$B$199,'[2]21'!$B$5:$G$200,6,0),"")</f>
        <v/>
      </c>
      <c r="BN40" s="8" t="str">
        <f t="shared" si="20"/>
        <v/>
      </c>
      <c r="BO40" s="8" t="str">
        <f>IFERROR(VLOOKUP($B$5:$B$199,'[2]22'!$B$5:$D$200,3,0),"")</f>
        <v/>
      </c>
      <c r="BP40" s="8" t="str">
        <f>IFERROR(VLOOKUP($B$5:$B$199,'[2]22'!$B$5:$G$200,6,0),"")</f>
        <v/>
      </c>
      <c r="BQ40" s="8" t="str">
        <f t="shared" si="21"/>
        <v/>
      </c>
      <c r="BR40" s="8" t="str">
        <f>IFERROR(VLOOKUP($B$5:$B$199,'[2]23'!$B$5:$D$200,3,0),"")</f>
        <v/>
      </c>
      <c r="BS40" s="8" t="str">
        <f>IFERROR(VLOOKUP($B$5:$B$199,'[2]23'!$B$5:$G$200,6,0),"")</f>
        <v/>
      </c>
      <c r="BT40" s="8" t="str">
        <f t="shared" si="22"/>
        <v/>
      </c>
      <c r="BU40" s="8" t="str">
        <f>IFERROR(VLOOKUP($B$5:$B$199,'[2]24'!$B$5:$D$200,3,0),"")</f>
        <v/>
      </c>
      <c r="BV40" s="8" t="str">
        <f>IFERROR(VLOOKUP($B$5:$B$199,'[2]24'!$B$5:$G$200,6,0),"")</f>
        <v/>
      </c>
      <c r="BW40" s="8" t="str">
        <f t="shared" si="23"/>
        <v/>
      </c>
      <c r="BX40" s="8" t="str">
        <f>IFERROR(VLOOKUP($B$5:$B$199,'[2]25'!$B$5:$D$200,3,0),"")</f>
        <v/>
      </c>
      <c r="BY40" s="8" t="str">
        <f>IFERROR(VLOOKUP($B$5:$B$199,'[2]25'!$B$5:$G$200,6,0),"")</f>
        <v/>
      </c>
      <c r="BZ40" s="8" t="str">
        <f t="shared" si="24"/>
        <v/>
      </c>
      <c r="CA40" s="8" t="str">
        <f>IFERROR(VLOOKUP($B$5:$B$199,'[2]26'!$B$5:$D$200,3,0),"")</f>
        <v/>
      </c>
      <c r="CB40" s="8" t="str">
        <f>IFERROR(VLOOKUP($B$5:$B$199,'[2]26'!$B$5:$G$200,6,0),"")</f>
        <v/>
      </c>
      <c r="CC40" s="8" t="str">
        <f t="shared" si="25"/>
        <v/>
      </c>
      <c r="CD40" s="8" t="str">
        <f>IFERROR(VLOOKUP($B$5:$B$199,'[2]27'!$B$5:$D$200,3,0),"")</f>
        <v/>
      </c>
      <c r="CE40" s="8" t="str">
        <f>IFERROR(VLOOKUP($B$5:$B$199,'[2]27'!$B$5:$G$200,6,0),"")</f>
        <v/>
      </c>
      <c r="CF40" s="8" t="str">
        <f t="shared" si="26"/>
        <v/>
      </c>
      <c r="CG40" s="8" t="str">
        <f>IFERROR(VLOOKUP($B$5:$B$199,'[2]28'!$B$5:$D$200,3,0),"")</f>
        <v/>
      </c>
      <c r="CH40" s="8" t="str">
        <f>IFERROR(VLOOKUP($B$5:$B$199,'[2]28'!$B$5:$G$200,6,0),"")</f>
        <v/>
      </c>
      <c r="CI40" s="8" t="str">
        <f t="shared" si="27"/>
        <v/>
      </c>
      <c r="CJ40" s="8" t="str">
        <f>IFERROR(VLOOKUP($B$5:$B$199,'[2]29'!$B$5:$D$200,3,0),"")</f>
        <v/>
      </c>
      <c r="CK40" s="8" t="str">
        <f>IFERROR(VLOOKUP($B$5:$B$199,'[2]29'!$B$5:$G$200,6,0),"")</f>
        <v/>
      </c>
      <c r="CL40" s="8" t="str">
        <f t="shared" si="28"/>
        <v/>
      </c>
      <c r="CM40" s="8" t="str">
        <f>IFERROR(VLOOKUP($B$5:$B$199,'[2]30'!$B$5:$D$200,3,0),"")</f>
        <v/>
      </c>
      <c r="CN40" s="8" t="str">
        <f>IFERROR(VLOOKUP($B$5:$B$199,'[2]30'!$B$5:$G$200,6,0),"")</f>
        <v/>
      </c>
      <c r="CO40" s="8" t="str">
        <f t="shared" si="29"/>
        <v/>
      </c>
      <c r="CP40" s="8" t="str">
        <f>IFERROR(VLOOKUP($B$5:$B$199,'[2]31'!$B$5:$D$200,3,0),"")</f>
        <v/>
      </c>
      <c r="CQ40" s="8" t="str">
        <f>IFERROR(VLOOKUP($B$5:$B$199,'[2]31'!$B$5:$G$200,6,0),"")</f>
        <v/>
      </c>
      <c r="CR40" s="8" t="str">
        <f t="shared" si="30"/>
        <v/>
      </c>
      <c r="CT40" s="3">
        <f t="shared" si="31"/>
        <v>40</v>
      </c>
      <c r="CU40" s="3">
        <f t="shared" si="32"/>
        <v>87278.8</v>
      </c>
      <c r="CV40" s="3">
        <f t="shared" si="33"/>
        <v>3491152</v>
      </c>
      <c r="CX40">
        <f t="shared" si="34"/>
        <v>1</v>
      </c>
    </row>
    <row r="41" spans="2:102" x14ac:dyDescent="0.25">
      <c r="B41" s="7" t="s">
        <v>60</v>
      </c>
      <c r="C41" s="7" t="str">
        <f>VLOOKUP($B41,DBASE!$C$7:$D$403,2,0)</f>
        <v>WAFFLE CRUNCHOX 8GR</v>
      </c>
      <c r="D41" s="8">
        <f>IFERROR(VLOOKUP($B$5:$B$199,'[2]1'!$B$5:$D$200,3,0),"")</f>
        <v>5</v>
      </c>
      <c r="E41" s="8">
        <f>IFERROR(VLOOKUP($B$5:$B$199,'[2]1'!$B$5:$G$200,6,0),"")</f>
        <v>46312.5</v>
      </c>
      <c r="F41" s="8">
        <f t="shared" si="0"/>
        <v>231562.5</v>
      </c>
      <c r="G41" s="8" t="str">
        <f>IFERROR(VLOOKUP($B$5:$B$199,'[2]2'!$B$5:$D$200,3,0),"")</f>
        <v/>
      </c>
      <c r="H41" s="8" t="str">
        <f>IFERROR(VLOOKUP($B$5:$B$199,'[2]2'!$B$5:$G$200,6,0),"")</f>
        <v/>
      </c>
      <c r="I41" s="8" t="str">
        <f t="shared" si="1"/>
        <v/>
      </c>
      <c r="J41" s="8" t="str">
        <f>IFERROR(VLOOKUP($B$5:$B$199,'[2]3'!$B$5:$D$200,3,0),"")</f>
        <v/>
      </c>
      <c r="K41" s="8" t="str">
        <f>IFERROR(VLOOKUP($B$5:$B$199,'[2]3'!$B$5:$G$200,6,0),"")</f>
        <v/>
      </c>
      <c r="L41" s="8" t="str">
        <f t="shared" si="2"/>
        <v/>
      </c>
      <c r="M41" s="8" t="str">
        <f>IFERROR(VLOOKUP($B$5:$B$199,'[2]4'!$B$5:$D$200,3,0),"")</f>
        <v/>
      </c>
      <c r="N41" s="8" t="str">
        <f>IFERROR(VLOOKUP($B$5:$B$199,'[2]4'!$B$5:$G$200,6,0),"")</f>
        <v/>
      </c>
      <c r="O41" s="8" t="str">
        <f t="shared" si="3"/>
        <v/>
      </c>
      <c r="P41" s="8" t="str">
        <f>IFERROR(VLOOKUP($B$5:$B$199,'[2]5'!$B$5:$D$200,3,0),"")</f>
        <v/>
      </c>
      <c r="Q41" s="8" t="str">
        <f>IFERROR(VLOOKUP($B$5:$B$199,'[2]5'!$B$5:$G$200,6,0),"")</f>
        <v/>
      </c>
      <c r="R41" s="8" t="str">
        <f t="shared" si="4"/>
        <v/>
      </c>
      <c r="S41" s="8" t="str">
        <f>IFERROR(VLOOKUP($B$5:$B$199,'[2]6'!$B$5:$D$200,3,0),"")</f>
        <v/>
      </c>
      <c r="T41" s="8" t="str">
        <f>IFERROR(VLOOKUP($B$5:$B$199,'[2]6'!$B$5:$G$200,6,0),"")</f>
        <v/>
      </c>
      <c r="U41" s="8" t="str">
        <f t="shared" si="5"/>
        <v/>
      </c>
      <c r="V41" s="8" t="str">
        <f>IFERROR(VLOOKUP($B$5:$B$199,'[2]7'!$B$5:$D$200,3,0),"")</f>
        <v/>
      </c>
      <c r="W41" s="8" t="str">
        <f>IFERROR(VLOOKUP($B$5:$B$199,'[2]7'!$B$5:$G$200,6,0),"")</f>
        <v/>
      </c>
      <c r="X41" s="8" t="str">
        <f t="shared" si="6"/>
        <v/>
      </c>
      <c r="Y41" s="8" t="str">
        <f>IFERROR(VLOOKUP($B$5:$B$199,'[2]8'!$B$5:$D$200,3,0),"")</f>
        <v/>
      </c>
      <c r="Z41" s="8" t="str">
        <f>IFERROR(VLOOKUP($B$5:$B$199,'[2]8'!$B$5:$G$200,6,0),"")</f>
        <v/>
      </c>
      <c r="AA41" s="8" t="str">
        <f t="shared" si="7"/>
        <v/>
      </c>
      <c r="AB41" s="8" t="str">
        <f>IFERROR(VLOOKUP($B$5:$B$199,'[2]9'!$B$5:$D$200,3,0),"")</f>
        <v/>
      </c>
      <c r="AC41" s="8" t="str">
        <f>IFERROR(VLOOKUP($B$5:$B$199,'[2]9'!$B$5:$G$200,6,0),"")</f>
        <v/>
      </c>
      <c r="AD41" s="8" t="str">
        <f t="shared" si="8"/>
        <v/>
      </c>
      <c r="AE41" s="8" t="str">
        <f>IFERROR(VLOOKUP($B$5:$B$199,'[2]10'!$B$5:$D$200,3,0),"")</f>
        <v/>
      </c>
      <c r="AF41" s="8" t="str">
        <f>IFERROR(VLOOKUP($B$5:$B$199,'[2]10'!$B$5:$G$200,6,0),"")</f>
        <v/>
      </c>
      <c r="AG41" s="8" t="str">
        <f t="shared" si="9"/>
        <v/>
      </c>
      <c r="AH41" s="8" t="str">
        <f>IFERROR(VLOOKUP($B$5:$B$199,'[2]11'!$B$5:$D$200,3,0),"")</f>
        <v/>
      </c>
      <c r="AI41" s="8" t="str">
        <f>IFERROR(VLOOKUP($B$5:$B$199,'[2]11'!$B$5:$G$200,6,0),"")</f>
        <v/>
      </c>
      <c r="AJ41" s="8" t="str">
        <f t="shared" si="10"/>
        <v/>
      </c>
      <c r="AK41" s="8" t="str">
        <f>IFERROR(VLOOKUP($B$5:$B$199,'[2]12'!$B$5:$D$200,3,0),"")</f>
        <v/>
      </c>
      <c r="AL41" s="8" t="str">
        <f>IFERROR(VLOOKUP($B$5:$B$199,'[2]12'!$B$5:$G$200,6,0),"")</f>
        <v/>
      </c>
      <c r="AM41" s="8" t="str">
        <f t="shared" si="11"/>
        <v/>
      </c>
      <c r="AN41" s="8" t="str">
        <f>IFERROR(VLOOKUP($B$5:$B$199,'[2]13'!$B$5:$D$200,3,0),"")</f>
        <v/>
      </c>
      <c r="AO41" s="8" t="str">
        <f>IFERROR(VLOOKUP($B$5:$B$199,'[2]13'!$B$5:$G$200,6,0),"")</f>
        <v/>
      </c>
      <c r="AP41" s="8" t="str">
        <f t="shared" si="12"/>
        <v/>
      </c>
      <c r="AQ41" s="8" t="str">
        <f>IFERROR(VLOOKUP($B$5:$B$199,'[2]14'!$B$5:$D$200,3,0),"")</f>
        <v/>
      </c>
      <c r="AR41" s="8" t="str">
        <f>IFERROR(VLOOKUP($B$5:$B$199,'[2]14'!$B$5:$G$200,6,0),"")</f>
        <v/>
      </c>
      <c r="AS41" s="8" t="str">
        <f t="shared" si="13"/>
        <v/>
      </c>
      <c r="AT41" s="8" t="str">
        <f>IFERROR(VLOOKUP($B$5:$B$199,'[2]15'!$B$5:$D$200,3,0),"")</f>
        <v/>
      </c>
      <c r="AU41" s="8" t="str">
        <f>IFERROR(VLOOKUP($B$5:$B$199,'[2]15'!$B$5:$G$200,6,0),"")</f>
        <v/>
      </c>
      <c r="AV41" s="8" t="str">
        <f t="shared" si="14"/>
        <v/>
      </c>
      <c r="AW41" s="8" t="str">
        <f>IFERROR(VLOOKUP($B$5:$B$199,'[2]16'!$B$5:$D$200,3,0),"")</f>
        <v/>
      </c>
      <c r="AX41" s="8" t="str">
        <f>IFERROR(VLOOKUP($B$5:$B$199,'[2]16'!$B$5:$G$200,6,0),"")</f>
        <v/>
      </c>
      <c r="AY41" s="8" t="str">
        <f t="shared" si="15"/>
        <v/>
      </c>
      <c r="AZ41" s="8" t="str">
        <f>IFERROR(VLOOKUP($B$5:$B$199,'[2]17'!$B$5:$D$200,3,0),"")</f>
        <v/>
      </c>
      <c r="BA41" s="8" t="str">
        <f>IFERROR(VLOOKUP($B$5:$B$199,'[2]17'!$B$5:$G$200,6,0),"")</f>
        <v/>
      </c>
      <c r="BB41" s="8" t="str">
        <f t="shared" si="16"/>
        <v/>
      </c>
      <c r="BC41" s="8" t="str">
        <f>IFERROR(VLOOKUP($B$5:$B$199,'[2]18'!$B$5:$D$200,3,0),"")</f>
        <v/>
      </c>
      <c r="BD41" s="8" t="str">
        <f>IFERROR(VLOOKUP($B$5:$B$199,'[2]18'!$B$5:$G$200,6,0),"")</f>
        <v/>
      </c>
      <c r="BE41" s="8" t="str">
        <f t="shared" si="17"/>
        <v/>
      </c>
      <c r="BF41" s="8" t="str">
        <f>IFERROR(VLOOKUP($B$5:$B$199,'[2]19'!$B$5:$D$200,3,0),"")</f>
        <v/>
      </c>
      <c r="BG41" s="8" t="str">
        <f>IFERROR(VLOOKUP($B$5:$B$199,'[2]19'!$B$5:$G$200,6,0),"")</f>
        <v/>
      </c>
      <c r="BH41" s="8" t="str">
        <f t="shared" si="18"/>
        <v/>
      </c>
      <c r="BI41" s="8" t="str">
        <f>IFERROR(VLOOKUP($B$5:$B$199,'[2]20'!$B$5:$D$200,3,0),"")</f>
        <v/>
      </c>
      <c r="BJ41" s="8" t="str">
        <f>IFERROR(VLOOKUP($B$5:$B$199,'[2]20'!$B$5:$G$200,6,0),"")</f>
        <v/>
      </c>
      <c r="BK41" s="8" t="str">
        <f t="shared" si="19"/>
        <v/>
      </c>
      <c r="BL41" s="8" t="str">
        <f>IFERROR(VLOOKUP($B$5:$B$199,'[2]21'!$B$5:$D$200,3,0),"")</f>
        <v/>
      </c>
      <c r="BM41" s="8" t="str">
        <f>IFERROR(VLOOKUP($B$5:$B$199,'[2]21'!$B$5:$G$200,6,0),"")</f>
        <v/>
      </c>
      <c r="BN41" s="8" t="str">
        <f t="shared" si="20"/>
        <v/>
      </c>
      <c r="BO41" s="8" t="str">
        <f>IFERROR(VLOOKUP($B$5:$B$199,'[2]22'!$B$5:$D$200,3,0),"")</f>
        <v/>
      </c>
      <c r="BP41" s="8" t="str">
        <f>IFERROR(VLOOKUP($B$5:$B$199,'[2]22'!$B$5:$G$200,6,0),"")</f>
        <v/>
      </c>
      <c r="BQ41" s="8" t="str">
        <f t="shared" si="21"/>
        <v/>
      </c>
      <c r="BR41" s="8" t="str">
        <f>IFERROR(VLOOKUP($B$5:$B$199,'[2]23'!$B$5:$D$200,3,0),"")</f>
        <v/>
      </c>
      <c r="BS41" s="8" t="str">
        <f>IFERROR(VLOOKUP($B$5:$B$199,'[2]23'!$B$5:$G$200,6,0),"")</f>
        <v/>
      </c>
      <c r="BT41" s="8" t="str">
        <f t="shared" si="22"/>
        <v/>
      </c>
      <c r="BU41" s="8" t="str">
        <f>IFERROR(VLOOKUP($B$5:$B$199,'[2]24'!$B$5:$D$200,3,0),"")</f>
        <v/>
      </c>
      <c r="BV41" s="8" t="str">
        <f>IFERROR(VLOOKUP($B$5:$B$199,'[2]24'!$B$5:$G$200,6,0),"")</f>
        <v/>
      </c>
      <c r="BW41" s="8" t="str">
        <f t="shared" si="23"/>
        <v/>
      </c>
      <c r="BX41" s="8" t="str">
        <f>IFERROR(VLOOKUP($B$5:$B$199,'[2]25'!$B$5:$D$200,3,0),"")</f>
        <v/>
      </c>
      <c r="BY41" s="8" t="str">
        <f>IFERROR(VLOOKUP($B$5:$B$199,'[2]25'!$B$5:$G$200,6,0),"")</f>
        <v/>
      </c>
      <c r="BZ41" s="8" t="str">
        <f t="shared" si="24"/>
        <v/>
      </c>
      <c r="CA41" s="8" t="str">
        <f>IFERROR(VLOOKUP($B$5:$B$199,'[2]26'!$B$5:$D$200,3,0),"")</f>
        <v/>
      </c>
      <c r="CB41" s="8" t="str">
        <f>IFERROR(VLOOKUP($B$5:$B$199,'[2]26'!$B$5:$G$200,6,0),"")</f>
        <v/>
      </c>
      <c r="CC41" s="8" t="str">
        <f t="shared" si="25"/>
        <v/>
      </c>
      <c r="CD41" s="8" t="str">
        <f>IFERROR(VLOOKUP($B$5:$B$199,'[2]27'!$B$5:$D$200,3,0),"")</f>
        <v/>
      </c>
      <c r="CE41" s="8" t="str">
        <f>IFERROR(VLOOKUP($B$5:$B$199,'[2]27'!$B$5:$G$200,6,0),"")</f>
        <v/>
      </c>
      <c r="CF41" s="8" t="str">
        <f t="shared" si="26"/>
        <v/>
      </c>
      <c r="CG41" s="8" t="str">
        <f>IFERROR(VLOOKUP($B$5:$B$199,'[2]28'!$B$5:$D$200,3,0),"")</f>
        <v/>
      </c>
      <c r="CH41" s="8" t="str">
        <f>IFERROR(VLOOKUP($B$5:$B$199,'[2]28'!$B$5:$G$200,6,0),"")</f>
        <v/>
      </c>
      <c r="CI41" s="8" t="str">
        <f t="shared" si="27"/>
        <v/>
      </c>
      <c r="CJ41" s="8" t="str">
        <f>IFERROR(VLOOKUP($B$5:$B$199,'[2]29'!$B$5:$D$200,3,0),"")</f>
        <v/>
      </c>
      <c r="CK41" s="8" t="str">
        <f>IFERROR(VLOOKUP($B$5:$B$199,'[2]29'!$B$5:$G$200,6,0),"")</f>
        <v/>
      </c>
      <c r="CL41" s="8" t="str">
        <f t="shared" si="28"/>
        <v/>
      </c>
      <c r="CM41" s="8" t="str">
        <f>IFERROR(VLOOKUP($B$5:$B$199,'[2]30'!$B$5:$D$200,3,0),"")</f>
        <v/>
      </c>
      <c r="CN41" s="8" t="str">
        <f>IFERROR(VLOOKUP($B$5:$B$199,'[2]30'!$B$5:$G$200,6,0),"")</f>
        <v/>
      </c>
      <c r="CO41" s="8" t="str">
        <f t="shared" si="29"/>
        <v/>
      </c>
      <c r="CP41" s="8" t="str">
        <f>IFERROR(VLOOKUP($B$5:$B$199,'[2]31'!$B$5:$D$200,3,0),"")</f>
        <v/>
      </c>
      <c r="CQ41" s="8" t="str">
        <f>IFERROR(VLOOKUP($B$5:$B$199,'[2]31'!$B$5:$G$200,6,0),"")</f>
        <v/>
      </c>
      <c r="CR41" s="8" t="str">
        <f t="shared" si="30"/>
        <v/>
      </c>
      <c r="CT41" s="3">
        <f t="shared" si="31"/>
        <v>5</v>
      </c>
      <c r="CU41" s="3">
        <f t="shared" si="32"/>
        <v>46312.5</v>
      </c>
      <c r="CV41" s="3">
        <f t="shared" si="33"/>
        <v>231562.5</v>
      </c>
      <c r="CX41">
        <f t="shared" si="34"/>
        <v>1</v>
      </c>
    </row>
    <row r="42" spans="2:102" x14ac:dyDescent="0.25">
      <c r="B42" s="7"/>
      <c r="C42" s="7" t="e">
        <f>VLOOKUP($B42,DBASE!$C$7:$D$403,2,0)</f>
        <v>#N/A</v>
      </c>
      <c r="D42" s="8" t="str">
        <f>IFERROR(VLOOKUP($B$5:$B$199,'[2]1'!$B$5:$D$200,3,0),"")</f>
        <v/>
      </c>
      <c r="E42" s="8" t="str">
        <f>IFERROR(VLOOKUP($B$5:$B$199,'[2]1'!$B$5:$G$200,6,0),"")</f>
        <v/>
      </c>
      <c r="F42" s="8" t="str">
        <f t="shared" si="0"/>
        <v/>
      </c>
      <c r="G42" s="8" t="str">
        <f>IFERROR(VLOOKUP($B$5:$B$199,'[2]2'!$B$5:$D$200,3,0),"")</f>
        <v/>
      </c>
      <c r="H42" s="8" t="str">
        <f>IFERROR(VLOOKUP($B$5:$B$199,'[2]2'!$B$5:$G$200,6,0),"")</f>
        <v/>
      </c>
      <c r="I42" s="8" t="str">
        <f t="shared" si="1"/>
        <v/>
      </c>
      <c r="J42" s="8" t="str">
        <f>IFERROR(VLOOKUP($B$5:$B$199,'[2]3'!$B$5:$D$200,3,0),"")</f>
        <v/>
      </c>
      <c r="K42" s="8" t="str">
        <f>IFERROR(VLOOKUP($B$5:$B$199,'[2]3'!$B$5:$G$200,6,0),"")</f>
        <v/>
      </c>
      <c r="L42" s="8" t="str">
        <f t="shared" si="2"/>
        <v/>
      </c>
      <c r="M42" s="8" t="str">
        <f>IFERROR(VLOOKUP($B$5:$B$199,'[2]4'!$B$5:$D$200,3,0),"")</f>
        <v/>
      </c>
      <c r="N42" s="8" t="str">
        <f>IFERROR(VLOOKUP($B$5:$B$199,'[2]4'!$B$5:$G$200,6,0),"")</f>
        <v/>
      </c>
      <c r="O42" s="8" t="str">
        <f t="shared" si="3"/>
        <v/>
      </c>
      <c r="P42" s="8" t="str">
        <f>IFERROR(VLOOKUP($B$5:$B$199,'[2]5'!$B$5:$D$200,3,0),"")</f>
        <v/>
      </c>
      <c r="Q42" s="8" t="str">
        <f>IFERROR(VLOOKUP($B$5:$B$199,'[2]5'!$B$5:$G$200,6,0),"")</f>
        <v/>
      </c>
      <c r="R42" s="8" t="str">
        <f t="shared" si="4"/>
        <v/>
      </c>
      <c r="S42" s="8" t="str">
        <f>IFERROR(VLOOKUP($B$5:$B$199,'[2]6'!$B$5:$D$200,3,0),"")</f>
        <v/>
      </c>
      <c r="T42" s="8" t="str">
        <f>IFERROR(VLOOKUP($B$5:$B$199,'[2]6'!$B$5:$G$200,6,0),"")</f>
        <v/>
      </c>
      <c r="U42" s="8" t="str">
        <f t="shared" si="5"/>
        <v/>
      </c>
      <c r="V42" s="8" t="str">
        <f>IFERROR(VLOOKUP($B$5:$B$199,'[2]7'!$B$5:$D$200,3,0),"")</f>
        <v/>
      </c>
      <c r="W42" s="8" t="str">
        <f>IFERROR(VLOOKUP($B$5:$B$199,'[2]7'!$B$5:$G$200,6,0),"")</f>
        <v/>
      </c>
      <c r="X42" s="8" t="str">
        <f t="shared" si="6"/>
        <v/>
      </c>
      <c r="Y42" s="8" t="str">
        <f>IFERROR(VLOOKUP($B$5:$B$199,'[2]8'!$B$5:$D$200,3,0),"")</f>
        <v/>
      </c>
      <c r="Z42" s="8" t="str">
        <f>IFERROR(VLOOKUP($B$5:$B$199,'[2]8'!$B$5:$G$200,6,0),"")</f>
        <v/>
      </c>
      <c r="AA42" s="8" t="str">
        <f t="shared" si="7"/>
        <v/>
      </c>
      <c r="AB42" s="8" t="str">
        <f>IFERROR(VLOOKUP($B$5:$B$199,'[2]9'!$B$5:$D$200,3,0),"")</f>
        <v/>
      </c>
      <c r="AC42" s="8" t="str">
        <f>IFERROR(VLOOKUP($B$5:$B$199,'[2]9'!$B$5:$G$200,6,0),"")</f>
        <v/>
      </c>
      <c r="AD42" s="8" t="str">
        <f t="shared" si="8"/>
        <v/>
      </c>
      <c r="AE42" s="8" t="str">
        <f>IFERROR(VLOOKUP($B$5:$B$199,'[2]10'!$B$5:$D$200,3,0),"")</f>
        <v/>
      </c>
      <c r="AF42" s="8" t="str">
        <f>IFERROR(VLOOKUP($B$5:$B$199,'[2]10'!$B$5:$G$200,6,0),"")</f>
        <v/>
      </c>
      <c r="AG42" s="8" t="str">
        <f t="shared" si="9"/>
        <v/>
      </c>
      <c r="AH42" s="8" t="str">
        <f>IFERROR(VLOOKUP($B$5:$B$199,'[2]11'!$B$5:$D$200,3,0),"")</f>
        <v/>
      </c>
      <c r="AI42" s="8" t="str">
        <f>IFERROR(VLOOKUP($B$5:$B$199,'[2]11'!$B$5:$G$200,6,0),"")</f>
        <v/>
      </c>
      <c r="AJ42" s="8" t="str">
        <f t="shared" si="10"/>
        <v/>
      </c>
      <c r="AK42" s="8" t="str">
        <f>IFERROR(VLOOKUP($B$5:$B$199,'[2]12'!$B$5:$D$200,3,0),"")</f>
        <v/>
      </c>
      <c r="AL42" s="8" t="str">
        <f>IFERROR(VLOOKUP($B$5:$B$199,'[2]12'!$B$5:$G$200,6,0),"")</f>
        <v/>
      </c>
      <c r="AM42" s="8" t="str">
        <f t="shared" si="11"/>
        <v/>
      </c>
      <c r="AN42" s="8" t="str">
        <f>IFERROR(VLOOKUP($B$5:$B$199,'[2]13'!$B$5:$D$200,3,0),"")</f>
        <v/>
      </c>
      <c r="AO42" s="8" t="str">
        <f>IFERROR(VLOOKUP($B$5:$B$199,'[2]13'!$B$5:$G$200,6,0),"")</f>
        <v/>
      </c>
      <c r="AP42" s="8" t="str">
        <f t="shared" si="12"/>
        <v/>
      </c>
      <c r="AQ42" s="8" t="str">
        <f>IFERROR(VLOOKUP($B$5:$B$199,'[2]14'!$B$5:$D$200,3,0),"")</f>
        <v/>
      </c>
      <c r="AR42" s="8" t="str">
        <f>IFERROR(VLOOKUP($B$5:$B$199,'[2]14'!$B$5:$G$200,6,0),"")</f>
        <v/>
      </c>
      <c r="AS42" s="8" t="str">
        <f t="shared" si="13"/>
        <v/>
      </c>
      <c r="AT42" s="8" t="str">
        <f>IFERROR(VLOOKUP($B$5:$B$199,'[2]15'!$B$5:$D$200,3,0),"")</f>
        <v/>
      </c>
      <c r="AU42" s="8" t="str">
        <f>IFERROR(VLOOKUP($B$5:$B$199,'[2]15'!$B$5:$G$200,6,0),"")</f>
        <v/>
      </c>
      <c r="AV42" s="8" t="str">
        <f t="shared" si="14"/>
        <v/>
      </c>
      <c r="AW42" s="8" t="str">
        <f>IFERROR(VLOOKUP($B$5:$B$199,'[2]16'!$B$5:$D$200,3,0),"")</f>
        <v/>
      </c>
      <c r="AX42" s="8" t="str">
        <f>IFERROR(VLOOKUP($B$5:$B$199,'[2]16'!$B$5:$G$200,6,0),"")</f>
        <v/>
      </c>
      <c r="AY42" s="8" t="str">
        <f t="shared" si="15"/>
        <v/>
      </c>
      <c r="AZ42" s="8" t="str">
        <f>IFERROR(VLOOKUP($B$5:$B$199,'[2]17'!$B$5:$D$200,3,0),"")</f>
        <v/>
      </c>
      <c r="BA42" s="8" t="str">
        <f>IFERROR(VLOOKUP($B$5:$B$199,'[2]17'!$B$5:$G$200,6,0),"")</f>
        <v/>
      </c>
      <c r="BB42" s="8" t="str">
        <f t="shared" si="16"/>
        <v/>
      </c>
      <c r="BC42" s="8" t="str">
        <f>IFERROR(VLOOKUP($B$5:$B$199,'[2]18'!$B$5:$D$200,3,0),"")</f>
        <v/>
      </c>
      <c r="BD42" s="8" t="str">
        <f>IFERROR(VLOOKUP($B$5:$B$199,'[2]18'!$B$5:$G$200,6,0),"")</f>
        <v/>
      </c>
      <c r="BE42" s="8" t="str">
        <f t="shared" si="17"/>
        <v/>
      </c>
      <c r="BF42" s="8" t="str">
        <f>IFERROR(VLOOKUP($B$5:$B$199,'[2]19'!$B$5:$D$200,3,0),"")</f>
        <v/>
      </c>
      <c r="BG42" s="8" t="str">
        <f>IFERROR(VLOOKUP($B$5:$B$199,'[2]19'!$B$5:$G$200,6,0),"")</f>
        <v/>
      </c>
      <c r="BH42" s="8" t="str">
        <f t="shared" si="18"/>
        <v/>
      </c>
      <c r="BI42" s="8" t="str">
        <f>IFERROR(VLOOKUP($B$5:$B$199,'[2]20'!$B$5:$D$200,3,0),"")</f>
        <v/>
      </c>
      <c r="BJ42" s="8" t="str">
        <f>IFERROR(VLOOKUP($B$5:$B$199,'[2]20'!$B$5:$G$200,6,0),"")</f>
        <v/>
      </c>
      <c r="BK42" s="8" t="str">
        <f t="shared" si="19"/>
        <v/>
      </c>
      <c r="BL42" s="8" t="str">
        <f>IFERROR(VLOOKUP($B$5:$B$199,'[2]21'!$B$5:$D$200,3,0),"")</f>
        <v/>
      </c>
      <c r="BM42" s="8" t="str">
        <f>IFERROR(VLOOKUP($B$5:$B$199,'[2]21'!$B$5:$G$200,6,0),"")</f>
        <v/>
      </c>
      <c r="BN42" s="8" t="str">
        <f t="shared" si="20"/>
        <v/>
      </c>
      <c r="BO42" s="8" t="str">
        <f>IFERROR(VLOOKUP($B$5:$B$199,'[2]22'!$B$5:$D$200,3,0),"")</f>
        <v/>
      </c>
      <c r="BP42" s="8" t="str">
        <f>IFERROR(VLOOKUP($B$5:$B$199,'[2]22'!$B$5:$G$200,6,0),"")</f>
        <v/>
      </c>
      <c r="BQ42" s="8" t="str">
        <f t="shared" si="21"/>
        <v/>
      </c>
      <c r="BR42" s="8" t="str">
        <f>IFERROR(VLOOKUP($B$5:$B$199,'[2]23'!$B$5:$D$200,3,0),"")</f>
        <v/>
      </c>
      <c r="BS42" s="8" t="str">
        <f>IFERROR(VLOOKUP($B$5:$B$199,'[2]23'!$B$5:$G$200,6,0),"")</f>
        <v/>
      </c>
      <c r="BT42" s="8" t="str">
        <f t="shared" si="22"/>
        <v/>
      </c>
      <c r="BU42" s="8" t="str">
        <f>IFERROR(VLOOKUP($B$5:$B$199,'[2]24'!$B$5:$D$200,3,0),"")</f>
        <v/>
      </c>
      <c r="BV42" s="8" t="str">
        <f>IFERROR(VLOOKUP($B$5:$B$199,'[2]24'!$B$5:$G$200,6,0),"")</f>
        <v/>
      </c>
      <c r="BW42" s="8" t="str">
        <f t="shared" si="23"/>
        <v/>
      </c>
      <c r="BX42" s="8" t="str">
        <f>IFERROR(VLOOKUP($B$5:$B$199,'[2]25'!$B$5:$D$200,3,0),"")</f>
        <v/>
      </c>
      <c r="BY42" s="8" t="str">
        <f>IFERROR(VLOOKUP($B$5:$B$199,'[2]25'!$B$5:$G$200,6,0),"")</f>
        <v/>
      </c>
      <c r="BZ42" s="8" t="str">
        <f t="shared" si="24"/>
        <v/>
      </c>
      <c r="CA42" s="8" t="str">
        <f>IFERROR(VLOOKUP($B$5:$B$199,'[2]26'!$B$5:$D$200,3,0),"")</f>
        <v/>
      </c>
      <c r="CB42" s="8" t="str">
        <f>IFERROR(VLOOKUP($B$5:$B$199,'[2]26'!$B$5:$G$200,6,0),"")</f>
        <v/>
      </c>
      <c r="CC42" s="8" t="str">
        <f t="shared" si="25"/>
        <v/>
      </c>
      <c r="CD42" s="8" t="str">
        <f>IFERROR(VLOOKUP($B$5:$B$199,'[2]27'!$B$5:$D$200,3,0),"")</f>
        <v/>
      </c>
      <c r="CE42" s="8" t="str">
        <f>IFERROR(VLOOKUP($B$5:$B$199,'[2]27'!$B$5:$G$200,6,0),"")</f>
        <v/>
      </c>
      <c r="CF42" s="8" t="str">
        <f t="shared" si="26"/>
        <v/>
      </c>
      <c r="CG42" s="8" t="str">
        <f>IFERROR(VLOOKUP($B$5:$B$199,'[2]28'!$B$5:$D$200,3,0),"")</f>
        <v/>
      </c>
      <c r="CH42" s="8" t="str">
        <f>IFERROR(VLOOKUP($B$5:$B$199,'[2]28'!$B$5:$G$200,6,0),"")</f>
        <v/>
      </c>
      <c r="CI42" s="8" t="str">
        <f t="shared" si="27"/>
        <v/>
      </c>
      <c r="CJ42" s="8" t="str">
        <f>IFERROR(VLOOKUP($B$5:$B$199,'[2]29'!$B$5:$D$200,3,0),"")</f>
        <v/>
      </c>
      <c r="CK42" s="8" t="str">
        <f>IFERROR(VLOOKUP($B$5:$B$199,'[2]29'!$B$5:$G$200,6,0),"")</f>
        <v/>
      </c>
      <c r="CL42" s="8" t="str">
        <f t="shared" si="28"/>
        <v/>
      </c>
      <c r="CM42" s="8" t="str">
        <f>IFERROR(VLOOKUP($B$5:$B$199,'[2]30'!$B$5:$D$200,3,0),"")</f>
        <v/>
      </c>
      <c r="CN42" s="8" t="str">
        <f>IFERROR(VLOOKUP($B$5:$B$199,'[2]30'!$B$5:$G$200,6,0),"")</f>
        <v/>
      </c>
      <c r="CO42" s="8" t="str">
        <f t="shared" si="29"/>
        <v/>
      </c>
      <c r="CP42" s="8" t="str">
        <f>IFERROR(VLOOKUP($B$5:$B$199,'[2]31'!$B$5:$D$200,3,0),"")</f>
        <v/>
      </c>
      <c r="CQ42" s="8" t="str">
        <f>IFERROR(VLOOKUP($B$5:$B$199,'[2]31'!$B$5:$G$200,6,0),"")</f>
        <v/>
      </c>
      <c r="CR42" s="8" t="str">
        <f t="shared" si="30"/>
        <v/>
      </c>
      <c r="CT42" s="3">
        <f t="shared" si="31"/>
        <v>0</v>
      </c>
      <c r="CU42" s="3" t="str">
        <f t="shared" si="32"/>
        <v/>
      </c>
      <c r="CV42" s="3" t="str">
        <f t="shared" si="33"/>
        <v/>
      </c>
      <c r="CX42">
        <f t="shared" si="34"/>
        <v>0</v>
      </c>
    </row>
    <row r="43" spans="2:102" x14ac:dyDescent="0.25">
      <c r="B43" s="7" t="s">
        <v>90</v>
      </c>
      <c r="C43" s="7" t="str">
        <f>VLOOKUP($B43,DBASE!$C$7:$D$403,2,0)</f>
        <v>INUL JELLY</v>
      </c>
      <c r="D43" s="8" t="str">
        <f>IFERROR(VLOOKUP($B$5:$B$199,'[2]1'!$B$5:$D$200,3,0),"")</f>
        <v/>
      </c>
      <c r="E43" s="8" t="str">
        <f>IFERROR(VLOOKUP($B$5:$B$199,'[2]1'!$B$5:$G$200,6,0),"")</f>
        <v/>
      </c>
      <c r="F43" s="8" t="str">
        <f t="shared" si="0"/>
        <v/>
      </c>
      <c r="G43" s="8" t="str">
        <f>IFERROR(VLOOKUP($B$5:$B$199,'[2]2'!$B$5:$D$200,3,0),"")</f>
        <v/>
      </c>
      <c r="H43" s="8" t="str">
        <f>IFERROR(VLOOKUP($B$5:$B$199,'[2]2'!$B$5:$G$200,6,0),"")</f>
        <v/>
      </c>
      <c r="I43" s="8" t="str">
        <f t="shared" si="1"/>
        <v/>
      </c>
      <c r="J43" s="8" t="str">
        <f>IFERROR(VLOOKUP($B$5:$B$199,'[2]3'!$B$5:$D$200,3,0),"")</f>
        <v/>
      </c>
      <c r="K43" s="8" t="str">
        <f>IFERROR(VLOOKUP($B$5:$B$199,'[2]3'!$B$5:$G$200,6,0),"")</f>
        <v/>
      </c>
      <c r="L43" s="8" t="str">
        <f t="shared" si="2"/>
        <v/>
      </c>
      <c r="M43" s="8" t="str">
        <f>IFERROR(VLOOKUP($B$5:$B$199,'[2]4'!$B$5:$D$200,3,0),"")</f>
        <v/>
      </c>
      <c r="N43" s="8" t="str">
        <f>IFERROR(VLOOKUP($B$5:$B$199,'[2]4'!$B$5:$G$200,6,0),"")</f>
        <v/>
      </c>
      <c r="O43" s="8" t="str">
        <f t="shared" si="3"/>
        <v/>
      </c>
      <c r="P43" s="8">
        <f>IFERROR(VLOOKUP($B$5:$B$199,'[2]5'!$B$5:$D$200,3,0),"")</f>
        <v>10</v>
      </c>
      <c r="Q43" s="8">
        <f>IFERROR(VLOOKUP($B$5:$B$199,'[2]5'!$B$5:$G$200,6,0),"")</f>
        <v>16500</v>
      </c>
      <c r="R43" s="8">
        <f t="shared" si="4"/>
        <v>165000</v>
      </c>
      <c r="S43" s="8" t="str">
        <f>IFERROR(VLOOKUP($B$5:$B$199,'[2]6'!$B$5:$D$200,3,0),"")</f>
        <v/>
      </c>
      <c r="T43" s="8" t="str">
        <f>IFERROR(VLOOKUP($B$5:$B$199,'[2]6'!$B$5:$G$200,6,0),"")</f>
        <v/>
      </c>
      <c r="U43" s="8" t="str">
        <f t="shared" si="5"/>
        <v/>
      </c>
      <c r="V43" s="8" t="str">
        <f>IFERROR(VLOOKUP($B$5:$B$199,'[2]7'!$B$5:$D$200,3,0),"")</f>
        <v/>
      </c>
      <c r="W43" s="8" t="str">
        <f>IFERROR(VLOOKUP($B$5:$B$199,'[2]7'!$B$5:$G$200,6,0),"")</f>
        <v/>
      </c>
      <c r="X43" s="8" t="str">
        <f t="shared" si="6"/>
        <v/>
      </c>
      <c r="Y43" s="8" t="str">
        <f>IFERROR(VLOOKUP($B$5:$B$199,'[2]8'!$B$5:$D$200,3,0),"")</f>
        <v/>
      </c>
      <c r="Z43" s="8" t="str">
        <f>IFERROR(VLOOKUP($B$5:$B$199,'[2]8'!$B$5:$G$200,6,0),"")</f>
        <v/>
      </c>
      <c r="AA43" s="8" t="str">
        <f t="shared" si="7"/>
        <v/>
      </c>
      <c r="AB43" s="8" t="str">
        <f>IFERROR(VLOOKUP($B$5:$B$199,'[2]9'!$B$5:$D$200,3,0),"")</f>
        <v/>
      </c>
      <c r="AC43" s="8" t="str">
        <f>IFERROR(VLOOKUP($B$5:$B$199,'[2]9'!$B$5:$G$200,6,0),"")</f>
        <v/>
      </c>
      <c r="AD43" s="8" t="str">
        <f t="shared" si="8"/>
        <v/>
      </c>
      <c r="AE43" s="8" t="str">
        <f>IFERROR(VLOOKUP($B$5:$B$199,'[2]10'!$B$5:$D$200,3,0),"")</f>
        <v/>
      </c>
      <c r="AF43" s="8" t="str">
        <f>IFERROR(VLOOKUP($B$5:$B$199,'[2]10'!$B$5:$G$200,6,0),"")</f>
        <v/>
      </c>
      <c r="AG43" s="8" t="str">
        <f t="shared" si="9"/>
        <v/>
      </c>
      <c r="AH43" s="8" t="str">
        <f>IFERROR(VLOOKUP($B$5:$B$199,'[2]11'!$B$5:$D$200,3,0),"")</f>
        <v/>
      </c>
      <c r="AI43" s="8" t="str">
        <f>IFERROR(VLOOKUP($B$5:$B$199,'[2]11'!$B$5:$G$200,6,0),"")</f>
        <v/>
      </c>
      <c r="AJ43" s="8" t="str">
        <f t="shared" si="10"/>
        <v/>
      </c>
      <c r="AK43" s="8" t="str">
        <f>IFERROR(VLOOKUP($B$5:$B$199,'[2]12'!$B$5:$D$200,3,0),"")</f>
        <v/>
      </c>
      <c r="AL43" s="8" t="str">
        <f>IFERROR(VLOOKUP($B$5:$B$199,'[2]12'!$B$5:$G$200,6,0),"")</f>
        <v/>
      </c>
      <c r="AM43" s="8" t="str">
        <f t="shared" si="11"/>
        <v/>
      </c>
      <c r="AN43" s="8" t="str">
        <f>IFERROR(VLOOKUP($B$5:$B$199,'[2]13'!$B$5:$D$200,3,0),"")</f>
        <v/>
      </c>
      <c r="AO43" s="8" t="str">
        <f>IFERROR(VLOOKUP($B$5:$B$199,'[2]13'!$B$5:$G$200,6,0),"")</f>
        <v/>
      </c>
      <c r="AP43" s="8" t="str">
        <f t="shared" si="12"/>
        <v/>
      </c>
      <c r="AQ43" s="8" t="str">
        <f>IFERROR(VLOOKUP($B$5:$B$199,'[2]14'!$B$5:$D$200,3,0),"")</f>
        <v/>
      </c>
      <c r="AR43" s="8" t="str">
        <f>IFERROR(VLOOKUP($B$5:$B$199,'[2]14'!$B$5:$G$200,6,0),"")</f>
        <v/>
      </c>
      <c r="AS43" s="8" t="str">
        <f t="shared" si="13"/>
        <v/>
      </c>
      <c r="AT43" s="8" t="str">
        <f>IFERROR(VLOOKUP($B$5:$B$199,'[2]15'!$B$5:$D$200,3,0),"")</f>
        <v/>
      </c>
      <c r="AU43" s="8" t="str">
        <f>IFERROR(VLOOKUP($B$5:$B$199,'[2]15'!$B$5:$G$200,6,0),"")</f>
        <v/>
      </c>
      <c r="AV43" s="8" t="str">
        <f t="shared" si="14"/>
        <v/>
      </c>
      <c r="AW43" s="8" t="str">
        <f>IFERROR(VLOOKUP($B$5:$B$199,'[2]16'!$B$5:$D$200,3,0),"")</f>
        <v/>
      </c>
      <c r="AX43" s="8" t="str">
        <f>IFERROR(VLOOKUP($B$5:$B$199,'[2]16'!$B$5:$G$200,6,0),"")</f>
        <v/>
      </c>
      <c r="AY43" s="8" t="str">
        <f t="shared" si="15"/>
        <v/>
      </c>
      <c r="AZ43" s="8" t="str">
        <f>IFERROR(VLOOKUP($B$5:$B$199,'[2]17'!$B$5:$D$200,3,0),"")</f>
        <v/>
      </c>
      <c r="BA43" s="8" t="str">
        <f>IFERROR(VLOOKUP($B$5:$B$199,'[2]17'!$B$5:$G$200,6,0),"")</f>
        <v/>
      </c>
      <c r="BB43" s="8" t="str">
        <f t="shared" si="16"/>
        <v/>
      </c>
      <c r="BC43" s="8" t="str">
        <f>IFERROR(VLOOKUP($B$5:$B$199,'[2]18'!$B$5:$D$200,3,0),"")</f>
        <v/>
      </c>
      <c r="BD43" s="8" t="str">
        <f>IFERROR(VLOOKUP($B$5:$B$199,'[2]18'!$B$5:$G$200,6,0),"")</f>
        <v/>
      </c>
      <c r="BE43" s="8" t="str">
        <f t="shared" si="17"/>
        <v/>
      </c>
      <c r="BF43" s="8" t="str">
        <f>IFERROR(VLOOKUP($B$5:$B$199,'[2]19'!$B$5:$D$200,3,0),"")</f>
        <v/>
      </c>
      <c r="BG43" s="8" t="str">
        <f>IFERROR(VLOOKUP($B$5:$B$199,'[2]19'!$B$5:$G$200,6,0),"")</f>
        <v/>
      </c>
      <c r="BH43" s="8" t="str">
        <f t="shared" si="18"/>
        <v/>
      </c>
      <c r="BI43" s="8" t="str">
        <f>IFERROR(VLOOKUP($B$5:$B$199,'[2]20'!$B$5:$D$200,3,0),"")</f>
        <v/>
      </c>
      <c r="BJ43" s="8" t="str">
        <f>IFERROR(VLOOKUP($B$5:$B$199,'[2]20'!$B$5:$G$200,6,0),"")</f>
        <v/>
      </c>
      <c r="BK43" s="8" t="str">
        <f t="shared" si="19"/>
        <v/>
      </c>
      <c r="BL43" s="8" t="str">
        <f>IFERROR(VLOOKUP($B$5:$B$199,'[2]21'!$B$5:$D$200,3,0),"")</f>
        <v/>
      </c>
      <c r="BM43" s="8" t="str">
        <f>IFERROR(VLOOKUP($B$5:$B$199,'[2]21'!$B$5:$G$200,6,0),"")</f>
        <v/>
      </c>
      <c r="BN43" s="8" t="str">
        <f t="shared" si="20"/>
        <v/>
      </c>
      <c r="BO43" s="8" t="str">
        <f>IFERROR(VLOOKUP($B$5:$B$199,'[2]22'!$B$5:$D$200,3,0),"")</f>
        <v/>
      </c>
      <c r="BP43" s="8" t="str">
        <f>IFERROR(VLOOKUP($B$5:$B$199,'[2]22'!$B$5:$G$200,6,0),"")</f>
        <v/>
      </c>
      <c r="BQ43" s="8" t="str">
        <f t="shared" si="21"/>
        <v/>
      </c>
      <c r="BR43" s="8" t="str">
        <f>IFERROR(VLOOKUP($B$5:$B$199,'[2]23'!$B$5:$D$200,3,0),"")</f>
        <v/>
      </c>
      <c r="BS43" s="8" t="str">
        <f>IFERROR(VLOOKUP($B$5:$B$199,'[2]23'!$B$5:$G$200,6,0),"")</f>
        <v/>
      </c>
      <c r="BT43" s="8" t="str">
        <f t="shared" si="22"/>
        <v/>
      </c>
      <c r="BU43" s="8" t="str">
        <f>IFERROR(VLOOKUP($B$5:$B$199,'[2]24'!$B$5:$D$200,3,0),"")</f>
        <v/>
      </c>
      <c r="BV43" s="8" t="str">
        <f>IFERROR(VLOOKUP($B$5:$B$199,'[2]24'!$B$5:$G$200,6,0),"")</f>
        <v/>
      </c>
      <c r="BW43" s="8" t="str">
        <f t="shared" si="23"/>
        <v/>
      </c>
      <c r="BX43" s="8" t="str">
        <f>IFERROR(VLOOKUP($B$5:$B$199,'[2]25'!$B$5:$D$200,3,0),"")</f>
        <v/>
      </c>
      <c r="BY43" s="8" t="str">
        <f>IFERROR(VLOOKUP($B$5:$B$199,'[2]25'!$B$5:$G$200,6,0),"")</f>
        <v/>
      </c>
      <c r="BZ43" s="8" t="str">
        <f t="shared" si="24"/>
        <v/>
      </c>
      <c r="CA43" s="8" t="str">
        <f>IFERROR(VLOOKUP($B$5:$B$199,'[2]26'!$B$5:$D$200,3,0),"")</f>
        <v/>
      </c>
      <c r="CB43" s="8" t="str">
        <f>IFERROR(VLOOKUP($B$5:$B$199,'[2]26'!$B$5:$G$200,6,0),"")</f>
        <v/>
      </c>
      <c r="CC43" s="8" t="str">
        <f t="shared" si="25"/>
        <v/>
      </c>
      <c r="CD43" s="8" t="str">
        <f>IFERROR(VLOOKUP($B$5:$B$199,'[2]27'!$B$5:$D$200,3,0),"")</f>
        <v/>
      </c>
      <c r="CE43" s="8" t="str">
        <f>IFERROR(VLOOKUP($B$5:$B$199,'[2]27'!$B$5:$G$200,6,0),"")</f>
        <v/>
      </c>
      <c r="CF43" s="8" t="str">
        <f t="shared" si="26"/>
        <v/>
      </c>
      <c r="CG43" s="8" t="str">
        <f>IFERROR(VLOOKUP($B$5:$B$199,'[2]28'!$B$5:$D$200,3,0),"")</f>
        <v/>
      </c>
      <c r="CH43" s="8" t="str">
        <f>IFERROR(VLOOKUP($B$5:$B$199,'[2]28'!$B$5:$G$200,6,0),"")</f>
        <v/>
      </c>
      <c r="CI43" s="8" t="str">
        <f t="shared" si="27"/>
        <v/>
      </c>
      <c r="CJ43" s="8" t="str">
        <f>IFERROR(VLOOKUP($B$5:$B$199,'[2]29'!$B$5:$D$200,3,0),"")</f>
        <v/>
      </c>
      <c r="CK43" s="8" t="str">
        <f>IFERROR(VLOOKUP($B$5:$B$199,'[2]29'!$B$5:$G$200,6,0),"")</f>
        <v/>
      </c>
      <c r="CL43" s="8" t="str">
        <f t="shared" si="28"/>
        <v/>
      </c>
      <c r="CM43" s="8" t="str">
        <f>IFERROR(VLOOKUP($B$5:$B$199,'[2]30'!$B$5:$D$200,3,0),"")</f>
        <v/>
      </c>
      <c r="CN43" s="8" t="str">
        <f>IFERROR(VLOOKUP($B$5:$B$199,'[2]30'!$B$5:$G$200,6,0),"")</f>
        <v/>
      </c>
      <c r="CO43" s="8" t="str">
        <f t="shared" si="29"/>
        <v/>
      </c>
      <c r="CP43" s="8" t="str">
        <f>IFERROR(VLOOKUP($B$5:$B$199,'[2]31'!$B$5:$D$200,3,0),"")</f>
        <v/>
      </c>
      <c r="CQ43" s="8" t="str">
        <f>IFERROR(VLOOKUP($B$5:$B$199,'[2]31'!$B$5:$G$200,6,0),"")</f>
        <v/>
      </c>
      <c r="CR43" s="8" t="str">
        <f t="shared" si="30"/>
        <v/>
      </c>
      <c r="CT43" s="3">
        <f t="shared" si="31"/>
        <v>10</v>
      </c>
      <c r="CU43" s="3">
        <f t="shared" si="32"/>
        <v>16500</v>
      </c>
      <c r="CV43" s="3">
        <f t="shared" si="33"/>
        <v>165000</v>
      </c>
      <c r="CX43">
        <f t="shared" si="34"/>
        <v>1</v>
      </c>
    </row>
    <row r="44" spans="2:102" x14ac:dyDescent="0.25">
      <c r="B44" s="7" t="s">
        <v>91</v>
      </c>
      <c r="C44" s="7" t="str">
        <f>VLOOKUP($B44,DBASE!$C$7:$D$403,2,0)</f>
        <v>DONALD PUDING CUP</v>
      </c>
      <c r="D44" s="8" t="str">
        <f>IFERROR(VLOOKUP($B$5:$B$199,'[2]1'!$B$5:$D$200,3,0),"")</f>
        <v/>
      </c>
      <c r="E44" s="8" t="str">
        <f>IFERROR(VLOOKUP($B$5:$B$199,'[2]1'!$B$5:$G$200,6,0),"")</f>
        <v/>
      </c>
      <c r="F44" s="8" t="str">
        <f t="shared" si="0"/>
        <v/>
      </c>
      <c r="G44" s="8" t="str">
        <f>IFERROR(VLOOKUP($B$5:$B$199,'[2]2'!$B$5:$D$200,3,0),"")</f>
        <v/>
      </c>
      <c r="H44" s="8" t="str">
        <f>IFERROR(VLOOKUP($B$5:$B$199,'[2]2'!$B$5:$G$200,6,0),"")</f>
        <v/>
      </c>
      <c r="I44" s="8" t="str">
        <f t="shared" si="1"/>
        <v/>
      </c>
      <c r="J44" s="8" t="str">
        <f>IFERROR(VLOOKUP($B$5:$B$199,'[2]3'!$B$5:$D$200,3,0),"")</f>
        <v/>
      </c>
      <c r="K44" s="8" t="str">
        <f>IFERROR(VLOOKUP($B$5:$B$199,'[2]3'!$B$5:$G$200,6,0),"")</f>
        <v/>
      </c>
      <c r="L44" s="8" t="str">
        <f t="shared" si="2"/>
        <v/>
      </c>
      <c r="M44" s="8" t="str">
        <f>IFERROR(VLOOKUP($B$5:$B$199,'[2]4'!$B$5:$D$200,3,0),"")</f>
        <v/>
      </c>
      <c r="N44" s="8" t="str">
        <f>IFERROR(VLOOKUP($B$5:$B$199,'[2]4'!$B$5:$G$200,6,0),"")</f>
        <v/>
      </c>
      <c r="O44" s="8" t="str">
        <f t="shared" si="3"/>
        <v/>
      </c>
      <c r="P44" s="8">
        <f>IFERROR(VLOOKUP($B$5:$B$199,'[2]5'!$B$5:$D$200,3,0),"")</f>
        <v>31</v>
      </c>
      <c r="Q44" s="8">
        <f>IFERROR(VLOOKUP($B$5:$B$199,'[2]5'!$B$5:$G$200,6,0),"")</f>
        <v>17177.419354838708</v>
      </c>
      <c r="R44" s="8">
        <f t="shared" si="4"/>
        <v>532500</v>
      </c>
      <c r="S44" s="8" t="str">
        <f>IFERROR(VLOOKUP($B$5:$B$199,'[2]6'!$B$5:$D$200,3,0),"")</f>
        <v/>
      </c>
      <c r="T44" s="8" t="str">
        <f>IFERROR(VLOOKUP($B$5:$B$199,'[2]6'!$B$5:$G$200,6,0),"")</f>
        <v/>
      </c>
      <c r="U44" s="8" t="str">
        <f t="shared" si="5"/>
        <v/>
      </c>
      <c r="V44" s="8" t="str">
        <f>IFERROR(VLOOKUP($B$5:$B$199,'[2]7'!$B$5:$D$200,3,0),"")</f>
        <v/>
      </c>
      <c r="W44" s="8" t="str">
        <f>IFERROR(VLOOKUP($B$5:$B$199,'[2]7'!$B$5:$G$200,6,0),"")</f>
        <v/>
      </c>
      <c r="X44" s="8" t="str">
        <f t="shared" si="6"/>
        <v/>
      </c>
      <c r="Y44" s="8" t="str">
        <f>IFERROR(VLOOKUP($B$5:$B$199,'[2]8'!$B$5:$D$200,3,0),"")</f>
        <v/>
      </c>
      <c r="Z44" s="8" t="str">
        <f>IFERROR(VLOOKUP($B$5:$B$199,'[2]8'!$B$5:$G$200,6,0),"")</f>
        <v/>
      </c>
      <c r="AA44" s="8" t="str">
        <f t="shared" si="7"/>
        <v/>
      </c>
      <c r="AB44" s="8" t="str">
        <f>IFERROR(VLOOKUP($B$5:$B$199,'[2]9'!$B$5:$D$200,3,0),"")</f>
        <v/>
      </c>
      <c r="AC44" s="8" t="str">
        <f>IFERROR(VLOOKUP($B$5:$B$199,'[2]9'!$B$5:$G$200,6,0),"")</f>
        <v/>
      </c>
      <c r="AD44" s="8" t="str">
        <f t="shared" si="8"/>
        <v/>
      </c>
      <c r="AE44" s="8" t="str">
        <f>IFERROR(VLOOKUP($B$5:$B$199,'[2]10'!$B$5:$D$200,3,0),"")</f>
        <v/>
      </c>
      <c r="AF44" s="8" t="str">
        <f>IFERROR(VLOOKUP($B$5:$B$199,'[2]10'!$B$5:$G$200,6,0),"")</f>
        <v/>
      </c>
      <c r="AG44" s="8" t="str">
        <f t="shared" si="9"/>
        <v/>
      </c>
      <c r="AH44" s="8" t="str">
        <f>IFERROR(VLOOKUP($B$5:$B$199,'[2]11'!$B$5:$D$200,3,0),"")</f>
        <v/>
      </c>
      <c r="AI44" s="8" t="str">
        <f>IFERROR(VLOOKUP($B$5:$B$199,'[2]11'!$B$5:$G$200,6,0),"")</f>
        <v/>
      </c>
      <c r="AJ44" s="8" t="str">
        <f t="shared" si="10"/>
        <v/>
      </c>
      <c r="AK44" s="8" t="str">
        <f>IFERROR(VLOOKUP($B$5:$B$199,'[2]12'!$B$5:$D$200,3,0),"")</f>
        <v/>
      </c>
      <c r="AL44" s="8" t="str">
        <f>IFERROR(VLOOKUP($B$5:$B$199,'[2]12'!$B$5:$G$200,6,0),"")</f>
        <v/>
      </c>
      <c r="AM44" s="8" t="str">
        <f t="shared" si="11"/>
        <v/>
      </c>
      <c r="AN44" s="8" t="str">
        <f>IFERROR(VLOOKUP($B$5:$B$199,'[2]13'!$B$5:$D$200,3,0),"")</f>
        <v/>
      </c>
      <c r="AO44" s="8" t="str">
        <f>IFERROR(VLOOKUP($B$5:$B$199,'[2]13'!$B$5:$G$200,6,0),"")</f>
        <v/>
      </c>
      <c r="AP44" s="8" t="str">
        <f t="shared" si="12"/>
        <v/>
      </c>
      <c r="AQ44" s="8" t="str">
        <f>IFERROR(VLOOKUP($B$5:$B$199,'[2]14'!$B$5:$D$200,3,0),"")</f>
        <v/>
      </c>
      <c r="AR44" s="8" t="str">
        <f>IFERROR(VLOOKUP($B$5:$B$199,'[2]14'!$B$5:$G$200,6,0),"")</f>
        <v/>
      </c>
      <c r="AS44" s="8" t="str">
        <f t="shared" si="13"/>
        <v/>
      </c>
      <c r="AT44" s="8" t="str">
        <f>IFERROR(VLOOKUP($B$5:$B$199,'[2]15'!$B$5:$D$200,3,0),"")</f>
        <v/>
      </c>
      <c r="AU44" s="8" t="str">
        <f>IFERROR(VLOOKUP($B$5:$B$199,'[2]15'!$B$5:$G$200,6,0),"")</f>
        <v/>
      </c>
      <c r="AV44" s="8" t="str">
        <f t="shared" si="14"/>
        <v/>
      </c>
      <c r="AW44" s="8" t="str">
        <f>IFERROR(VLOOKUP($B$5:$B$199,'[2]16'!$B$5:$D$200,3,0),"")</f>
        <v/>
      </c>
      <c r="AX44" s="8" t="str">
        <f>IFERROR(VLOOKUP($B$5:$B$199,'[2]16'!$B$5:$G$200,6,0),"")</f>
        <v/>
      </c>
      <c r="AY44" s="8" t="str">
        <f t="shared" si="15"/>
        <v/>
      </c>
      <c r="AZ44" s="8" t="str">
        <f>IFERROR(VLOOKUP($B$5:$B$199,'[2]17'!$B$5:$D$200,3,0),"")</f>
        <v/>
      </c>
      <c r="BA44" s="8" t="str">
        <f>IFERROR(VLOOKUP($B$5:$B$199,'[2]17'!$B$5:$G$200,6,0),"")</f>
        <v/>
      </c>
      <c r="BB44" s="8" t="str">
        <f t="shared" si="16"/>
        <v/>
      </c>
      <c r="BC44" s="8" t="str">
        <f>IFERROR(VLOOKUP($B$5:$B$199,'[2]18'!$B$5:$D$200,3,0),"")</f>
        <v/>
      </c>
      <c r="BD44" s="8" t="str">
        <f>IFERROR(VLOOKUP($B$5:$B$199,'[2]18'!$B$5:$G$200,6,0),"")</f>
        <v/>
      </c>
      <c r="BE44" s="8" t="str">
        <f t="shared" si="17"/>
        <v/>
      </c>
      <c r="BF44" s="8" t="str">
        <f>IFERROR(VLOOKUP($B$5:$B$199,'[2]19'!$B$5:$D$200,3,0),"")</f>
        <v/>
      </c>
      <c r="BG44" s="8" t="str">
        <f>IFERROR(VLOOKUP($B$5:$B$199,'[2]19'!$B$5:$G$200,6,0),"")</f>
        <v/>
      </c>
      <c r="BH44" s="8" t="str">
        <f t="shared" si="18"/>
        <v/>
      </c>
      <c r="BI44" s="8" t="str">
        <f>IFERROR(VLOOKUP($B$5:$B$199,'[2]20'!$B$5:$D$200,3,0),"")</f>
        <v/>
      </c>
      <c r="BJ44" s="8" t="str">
        <f>IFERROR(VLOOKUP($B$5:$B$199,'[2]20'!$B$5:$G$200,6,0),"")</f>
        <v/>
      </c>
      <c r="BK44" s="8" t="str">
        <f t="shared" si="19"/>
        <v/>
      </c>
      <c r="BL44" s="8" t="str">
        <f>IFERROR(VLOOKUP($B$5:$B$199,'[2]21'!$B$5:$D$200,3,0),"")</f>
        <v/>
      </c>
      <c r="BM44" s="8" t="str">
        <f>IFERROR(VLOOKUP($B$5:$B$199,'[2]21'!$B$5:$G$200,6,0),"")</f>
        <v/>
      </c>
      <c r="BN44" s="8" t="str">
        <f t="shared" si="20"/>
        <v/>
      </c>
      <c r="BO44" s="8" t="str">
        <f>IFERROR(VLOOKUP($B$5:$B$199,'[2]22'!$B$5:$D$200,3,0),"")</f>
        <v/>
      </c>
      <c r="BP44" s="8" t="str">
        <f>IFERROR(VLOOKUP($B$5:$B$199,'[2]22'!$B$5:$G$200,6,0),"")</f>
        <v/>
      </c>
      <c r="BQ44" s="8" t="str">
        <f t="shared" si="21"/>
        <v/>
      </c>
      <c r="BR44" s="8" t="str">
        <f>IFERROR(VLOOKUP($B$5:$B$199,'[2]23'!$B$5:$D$200,3,0),"")</f>
        <v/>
      </c>
      <c r="BS44" s="8" t="str">
        <f>IFERROR(VLOOKUP($B$5:$B$199,'[2]23'!$B$5:$G$200,6,0),"")</f>
        <v/>
      </c>
      <c r="BT44" s="8" t="str">
        <f t="shared" si="22"/>
        <v/>
      </c>
      <c r="BU44" s="8" t="str">
        <f>IFERROR(VLOOKUP($B$5:$B$199,'[2]24'!$B$5:$D$200,3,0),"")</f>
        <v/>
      </c>
      <c r="BV44" s="8" t="str">
        <f>IFERROR(VLOOKUP($B$5:$B$199,'[2]24'!$B$5:$G$200,6,0),"")</f>
        <v/>
      </c>
      <c r="BW44" s="8" t="str">
        <f t="shared" si="23"/>
        <v/>
      </c>
      <c r="BX44" s="8" t="str">
        <f>IFERROR(VLOOKUP($B$5:$B$199,'[2]25'!$B$5:$D$200,3,0),"")</f>
        <v/>
      </c>
      <c r="BY44" s="8" t="str">
        <f>IFERROR(VLOOKUP($B$5:$B$199,'[2]25'!$B$5:$G$200,6,0),"")</f>
        <v/>
      </c>
      <c r="BZ44" s="8" t="str">
        <f t="shared" si="24"/>
        <v/>
      </c>
      <c r="CA44" s="8" t="str">
        <f>IFERROR(VLOOKUP($B$5:$B$199,'[2]26'!$B$5:$D$200,3,0),"")</f>
        <v/>
      </c>
      <c r="CB44" s="8" t="str">
        <f>IFERROR(VLOOKUP($B$5:$B$199,'[2]26'!$B$5:$G$200,6,0),"")</f>
        <v/>
      </c>
      <c r="CC44" s="8" t="str">
        <f t="shared" si="25"/>
        <v/>
      </c>
      <c r="CD44" s="8" t="str">
        <f>IFERROR(VLOOKUP($B$5:$B$199,'[2]27'!$B$5:$D$200,3,0),"")</f>
        <v/>
      </c>
      <c r="CE44" s="8" t="str">
        <f>IFERROR(VLOOKUP($B$5:$B$199,'[2]27'!$B$5:$G$200,6,0),"")</f>
        <v/>
      </c>
      <c r="CF44" s="8" t="str">
        <f t="shared" si="26"/>
        <v/>
      </c>
      <c r="CG44" s="8" t="str">
        <f>IFERROR(VLOOKUP($B$5:$B$199,'[2]28'!$B$5:$D$200,3,0),"")</f>
        <v/>
      </c>
      <c r="CH44" s="8" t="str">
        <f>IFERROR(VLOOKUP($B$5:$B$199,'[2]28'!$B$5:$G$200,6,0),"")</f>
        <v/>
      </c>
      <c r="CI44" s="8" t="str">
        <f t="shared" si="27"/>
        <v/>
      </c>
      <c r="CJ44" s="8" t="str">
        <f>IFERROR(VLOOKUP($B$5:$B$199,'[2]29'!$B$5:$D$200,3,0),"")</f>
        <v/>
      </c>
      <c r="CK44" s="8" t="str">
        <f>IFERROR(VLOOKUP($B$5:$B$199,'[2]29'!$B$5:$G$200,6,0),"")</f>
        <v/>
      </c>
      <c r="CL44" s="8" t="str">
        <f t="shared" si="28"/>
        <v/>
      </c>
      <c r="CM44" s="8" t="str">
        <f>IFERROR(VLOOKUP($B$5:$B$199,'[2]30'!$B$5:$D$200,3,0),"")</f>
        <v/>
      </c>
      <c r="CN44" s="8" t="str">
        <f>IFERROR(VLOOKUP($B$5:$B$199,'[2]30'!$B$5:$G$200,6,0),"")</f>
        <v/>
      </c>
      <c r="CO44" s="8" t="str">
        <f t="shared" si="29"/>
        <v/>
      </c>
      <c r="CP44" s="8" t="str">
        <f>IFERROR(VLOOKUP($B$5:$B$199,'[2]31'!$B$5:$D$200,3,0),"")</f>
        <v/>
      </c>
      <c r="CQ44" s="8" t="str">
        <f>IFERROR(VLOOKUP($B$5:$B$199,'[2]31'!$B$5:$G$200,6,0),"")</f>
        <v/>
      </c>
      <c r="CR44" s="8" t="str">
        <f t="shared" si="30"/>
        <v/>
      </c>
      <c r="CT44" s="3">
        <f t="shared" si="31"/>
        <v>31</v>
      </c>
      <c r="CU44" s="3">
        <f t="shared" si="32"/>
        <v>17177.419354838708</v>
      </c>
      <c r="CV44" s="3">
        <f t="shared" si="33"/>
        <v>532500</v>
      </c>
      <c r="CX44">
        <f t="shared" si="34"/>
        <v>1</v>
      </c>
    </row>
    <row r="45" spans="2:102" x14ac:dyDescent="0.25">
      <c r="B45" s="7" t="s">
        <v>126</v>
      </c>
      <c r="C45" s="7" t="str">
        <f>VLOOKUP($B45,DBASE!$C$7:$D$403,2,0)</f>
        <v>DONALD BIG STICK TUPPERWARE</v>
      </c>
      <c r="D45" s="8" t="str">
        <f>IFERROR(VLOOKUP($B$5:$B$199,'[2]1'!$B$5:$D$200,3,0),"")</f>
        <v/>
      </c>
      <c r="E45" s="8" t="str">
        <f>IFERROR(VLOOKUP($B$5:$B$199,'[2]1'!$B$5:$G$200,6,0),"")</f>
        <v/>
      </c>
      <c r="F45" s="8" t="str">
        <f t="shared" si="0"/>
        <v/>
      </c>
      <c r="G45" s="8" t="str">
        <f>IFERROR(VLOOKUP($B$5:$B$199,'[2]2'!$B$5:$D$200,3,0),"")</f>
        <v/>
      </c>
      <c r="H45" s="8" t="str">
        <f>IFERROR(VLOOKUP($B$5:$B$199,'[2]2'!$B$5:$G$200,6,0),"")</f>
        <v/>
      </c>
      <c r="I45" s="8" t="str">
        <f t="shared" si="1"/>
        <v/>
      </c>
      <c r="J45" s="8" t="str">
        <f>IFERROR(VLOOKUP($B$5:$B$199,'[2]3'!$B$5:$D$200,3,0),"")</f>
        <v/>
      </c>
      <c r="K45" s="8" t="str">
        <f>IFERROR(VLOOKUP($B$5:$B$199,'[2]3'!$B$5:$G$200,6,0),"")</f>
        <v/>
      </c>
      <c r="L45" s="8" t="str">
        <f t="shared" si="2"/>
        <v/>
      </c>
      <c r="M45" s="8" t="str">
        <f>IFERROR(VLOOKUP($B$5:$B$199,'[2]4'!$B$5:$D$200,3,0),"")</f>
        <v/>
      </c>
      <c r="N45" s="8" t="str">
        <f>IFERROR(VLOOKUP($B$5:$B$199,'[2]4'!$B$5:$G$200,6,0),"")</f>
        <v/>
      </c>
      <c r="O45" s="8" t="str">
        <f t="shared" si="3"/>
        <v/>
      </c>
      <c r="P45" s="8">
        <f>IFERROR(VLOOKUP($B$5:$B$199,'[2]5'!$B$5:$D$200,3,0),"")</f>
        <v>10</v>
      </c>
      <c r="Q45" s="8">
        <f>IFERROR(VLOOKUP($B$5:$B$199,'[2]5'!$B$5:$G$200,6,0),"")</f>
        <v>53000</v>
      </c>
      <c r="R45" s="8">
        <f t="shared" si="4"/>
        <v>530000</v>
      </c>
      <c r="S45" s="8" t="str">
        <f>IFERROR(VLOOKUP($B$5:$B$199,'[2]6'!$B$5:$D$200,3,0),"")</f>
        <v/>
      </c>
      <c r="T45" s="8" t="str">
        <f>IFERROR(VLOOKUP($B$5:$B$199,'[2]6'!$B$5:$G$200,6,0),"")</f>
        <v/>
      </c>
      <c r="U45" s="8" t="str">
        <f t="shared" si="5"/>
        <v/>
      </c>
      <c r="V45" s="8" t="str">
        <f>IFERROR(VLOOKUP($B$5:$B$199,'[2]7'!$B$5:$D$200,3,0),"")</f>
        <v/>
      </c>
      <c r="W45" s="8" t="str">
        <f>IFERROR(VLOOKUP($B$5:$B$199,'[2]7'!$B$5:$G$200,6,0),"")</f>
        <v/>
      </c>
      <c r="X45" s="8" t="str">
        <f t="shared" si="6"/>
        <v/>
      </c>
      <c r="Y45" s="8" t="str">
        <f>IFERROR(VLOOKUP($B$5:$B$199,'[2]8'!$B$5:$D$200,3,0),"")</f>
        <v/>
      </c>
      <c r="Z45" s="8" t="str">
        <f>IFERROR(VLOOKUP($B$5:$B$199,'[2]8'!$B$5:$G$200,6,0),"")</f>
        <v/>
      </c>
      <c r="AA45" s="8" t="str">
        <f t="shared" si="7"/>
        <v/>
      </c>
      <c r="AB45" s="8" t="str">
        <f>IFERROR(VLOOKUP($B$5:$B$199,'[2]9'!$B$5:$D$200,3,0),"")</f>
        <v/>
      </c>
      <c r="AC45" s="8" t="str">
        <f>IFERROR(VLOOKUP($B$5:$B$199,'[2]9'!$B$5:$G$200,6,0),"")</f>
        <v/>
      </c>
      <c r="AD45" s="8" t="str">
        <f t="shared" si="8"/>
        <v/>
      </c>
      <c r="AE45" s="8" t="str">
        <f>IFERROR(VLOOKUP($B$5:$B$199,'[2]10'!$B$5:$D$200,3,0),"")</f>
        <v/>
      </c>
      <c r="AF45" s="8" t="str">
        <f>IFERROR(VLOOKUP($B$5:$B$199,'[2]10'!$B$5:$G$200,6,0),"")</f>
        <v/>
      </c>
      <c r="AG45" s="8" t="str">
        <f t="shared" si="9"/>
        <v/>
      </c>
      <c r="AH45" s="8" t="str">
        <f>IFERROR(VLOOKUP($B$5:$B$199,'[2]11'!$B$5:$D$200,3,0),"")</f>
        <v/>
      </c>
      <c r="AI45" s="8" t="str">
        <f>IFERROR(VLOOKUP($B$5:$B$199,'[2]11'!$B$5:$G$200,6,0),"")</f>
        <v/>
      </c>
      <c r="AJ45" s="8" t="str">
        <f t="shared" si="10"/>
        <v/>
      </c>
      <c r="AK45" s="8" t="str">
        <f>IFERROR(VLOOKUP($B$5:$B$199,'[2]12'!$B$5:$D$200,3,0),"")</f>
        <v/>
      </c>
      <c r="AL45" s="8" t="str">
        <f>IFERROR(VLOOKUP($B$5:$B$199,'[2]12'!$B$5:$G$200,6,0),"")</f>
        <v/>
      </c>
      <c r="AM45" s="8" t="str">
        <f t="shared" si="11"/>
        <v/>
      </c>
      <c r="AN45" s="8" t="str">
        <f>IFERROR(VLOOKUP($B$5:$B$199,'[2]13'!$B$5:$D$200,3,0),"")</f>
        <v/>
      </c>
      <c r="AO45" s="8" t="str">
        <f>IFERROR(VLOOKUP($B$5:$B$199,'[2]13'!$B$5:$G$200,6,0),"")</f>
        <v/>
      </c>
      <c r="AP45" s="8" t="str">
        <f t="shared" si="12"/>
        <v/>
      </c>
      <c r="AQ45" s="8" t="str">
        <f>IFERROR(VLOOKUP($B$5:$B$199,'[2]14'!$B$5:$D$200,3,0),"")</f>
        <v/>
      </c>
      <c r="AR45" s="8" t="str">
        <f>IFERROR(VLOOKUP($B$5:$B$199,'[2]14'!$B$5:$G$200,6,0),"")</f>
        <v/>
      </c>
      <c r="AS45" s="8" t="str">
        <f t="shared" si="13"/>
        <v/>
      </c>
      <c r="AT45" s="8" t="str">
        <f>IFERROR(VLOOKUP($B$5:$B$199,'[2]15'!$B$5:$D$200,3,0),"")</f>
        <v/>
      </c>
      <c r="AU45" s="8" t="str">
        <f>IFERROR(VLOOKUP($B$5:$B$199,'[2]15'!$B$5:$G$200,6,0),"")</f>
        <v/>
      </c>
      <c r="AV45" s="8" t="str">
        <f t="shared" si="14"/>
        <v/>
      </c>
      <c r="AW45" s="8" t="str">
        <f>IFERROR(VLOOKUP($B$5:$B$199,'[2]16'!$B$5:$D$200,3,0),"")</f>
        <v/>
      </c>
      <c r="AX45" s="8" t="str">
        <f>IFERROR(VLOOKUP($B$5:$B$199,'[2]16'!$B$5:$G$200,6,0),"")</f>
        <v/>
      </c>
      <c r="AY45" s="8" t="str">
        <f t="shared" si="15"/>
        <v/>
      </c>
      <c r="AZ45" s="8" t="str">
        <f>IFERROR(VLOOKUP($B$5:$B$199,'[2]17'!$B$5:$D$200,3,0),"")</f>
        <v/>
      </c>
      <c r="BA45" s="8" t="str">
        <f>IFERROR(VLOOKUP($B$5:$B$199,'[2]17'!$B$5:$G$200,6,0),"")</f>
        <v/>
      </c>
      <c r="BB45" s="8" t="str">
        <f t="shared" si="16"/>
        <v/>
      </c>
      <c r="BC45" s="8" t="str">
        <f>IFERROR(VLOOKUP($B$5:$B$199,'[2]18'!$B$5:$D$200,3,0),"")</f>
        <v/>
      </c>
      <c r="BD45" s="8" t="str">
        <f>IFERROR(VLOOKUP($B$5:$B$199,'[2]18'!$B$5:$G$200,6,0),"")</f>
        <v/>
      </c>
      <c r="BE45" s="8" t="str">
        <f t="shared" si="17"/>
        <v/>
      </c>
      <c r="BF45" s="8" t="str">
        <f>IFERROR(VLOOKUP($B$5:$B$199,'[2]19'!$B$5:$D$200,3,0),"")</f>
        <v/>
      </c>
      <c r="BG45" s="8" t="str">
        <f>IFERROR(VLOOKUP($B$5:$B$199,'[2]19'!$B$5:$G$200,6,0),"")</f>
        <v/>
      </c>
      <c r="BH45" s="8" t="str">
        <f t="shared" si="18"/>
        <v/>
      </c>
      <c r="BI45" s="8" t="str">
        <f>IFERROR(VLOOKUP($B$5:$B$199,'[2]20'!$B$5:$D$200,3,0),"")</f>
        <v/>
      </c>
      <c r="BJ45" s="8" t="str">
        <f>IFERROR(VLOOKUP($B$5:$B$199,'[2]20'!$B$5:$G$200,6,0),"")</f>
        <v/>
      </c>
      <c r="BK45" s="8" t="str">
        <f t="shared" si="19"/>
        <v/>
      </c>
      <c r="BL45" s="8" t="str">
        <f>IFERROR(VLOOKUP($B$5:$B$199,'[2]21'!$B$5:$D$200,3,0),"")</f>
        <v/>
      </c>
      <c r="BM45" s="8" t="str">
        <f>IFERROR(VLOOKUP($B$5:$B$199,'[2]21'!$B$5:$G$200,6,0),"")</f>
        <v/>
      </c>
      <c r="BN45" s="8" t="str">
        <f t="shared" si="20"/>
        <v/>
      </c>
      <c r="BO45" s="8" t="str">
        <f>IFERROR(VLOOKUP($B$5:$B$199,'[2]22'!$B$5:$D$200,3,0),"")</f>
        <v/>
      </c>
      <c r="BP45" s="8" t="str">
        <f>IFERROR(VLOOKUP($B$5:$B$199,'[2]22'!$B$5:$G$200,6,0),"")</f>
        <v/>
      </c>
      <c r="BQ45" s="8" t="str">
        <f t="shared" si="21"/>
        <v/>
      </c>
      <c r="BR45" s="8" t="str">
        <f>IFERROR(VLOOKUP($B$5:$B$199,'[2]23'!$B$5:$D$200,3,0),"")</f>
        <v/>
      </c>
      <c r="BS45" s="8" t="str">
        <f>IFERROR(VLOOKUP($B$5:$B$199,'[2]23'!$B$5:$G$200,6,0),"")</f>
        <v/>
      </c>
      <c r="BT45" s="8" t="str">
        <f t="shared" si="22"/>
        <v/>
      </c>
      <c r="BU45" s="8" t="str">
        <f>IFERROR(VLOOKUP($B$5:$B$199,'[2]24'!$B$5:$D$200,3,0),"")</f>
        <v/>
      </c>
      <c r="BV45" s="8" t="str">
        <f>IFERROR(VLOOKUP($B$5:$B$199,'[2]24'!$B$5:$G$200,6,0),"")</f>
        <v/>
      </c>
      <c r="BW45" s="8" t="str">
        <f t="shared" si="23"/>
        <v/>
      </c>
      <c r="BX45" s="8" t="str">
        <f>IFERROR(VLOOKUP($B$5:$B$199,'[2]25'!$B$5:$D$200,3,0),"")</f>
        <v/>
      </c>
      <c r="BY45" s="8" t="str">
        <f>IFERROR(VLOOKUP($B$5:$B$199,'[2]25'!$B$5:$G$200,6,0),"")</f>
        <v/>
      </c>
      <c r="BZ45" s="8" t="str">
        <f t="shared" si="24"/>
        <v/>
      </c>
      <c r="CA45" s="8" t="str">
        <f>IFERROR(VLOOKUP($B$5:$B$199,'[2]26'!$B$5:$D$200,3,0),"")</f>
        <v/>
      </c>
      <c r="CB45" s="8" t="str">
        <f>IFERROR(VLOOKUP($B$5:$B$199,'[2]26'!$B$5:$G$200,6,0),"")</f>
        <v/>
      </c>
      <c r="CC45" s="8" t="str">
        <f t="shared" si="25"/>
        <v/>
      </c>
      <c r="CD45" s="8" t="str">
        <f>IFERROR(VLOOKUP($B$5:$B$199,'[2]27'!$B$5:$D$200,3,0),"")</f>
        <v/>
      </c>
      <c r="CE45" s="8" t="str">
        <f>IFERROR(VLOOKUP($B$5:$B$199,'[2]27'!$B$5:$G$200,6,0),"")</f>
        <v/>
      </c>
      <c r="CF45" s="8" t="str">
        <f t="shared" si="26"/>
        <v/>
      </c>
      <c r="CG45" s="8" t="str">
        <f>IFERROR(VLOOKUP($B$5:$B$199,'[2]28'!$B$5:$D$200,3,0),"")</f>
        <v/>
      </c>
      <c r="CH45" s="8" t="str">
        <f>IFERROR(VLOOKUP($B$5:$B$199,'[2]28'!$B$5:$G$200,6,0),"")</f>
        <v/>
      </c>
      <c r="CI45" s="8" t="str">
        <f t="shared" si="27"/>
        <v/>
      </c>
      <c r="CJ45" s="8" t="str">
        <f>IFERROR(VLOOKUP($B$5:$B$199,'[2]29'!$B$5:$D$200,3,0),"")</f>
        <v/>
      </c>
      <c r="CK45" s="8" t="str">
        <f>IFERROR(VLOOKUP($B$5:$B$199,'[2]29'!$B$5:$G$200,6,0),"")</f>
        <v/>
      </c>
      <c r="CL45" s="8" t="str">
        <f t="shared" si="28"/>
        <v/>
      </c>
      <c r="CM45" s="8" t="str">
        <f>IFERROR(VLOOKUP($B$5:$B$199,'[2]30'!$B$5:$D$200,3,0),"")</f>
        <v/>
      </c>
      <c r="CN45" s="8" t="str">
        <f>IFERROR(VLOOKUP($B$5:$B$199,'[2]30'!$B$5:$G$200,6,0),"")</f>
        <v/>
      </c>
      <c r="CO45" s="8" t="str">
        <f t="shared" si="29"/>
        <v/>
      </c>
      <c r="CP45" s="8" t="str">
        <f>IFERROR(VLOOKUP($B$5:$B$199,'[2]31'!$B$5:$D$200,3,0),"")</f>
        <v/>
      </c>
      <c r="CQ45" s="8" t="str">
        <f>IFERROR(VLOOKUP($B$5:$B$199,'[2]31'!$B$5:$G$200,6,0),"")</f>
        <v/>
      </c>
      <c r="CR45" s="8" t="str">
        <f t="shared" si="30"/>
        <v/>
      </c>
      <c r="CT45" s="3">
        <f t="shared" si="31"/>
        <v>10</v>
      </c>
      <c r="CU45" s="3">
        <f t="shared" si="32"/>
        <v>53000</v>
      </c>
      <c r="CV45" s="3">
        <f t="shared" si="33"/>
        <v>530000</v>
      </c>
      <c r="CX45">
        <f t="shared" si="34"/>
        <v>1</v>
      </c>
    </row>
    <row r="46" spans="2:102" x14ac:dyDescent="0.25">
      <c r="B46" s="7" t="s">
        <v>125</v>
      </c>
      <c r="C46" s="7" t="str">
        <f>VLOOKUP($B46,DBASE!$C$7:$D$403,2,0)</f>
        <v>DONALD BIG STICK TOPLES</v>
      </c>
      <c r="D46" s="8" t="str">
        <f>IFERROR(VLOOKUP($B$5:$B$199,'[2]1'!$B$5:$D$200,3,0),"")</f>
        <v/>
      </c>
      <c r="E46" s="8" t="str">
        <f>IFERROR(VLOOKUP($B$5:$B$199,'[2]1'!$B$5:$G$200,6,0),"")</f>
        <v/>
      </c>
      <c r="F46" s="8" t="str">
        <f t="shared" si="0"/>
        <v/>
      </c>
      <c r="G46" s="8" t="str">
        <f>IFERROR(VLOOKUP($B$5:$B$199,'[2]2'!$B$5:$D$200,3,0),"")</f>
        <v/>
      </c>
      <c r="H46" s="8" t="str">
        <f>IFERROR(VLOOKUP($B$5:$B$199,'[2]2'!$B$5:$G$200,6,0),"")</f>
        <v/>
      </c>
      <c r="I46" s="8" t="str">
        <f t="shared" si="1"/>
        <v/>
      </c>
      <c r="J46" s="8" t="str">
        <f>IFERROR(VLOOKUP($B$5:$B$199,'[2]3'!$B$5:$D$200,3,0),"")</f>
        <v/>
      </c>
      <c r="K46" s="8" t="str">
        <f>IFERROR(VLOOKUP($B$5:$B$199,'[2]3'!$B$5:$G$200,6,0),"")</f>
        <v/>
      </c>
      <c r="L46" s="8" t="str">
        <f t="shared" si="2"/>
        <v/>
      </c>
      <c r="M46" s="8" t="str">
        <f>IFERROR(VLOOKUP($B$5:$B$199,'[2]4'!$B$5:$D$200,3,0),"")</f>
        <v/>
      </c>
      <c r="N46" s="8" t="str">
        <f>IFERROR(VLOOKUP($B$5:$B$199,'[2]4'!$B$5:$G$200,6,0),"")</f>
        <v/>
      </c>
      <c r="O46" s="8" t="str">
        <f t="shared" si="3"/>
        <v/>
      </c>
      <c r="P46" s="8">
        <f>IFERROR(VLOOKUP($B$5:$B$199,'[2]5'!$B$5:$D$200,3,0),"")</f>
        <v>10</v>
      </c>
      <c r="Q46" s="8">
        <f>IFERROR(VLOOKUP($B$5:$B$199,'[2]5'!$B$5:$G$200,6,0),"")</f>
        <v>46000</v>
      </c>
      <c r="R46" s="8">
        <f t="shared" si="4"/>
        <v>460000</v>
      </c>
      <c r="S46" s="8" t="str">
        <f>IFERROR(VLOOKUP($B$5:$B$199,'[2]6'!$B$5:$D$200,3,0),"")</f>
        <v/>
      </c>
      <c r="T46" s="8" t="str">
        <f>IFERROR(VLOOKUP($B$5:$B$199,'[2]6'!$B$5:$G$200,6,0),"")</f>
        <v/>
      </c>
      <c r="U46" s="8" t="str">
        <f t="shared" si="5"/>
        <v/>
      </c>
      <c r="V46" s="8">
        <f>IFERROR(VLOOKUP($B$5:$B$199,'[2]7'!$B$5:$D$200,3,0),"")</f>
        <v>10</v>
      </c>
      <c r="W46" s="8">
        <f>IFERROR(VLOOKUP($B$5:$B$199,'[2]7'!$B$5:$G$200,6,0),"")</f>
        <v>46000</v>
      </c>
      <c r="X46" s="8">
        <f t="shared" si="6"/>
        <v>460000</v>
      </c>
      <c r="Y46" s="8" t="str">
        <f>IFERROR(VLOOKUP($B$5:$B$199,'[2]8'!$B$5:$D$200,3,0),"")</f>
        <v/>
      </c>
      <c r="Z46" s="8" t="str">
        <f>IFERROR(VLOOKUP($B$5:$B$199,'[2]8'!$B$5:$G$200,6,0),"")</f>
        <v/>
      </c>
      <c r="AA46" s="8" t="str">
        <f t="shared" si="7"/>
        <v/>
      </c>
      <c r="AB46" s="8" t="str">
        <f>IFERROR(VLOOKUP($B$5:$B$199,'[2]9'!$B$5:$D$200,3,0),"")</f>
        <v/>
      </c>
      <c r="AC46" s="8" t="str">
        <f>IFERROR(VLOOKUP($B$5:$B$199,'[2]9'!$B$5:$G$200,6,0),"")</f>
        <v/>
      </c>
      <c r="AD46" s="8" t="str">
        <f t="shared" si="8"/>
        <v/>
      </c>
      <c r="AE46" s="8" t="str">
        <f>IFERROR(VLOOKUP($B$5:$B$199,'[2]10'!$B$5:$D$200,3,0),"")</f>
        <v/>
      </c>
      <c r="AF46" s="8" t="str">
        <f>IFERROR(VLOOKUP($B$5:$B$199,'[2]10'!$B$5:$G$200,6,0),"")</f>
        <v/>
      </c>
      <c r="AG46" s="8" t="str">
        <f t="shared" si="9"/>
        <v/>
      </c>
      <c r="AH46" s="8" t="str">
        <f>IFERROR(VLOOKUP($B$5:$B$199,'[2]11'!$B$5:$D$200,3,0),"")</f>
        <v/>
      </c>
      <c r="AI46" s="8" t="str">
        <f>IFERROR(VLOOKUP($B$5:$B$199,'[2]11'!$B$5:$G$200,6,0),"")</f>
        <v/>
      </c>
      <c r="AJ46" s="8" t="str">
        <f t="shared" si="10"/>
        <v/>
      </c>
      <c r="AK46" s="8" t="str">
        <f>IFERROR(VLOOKUP($B$5:$B$199,'[2]12'!$B$5:$D$200,3,0),"")</f>
        <v/>
      </c>
      <c r="AL46" s="8" t="str">
        <f>IFERROR(VLOOKUP($B$5:$B$199,'[2]12'!$B$5:$G$200,6,0),"")</f>
        <v/>
      </c>
      <c r="AM46" s="8" t="str">
        <f t="shared" si="11"/>
        <v/>
      </c>
      <c r="AN46" s="8" t="str">
        <f>IFERROR(VLOOKUP($B$5:$B$199,'[2]13'!$B$5:$D$200,3,0),"")</f>
        <v/>
      </c>
      <c r="AO46" s="8" t="str">
        <f>IFERROR(VLOOKUP($B$5:$B$199,'[2]13'!$B$5:$G$200,6,0),"")</f>
        <v/>
      </c>
      <c r="AP46" s="8" t="str">
        <f t="shared" si="12"/>
        <v/>
      </c>
      <c r="AQ46" s="8" t="str">
        <f>IFERROR(VLOOKUP($B$5:$B$199,'[2]14'!$B$5:$D$200,3,0),"")</f>
        <v/>
      </c>
      <c r="AR46" s="8" t="str">
        <f>IFERROR(VLOOKUP($B$5:$B$199,'[2]14'!$B$5:$G$200,6,0),"")</f>
        <v/>
      </c>
      <c r="AS46" s="8" t="str">
        <f t="shared" si="13"/>
        <v/>
      </c>
      <c r="AT46" s="8" t="str">
        <f>IFERROR(VLOOKUP($B$5:$B$199,'[2]15'!$B$5:$D$200,3,0),"")</f>
        <v/>
      </c>
      <c r="AU46" s="8" t="str">
        <f>IFERROR(VLOOKUP($B$5:$B$199,'[2]15'!$B$5:$G$200,6,0),"")</f>
        <v/>
      </c>
      <c r="AV46" s="8" t="str">
        <f t="shared" si="14"/>
        <v/>
      </c>
      <c r="AW46" s="8" t="str">
        <f>IFERROR(VLOOKUP($B$5:$B$199,'[2]16'!$B$5:$D$200,3,0),"")</f>
        <v/>
      </c>
      <c r="AX46" s="8" t="str">
        <f>IFERROR(VLOOKUP($B$5:$B$199,'[2]16'!$B$5:$G$200,6,0),"")</f>
        <v/>
      </c>
      <c r="AY46" s="8" t="str">
        <f t="shared" si="15"/>
        <v/>
      </c>
      <c r="AZ46" s="8" t="str">
        <f>IFERROR(VLOOKUP($B$5:$B$199,'[2]17'!$B$5:$D$200,3,0),"")</f>
        <v/>
      </c>
      <c r="BA46" s="8" t="str">
        <f>IFERROR(VLOOKUP($B$5:$B$199,'[2]17'!$B$5:$G$200,6,0),"")</f>
        <v/>
      </c>
      <c r="BB46" s="8" t="str">
        <f t="shared" si="16"/>
        <v/>
      </c>
      <c r="BC46" s="8" t="str">
        <f>IFERROR(VLOOKUP($B$5:$B$199,'[2]18'!$B$5:$D$200,3,0),"")</f>
        <v/>
      </c>
      <c r="BD46" s="8" t="str">
        <f>IFERROR(VLOOKUP($B$5:$B$199,'[2]18'!$B$5:$G$200,6,0),"")</f>
        <v/>
      </c>
      <c r="BE46" s="8" t="str">
        <f t="shared" si="17"/>
        <v/>
      </c>
      <c r="BF46" s="8" t="str">
        <f>IFERROR(VLOOKUP($B$5:$B$199,'[2]19'!$B$5:$D$200,3,0),"")</f>
        <v/>
      </c>
      <c r="BG46" s="8" t="str">
        <f>IFERROR(VLOOKUP($B$5:$B$199,'[2]19'!$B$5:$G$200,6,0),"")</f>
        <v/>
      </c>
      <c r="BH46" s="8" t="str">
        <f t="shared" si="18"/>
        <v/>
      </c>
      <c r="BI46" s="8" t="str">
        <f>IFERROR(VLOOKUP($B$5:$B$199,'[2]20'!$B$5:$D$200,3,0),"")</f>
        <v/>
      </c>
      <c r="BJ46" s="8" t="str">
        <f>IFERROR(VLOOKUP($B$5:$B$199,'[2]20'!$B$5:$G$200,6,0),"")</f>
        <v/>
      </c>
      <c r="BK46" s="8" t="str">
        <f t="shared" si="19"/>
        <v/>
      </c>
      <c r="BL46" s="8" t="str">
        <f>IFERROR(VLOOKUP($B$5:$B$199,'[2]21'!$B$5:$D$200,3,0),"")</f>
        <v/>
      </c>
      <c r="BM46" s="8" t="str">
        <f>IFERROR(VLOOKUP($B$5:$B$199,'[2]21'!$B$5:$G$200,6,0),"")</f>
        <v/>
      </c>
      <c r="BN46" s="8" t="str">
        <f t="shared" si="20"/>
        <v/>
      </c>
      <c r="BO46" s="8" t="str">
        <f>IFERROR(VLOOKUP($B$5:$B$199,'[2]22'!$B$5:$D$200,3,0),"")</f>
        <v/>
      </c>
      <c r="BP46" s="8" t="str">
        <f>IFERROR(VLOOKUP($B$5:$B$199,'[2]22'!$B$5:$G$200,6,0),"")</f>
        <v/>
      </c>
      <c r="BQ46" s="8" t="str">
        <f t="shared" si="21"/>
        <v/>
      </c>
      <c r="BR46" s="8" t="str">
        <f>IFERROR(VLOOKUP($B$5:$B$199,'[2]23'!$B$5:$D$200,3,0),"")</f>
        <v/>
      </c>
      <c r="BS46" s="8" t="str">
        <f>IFERROR(VLOOKUP($B$5:$B$199,'[2]23'!$B$5:$G$200,6,0),"")</f>
        <v/>
      </c>
      <c r="BT46" s="8" t="str">
        <f t="shared" si="22"/>
        <v/>
      </c>
      <c r="BU46" s="8" t="str">
        <f>IFERROR(VLOOKUP($B$5:$B$199,'[2]24'!$B$5:$D$200,3,0),"")</f>
        <v/>
      </c>
      <c r="BV46" s="8" t="str">
        <f>IFERROR(VLOOKUP($B$5:$B$199,'[2]24'!$B$5:$G$200,6,0),"")</f>
        <v/>
      </c>
      <c r="BW46" s="8" t="str">
        <f t="shared" si="23"/>
        <v/>
      </c>
      <c r="BX46" s="8" t="str">
        <f>IFERROR(VLOOKUP($B$5:$B$199,'[2]25'!$B$5:$D$200,3,0),"")</f>
        <v/>
      </c>
      <c r="BY46" s="8" t="str">
        <f>IFERROR(VLOOKUP($B$5:$B$199,'[2]25'!$B$5:$G$200,6,0),"")</f>
        <v/>
      </c>
      <c r="BZ46" s="8" t="str">
        <f t="shared" si="24"/>
        <v/>
      </c>
      <c r="CA46" s="8" t="str">
        <f>IFERROR(VLOOKUP($B$5:$B$199,'[2]26'!$B$5:$D$200,3,0),"")</f>
        <v/>
      </c>
      <c r="CB46" s="8" t="str">
        <f>IFERROR(VLOOKUP($B$5:$B$199,'[2]26'!$B$5:$G$200,6,0),"")</f>
        <v/>
      </c>
      <c r="CC46" s="8" t="str">
        <f t="shared" si="25"/>
        <v/>
      </c>
      <c r="CD46" s="8" t="str">
        <f>IFERROR(VLOOKUP($B$5:$B$199,'[2]27'!$B$5:$D$200,3,0),"")</f>
        <v/>
      </c>
      <c r="CE46" s="8" t="str">
        <f>IFERROR(VLOOKUP($B$5:$B$199,'[2]27'!$B$5:$G$200,6,0),"")</f>
        <v/>
      </c>
      <c r="CF46" s="8" t="str">
        <f t="shared" si="26"/>
        <v/>
      </c>
      <c r="CG46" s="8" t="str">
        <f>IFERROR(VLOOKUP($B$5:$B$199,'[2]28'!$B$5:$D$200,3,0),"")</f>
        <v/>
      </c>
      <c r="CH46" s="8" t="str">
        <f>IFERROR(VLOOKUP($B$5:$B$199,'[2]28'!$B$5:$G$200,6,0),"")</f>
        <v/>
      </c>
      <c r="CI46" s="8" t="str">
        <f t="shared" si="27"/>
        <v/>
      </c>
      <c r="CJ46" s="8" t="str">
        <f>IFERROR(VLOOKUP($B$5:$B$199,'[2]29'!$B$5:$D$200,3,0),"")</f>
        <v/>
      </c>
      <c r="CK46" s="8" t="str">
        <f>IFERROR(VLOOKUP($B$5:$B$199,'[2]29'!$B$5:$G$200,6,0),"")</f>
        <v/>
      </c>
      <c r="CL46" s="8" t="str">
        <f t="shared" si="28"/>
        <v/>
      </c>
      <c r="CM46" s="8" t="str">
        <f>IFERROR(VLOOKUP($B$5:$B$199,'[2]30'!$B$5:$D$200,3,0),"")</f>
        <v/>
      </c>
      <c r="CN46" s="8" t="str">
        <f>IFERROR(VLOOKUP($B$5:$B$199,'[2]30'!$B$5:$G$200,6,0),"")</f>
        <v/>
      </c>
      <c r="CO46" s="8" t="str">
        <f t="shared" si="29"/>
        <v/>
      </c>
      <c r="CP46" s="8" t="str">
        <f>IFERROR(VLOOKUP($B$5:$B$199,'[2]31'!$B$5:$D$200,3,0),"")</f>
        <v/>
      </c>
      <c r="CQ46" s="8" t="str">
        <f>IFERROR(VLOOKUP($B$5:$B$199,'[2]31'!$B$5:$G$200,6,0),"")</f>
        <v/>
      </c>
      <c r="CR46" s="8" t="str">
        <f t="shared" si="30"/>
        <v/>
      </c>
      <c r="CT46" s="3">
        <f t="shared" si="31"/>
        <v>20</v>
      </c>
      <c r="CU46" s="3">
        <f t="shared" si="32"/>
        <v>46000</v>
      </c>
      <c r="CV46" s="3">
        <f t="shared" si="33"/>
        <v>920000</v>
      </c>
      <c r="CX46">
        <f t="shared" si="34"/>
        <v>2</v>
      </c>
    </row>
    <row r="47" spans="2:102" x14ac:dyDescent="0.25">
      <c r="B47" s="7" t="s">
        <v>124</v>
      </c>
      <c r="C47" s="7" t="str">
        <f>VLOOKUP($B47,DBASE!$C$7:$D$403,2,0)</f>
        <v>DONALD BIG STICK PAK</v>
      </c>
      <c r="D47" s="8" t="str">
        <f>IFERROR(VLOOKUP($B$5:$B$199,'[2]1'!$B$5:$D$200,3,0),"")</f>
        <v/>
      </c>
      <c r="E47" s="8" t="str">
        <f>IFERROR(VLOOKUP($B$5:$B$199,'[2]1'!$B$5:$G$200,6,0),"")</f>
        <v/>
      </c>
      <c r="F47" s="8" t="str">
        <f t="shared" si="0"/>
        <v/>
      </c>
      <c r="G47" s="8" t="str">
        <f>IFERROR(VLOOKUP($B$5:$B$199,'[2]2'!$B$5:$D$200,3,0),"")</f>
        <v/>
      </c>
      <c r="H47" s="8" t="str">
        <f>IFERROR(VLOOKUP($B$5:$B$199,'[2]2'!$B$5:$G$200,6,0),"")</f>
        <v/>
      </c>
      <c r="I47" s="8" t="str">
        <f t="shared" si="1"/>
        <v/>
      </c>
      <c r="J47" s="8" t="str">
        <f>IFERROR(VLOOKUP($B$5:$B$199,'[2]3'!$B$5:$D$200,3,0),"")</f>
        <v/>
      </c>
      <c r="K47" s="8" t="str">
        <f>IFERROR(VLOOKUP($B$5:$B$199,'[2]3'!$B$5:$G$200,6,0),"")</f>
        <v/>
      </c>
      <c r="L47" s="8" t="str">
        <f t="shared" si="2"/>
        <v/>
      </c>
      <c r="M47" s="8" t="str">
        <f>IFERROR(VLOOKUP($B$5:$B$199,'[2]4'!$B$5:$D$200,3,0),"")</f>
        <v/>
      </c>
      <c r="N47" s="8" t="str">
        <f>IFERROR(VLOOKUP($B$5:$B$199,'[2]4'!$B$5:$G$200,6,0),"")</f>
        <v/>
      </c>
      <c r="O47" s="8" t="str">
        <f t="shared" si="3"/>
        <v/>
      </c>
      <c r="P47" s="8">
        <f>IFERROR(VLOOKUP($B$5:$B$199,'[2]5'!$B$5:$D$200,3,0),"")</f>
        <v>10</v>
      </c>
      <c r="Q47" s="8">
        <f>IFERROR(VLOOKUP($B$5:$B$199,'[2]5'!$B$5:$G$200,6,0),"")</f>
        <v>40000</v>
      </c>
      <c r="R47" s="8">
        <f t="shared" si="4"/>
        <v>400000</v>
      </c>
      <c r="S47" s="8" t="str">
        <f>IFERROR(VLOOKUP($B$5:$B$199,'[2]6'!$B$5:$D$200,3,0),"")</f>
        <v/>
      </c>
      <c r="T47" s="8" t="str">
        <f>IFERROR(VLOOKUP($B$5:$B$199,'[2]6'!$B$5:$G$200,6,0),"")</f>
        <v/>
      </c>
      <c r="U47" s="8" t="str">
        <f t="shared" si="5"/>
        <v/>
      </c>
      <c r="V47" s="8" t="str">
        <f>IFERROR(VLOOKUP($B$5:$B$199,'[2]7'!$B$5:$D$200,3,0),"")</f>
        <v/>
      </c>
      <c r="W47" s="8" t="str">
        <f>IFERROR(VLOOKUP($B$5:$B$199,'[2]7'!$B$5:$G$200,6,0),"")</f>
        <v/>
      </c>
      <c r="X47" s="8" t="str">
        <f t="shared" si="6"/>
        <v/>
      </c>
      <c r="Y47" s="8" t="str">
        <f>IFERROR(VLOOKUP($B$5:$B$199,'[2]8'!$B$5:$D$200,3,0),"")</f>
        <v/>
      </c>
      <c r="Z47" s="8" t="str">
        <f>IFERROR(VLOOKUP($B$5:$B$199,'[2]8'!$B$5:$G$200,6,0),"")</f>
        <v/>
      </c>
      <c r="AA47" s="8" t="str">
        <f t="shared" si="7"/>
        <v/>
      </c>
      <c r="AB47" s="8" t="str">
        <f>IFERROR(VLOOKUP($B$5:$B$199,'[2]9'!$B$5:$D$200,3,0),"")</f>
        <v/>
      </c>
      <c r="AC47" s="8" t="str">
        <f>IFERROR(VLOOKUP($B$5:$B$199,'[2]9'!$B$5:$G$200,6,0),"")</f>
        <v/>
      </c>
      <c r="AD47" s="8" t="str">
        <f t="shared" si="8"/>
        <v/>
      </c>
      <c r="AE47" s="8" t="str">
        <f>IFERROR(VLOOKUP($B$5:$B$199,'[2]10'!$B$5:$D$200,3,0),"")</f>
        <v/>
      </c>
      <c r="AF47" s="8" t="str">
        <f>IFERROR(VLOOKUP($B$5:$B$199,'[2]10'!$B$5:$G$200,6,0),"")</f>
        <v/>
      </c>
      <c r="AG47" s="8" t="str">
        <f t="shared" si="9"/>
        <v/>
      </c>
      <c r="AH47" s="8" t="str">
        <f>IFERROR(VLOOKUP($B$5:$B$199,'[2]11'!$B$5:$D$200,3,0),"")</f>
        <v/>
      </c>
      <c r="AI47" s="8" t="str">
        <f>IFERROR(VLOOKUP($B$5:$B$199,'[2]11'!$B$5:$G$200,6,0),"")</f>
        <v/>
      </c>
      <c r="AJ47" s="8" t="str">
        <f t="shared" si="10"/>
        <v/>
      </c>
      <c r="AK47" s="8" t="str">
        <f>IFERROR(VLOOKUP($B$5:$B$199,'[2]12'!$B$5:$D$200,3,0),"")</f>
        <v/>
      </c>
      <c r="AL47" s="8" t="str">
        <f>IFERROR(VLOOKUP($B$5:$B$199,'[2]12'!$B$5:$G$200,6,0),"")</f>
        <v/>
      </c>
      <c r="AM47" s="8" t="str">
        <f t="shared" si="11"/>
        <v/>
      </c>
      <c r="AN47" s="8" t="str">
        <f>IFERROR(VLOOKUP($B$5:$B$199,'[2]13'!$B$5:$D$200,3,0),"")</f>
        <v/>
      </c>
      <c r="AO47" s="8" t="str">
        <f>IFERROR(VLOOKUP($B$5:$B$199,'[2]13'!$B$5:$G$200,6,0),"")</f>
        <v/>
      </c>
      <c r="AP47" s="8" t="str">
        <f t="shared" si="12"/>
        <v/>
      </c>
      <c r="AQ47" s="8" t="str">
        <f>IFERROR(VLOOKUP($B$5:$B$199,'[2]14'!$B$5:$D$200,3,0),"")</f>
        <v/>
      </c>
      <c r="AR47" s="8" t="str">
        <f>IFERROR(VLOOKUP($B$5:$B$199,'[2]14'!$B$5:$G$200,6,0),"")</f>
        <v/>
      </c>
      <c r="AS47" s="8" t="str">
        <f t="shared" si="13"/>
        <v/>
      </c>
      <c r="AT47" s="8" t="str">
        <f>IFERROR(VLOOKUP($B$5:$B$199,'[2]15'!$B$5:$D$200,3,0),"")</f>
        <v/>
      </c>
      <c r="AU47" s="8" t="str">
        <f>IFERROR(VLOOKUP($B$5:$B$199,'[2]15'!$B$5:$G$200,6,0),"")</f>
        <v/>
      </c>
      <c r="AV47" s="8" t="str">
        <f t="shared" si="14"/>
        <v/>
      </c>
      <c r="AW47" s="8" t="str">
        <f>IFERROR(VLOOKUP($B$5:$B$199,'[2]16'!$B$5:$D$200,3,0),"")</f>
        <v/>
      </c>
      <c r="AX47" s="8" t="str">
        <f>IFERROR(VLOOKUP($B$5:$B$199,'[2]16'!$B$5:$G$200,6,0),"")</f>
        <v/>
      </c>
      <c r="AY47" s="8" t="str">
        <f t="shared" si="15"/>
        <v/>
      </c>
      <c r="AZ47" s="8" t="str">
        <f>IFERROR(VLOOKUP($B$5:$B$199,'[2]17'!$B$5:$D$200,3,0),"")</f>
        <v/>
      </c>
      <c r="BA47" s="8" t="str">
        <f>IFERROR(VLOOKUP($B$5:$B$199,'[2]17'!$B$5:$G$200,6,0),"")</f>
        <v/>
      </c>
      <c r="BB47" s="8" t="str">
        <f t="shared" si="16"/>
        <v/>
      </c>
      <c r="BC47" s="8" t="str">
        <f>IFERROR(VLOOKUP($B$5:$B$199,'[2]18'!$B$5:$D$200,3,0),"")</f>
        <v/>
      </c>
      <c r="BD47" s="8" t="str">
        <f>IFERROR(VLOOKUP($B$5:$B$199,'[2]18'!$B$5:$G$200,6,0),"")</f>
        <v/>
      </c>
      <c r="BE47" s="8" t="str">
        <f t="shared" si="17"/>
        <v/>
      </c>
      <c r="BF47" s="8" t="str">
        <f>IFERROR(VLOOKUP($B$5:$B$199,'[2]19'!$B$5:$D$200,3,0),"")</f>
        <v/>
      </c>
      <c r="BG47" s="8" t="str">
        <f>IFERROR(VLOOKUP($B$5:$B$199,'[2]19'!$B$5:$G$200,6,0),"")</f>
        <v/>
      </c>
      <c r="BH47" s="8" t="str">
        <f t="shared" si="18"/>
        <v/>
      </c>
      <c r="BI47" s="8" t="str">
        <f>IFERROR(VLOOKUP($B$5:$B$199,'[2]20'!$B$5:$D$200,3,0),"")</f>
        <v/>
      </c>
      <c r="BJ47" s="8" t="str">
        <f>IFERROR(VLOOKUP($B$5:$B$199,'[2]20'!$B$5:$G$200,6,0),"")</f>
        <v/>
      </c>
      <c r="BK47" s="8" t="str">
        <f t="shared" si="19"/>
        <v/>
      </c>
      <c r="BL47" s="8" t="str">
        <f>IFERROR(VLOOKUP($B$5:$B$199,'[2]21'!$B$5:$D$200,3,0),"")</f>
        <v/>
      </c>
      <c r="BM47" s="8" t="str">
        <f>IFERROR(VLOOKUP($B$5:$B$199,'[2]21'!$B$5:$G$200,6,0),"")</f>
        <v/>
      </c>
      <c r="BN47" s="8" t="str">
        <f t="shared" si="20"/>
        <v/>
      </c>
      <c r="BO47" s="8" t="str">
        <f>IFERROR(VLOOKUP($B$5:$B$199,'[2]22'!$B$5:$D$200,3,0),"")</f>
        <v/>
      </c>
      <c r="BP47" s="8" t="str">
        <f>IFERROR(VLOOKUP($B$5:$B$199,'[2]22'!$B$5:$G$200,6,0),"")</f>
        <v/>
      </c>
      <c r="BQ47" s="8" t="str">
        <f t="shared" si="21"/>
        <v/>
      </c>
      <c r="BR47" s="8" t="str">
        <f>IFERROR(VLOOKUP($B$5:$B$199,'[2]23'!$B$5:$D$200,3,0),"")</f>
        <v/>
      </c>
      <c r="BS47" s="8" t="str">
        <f>IFERROR(VLOOKUP($B$5:$B$199,'[2]23'!$B$5:$G$200,6,0),"")</f>
        <v/>
      </c>
      <c r="BT47" s="8" t="str">
        <f t="shared" si="22"/>
        <v/>
      </c>
      <c r="BU47" s="8" t="str">
        <f>IFERROR(VLOOKUP($B$5:$B$199,'[2]24'!$B$5:$D$200,3,0),"")</f>
        <v/>
      </c>
      <c r="BV47" s="8" t="str">
        <f>IFERROR(VLOOKUP($B$5:$B$199,'[2]24'!$B$5:$G$200,6,0),"")</f>
        <v/>
      </c>
      <c r="BW47" s="8" t="str">
        <f t="shared" si="23"/>
        <v/>
      </c>
      <c r="BX47" s="8" t="str">
        <f>IFERROR(VLOOKUP($B$5:$B$199,'[2]25'!$B$5:$D$200,3,0),"")</f>
        <v/>
      </c>
      <c r="BY47" s="8" t="str">
        <f>IFERROR(VLOOKUP($B$5:$B$199,'[2]25'!$B$5:$G$200,6,0),"")</f>
        <v/>
      </c>
      <c r="BZ47" s="8" t="str">
        <f t="shared" si="24"/>
        <v/>
      </c>
      <c r="CA47" s="8" t="str">
        <f>IFERROR(VLOOKUP($B$5:$B$199,'[2]26'!$B$5:$D$200,3,0),"")</f>
        <v/>
      </c>
      <c r="CB47" s="8" t="str">
        <f>IFERROR(VLOOKUP($B$5:$B$199,'[2]26'!$B$5:$G$200,6,0),"")</f>
        <v/>
      </c>
      <c r="CC47" s="8" t="str">
        <f t="shared" si="25"/>
        <v/>
      </c>
      <c r="CD47" s="8" t="str">
        <f>IFERROR(VLOOKUP($B$5:$B$199,'[2]27'!$B$5:$D$200,3,0),"")</f>
        <v/>
      </c>
      <c r="CE47" s="8" t="str">
        <f>IFERROR(VLOOKUP($B$5:$B$199,'[2]27'!$B$5:$G$200,6,0),"")</f>
        <v/>
      </c>
      <c r="CF47" s="8" t="str">
        <f t="shared" si="26"/>
        <v/>
      </c>
      <c r="CG47" s="8" t="str">
        <f>IFERROR(VLOOKUP($B$5:$B$199,'[2]28'!$B$5:$D$200,3,0),"")</f>
        <v/>
      </c>
      <c r="CH47" s="8" t="str">
        <f>IFERROR(VLOOKUP($B$5:$B$199,'[2]28'!$B$5:$G$200,6,0),"")</f>
        <v/>
      </c>
      <c r="CI47" s="8" t="str">
        <f t="shared" si="27"/>
        <v/>
      </c>
      <c r="CJ47" s="8" t="str">
        <f>IFERROR(VLOOKUP($B$5:$B$199,'[2]29'!$B$5:$D$200,3,0),"")</f>
        <v/>
      </c>
      <c r="CK47" s="8" t="str">
        <f>IFERROR(VLOOKUP($B$5:$B$199,'[2]29'!$B$5:$G$200,6,0),"")</f>
        <v/>
      </c>
      <c r="CL47" s="8" t="str">
        <f t="shared" si="28"/>
        <v/>
      </c>
      <c r="CM47" s="8" t="str">
        <f>IFERROR(VLOOKUP($B$5:$B$199,'[2]30'!$B$5:$D$200,3,0),"")</f>
        <v/>
      </c>
      <c r="CN47" s="8" t="str">
        <f>IFERROR(VLOOKUP($B$5:$B$199,'[2]30'!$B$5:$G$200,6,0),"")</f>
        <v/>
      </c>
      <c r="CO47" s="8" t="str">
        <f t="shared" si="29"/>
        <v/>
      </c>
      <c r="CP47" s="8" t="str">
        <f>IFERROR(VLOOKUP($B$5:$B$199,'[2]31'!$B$5:$D$200,3,0),"")</f>
        <v/>
      </c>
      <c r="CQ47" s="8" t="str">
        <f>IFERROR(VLOOKUP($B$5:$B$199,'[2]31'!$B$5:$G$200,6,0),"")</f>
        <v/>
      </c>
      <c r="CR47" s="8" t="str">
        <f t="shared" si="30"/>
        <v/>
      </c>
      <c r="CT47" s="3">
        <f t="shared" si="31"/>
        <v>10</v>
      </c>
      <c r="CU47" s="3">
        <f t="shared" si="32"/>
        <v>40000</v>
      </c>
      <c r="CV47" s="3">
        <f t="shared" si="33"/>
        <v>400000</v>
      </c>
      <c r="CX47">
        <f t="shared" si="34"/>
        <v>1</v>
      </c>
    </row>
    <row r="48" spans="2:102" x14ac:dyDescent="0.25">
      <c r="B48" s="7" t="s">
        <v>122</v>
      </c>
      <c r="C48" s="7" t="str">
        <f>VLOOKUP($B48,DBASE!$C$7:$D$403,2,0)</f>
        <v>LPK ICE CREAM</v>
      </c>
      <c r="D48" s="8" t="str">
        <f>IFERROR(VLOOKUP($B$5:$B$199,'[2]1'!$B$5:$D$200,3,0),"")</f>
        <v/>
      </c>
      <c r="E48" s="8" t="str">
        <f>IFERROR(VLOOKUP($B$5:$B$199,'[2]1'!$B$5:$G$200,6,0),"")</f>
        <v/>
      </c>
      <c r="F48" s="8" t="str">
        <f t="shared" si="0"/>
        <v/>
      </c>
      <c r="G48" s="8" t="str">
        <f>IFERROR(VLOOKUP($B$5:$B$199,'[2]2'!$B$5:$D$200,3,0),"")</f>
        <v/>
      </c>
      <c r="H48" s="8" t="str">
        <f>IFERROR(VLOOKUP($B$5:$B$199,'[2]2'!$B$5:$G$200,6,0),"")</f>
        <v/>
      </c>
      <c r="I48" s="8" t="str">
        <f t="shared" si="1"/>
        <v/>
      </c>
      <c r="J48" s="8" t="str">
        <f>IFERROR(VLOOKUP($B$5:$B$199,'[2]3'!$B$5:$D$200,3,0),"")</f>
        <v/>
      </c>
      <c r="K48" s="8" t="str">
        <f>IFERROR(VLOOKUP($B$5:$B$199,'[2]3'!$B$5:$G$200,6,0),"")</f>
        <v/>
      </c>
      <c r="L48" s="8" t="str">
        <f t="shared" si="2"/>
        <v/>
      </c>
      <c r="M48" s="8" t="str">
        <f>IFERROR(VLOOKUP($B$5:$B$199,'[2]4'!$B$5:$D$200,3,0),"")</f>
        <v/>
      </c>
      <c r="N48" s="8" t="str">
        <f>IFERROR(VLOOKUP($B$5:$B$199,'[2]4'!$B$5:$G$200,6,0),"")</f>
        <v/>
      </c>
      <c r="O48" s="8" t="str">
        <f t="shared" si="3"/>
        <v/>
      </c>
      <c r="P48" s="8">
        <f>IFERROR(VLOOKUP($B$5:$B$199,'[2]5'!$B$5:$D$200,3,0),"")</f>
        <v>10</v>
      </c>
      <c r="Q48" s="8">
        <f>IFERROR(VLOOKUP($B$5:$B$199,'[2]5'!$B$5:$G$200,6,0),"")</f>
        <v>18000</v>
      </c>
      <c r="R48" s="8">
        <f t="shared" si="4"/>
        <v>180000</v>
      </c>
      <c r="S48" s="8" t="str">
        <f>IFERROR(VLOOKUP($B$5:$B$199,'[2]6'!$B$5:$D$200,3,0),"")</f>
        <v/>
      </c>
      <c r="T48" s="8" t="str">
        <f>IFERROR(VLOOKUP($B$5:$B$199,'[2]6'!$B$5:$G$200,6,0),"")</f>
        <v/>
      </c>
      <c r="U48" s="8" t="str">
        <f t="shared" si="5"/>
        <v/>
      </c>
      <c r="V48" s="8" t="str">
        <f>IFERROR(VLOOKUP($B$5:$B$199,'[2]7'!$B$5:$D$200,3,0),"")</f>
        <v/>
      </c>
      <c r="W48" s="8" t="str">
        <f>IFERROR(VLOOKUP($B$5:$B$199,'[2]7'!$B$5:$G$200,6,0),"")</f>
        <v/>
      </c>
      <c r="X48" s="8" t="str">
        <f t="shared" si="6"/>
        <v/>
      </c>
      <c r="Y48" s="8" t="str">
        <f>IFERROR(VLOOKUP($B$5:$B$199,'[2]8'!$B$5:$D$200,3,0),"")</f>
        <v/>
      </c>
      <c r="Z48" s="8" t="str">
        <f>IFERROR(VLOOKUP($B$5:$B$199,'[2]8'!$B$5:$G$200,6,0),"")</f>
        <v/>
      </c>
      <c r="AA48" s="8" t="str">
        <f t="shared" si="7"/>
        <v/>
      </c>
      <c r="AB48" s="8" t="str">
        <f>IFERROR(VLOOKUP($B$5:$B$199,'[2]9'!$B$5:$D$200,3,0),"")</f>
        <v/>
      </c>
      <c r="AC48" s="8" t="str">
        <f>IFERROR(VLOOKUP($B$5:$B$199,'[2]9'!$B$5:$G$200,6,0),"")</f>
        <v/>
      </c>
      <c r="AD48" s="8" t="str">
        <f t="shared" si="8"/>
        <v/>
      </c>
      <c r="AE48" s="8" t="str">
        <f>IFERROR(VLOOKUP($B$5:$B$199,'[2]10'!$B$5:$D$200,3,0),"")</f>
        <v/>
      </c>
      <c r="AF48" s="8" t="str">
        <f>IFERROR(VLOOKUP($B$5:$B$199,'[2]10'!$B$5:$G$200,6,0),"")</f>
        <v/>
      </c>
      <c r="AG48" s="8" t="str">
        <f t="shared" si="9"/>
        <v/>
      </c>
      <c r="AH48" s="8" t="str">
        <f>IFERROR(VLOOKUP($B$5:$B$199,'[2]11'!$B$5:$D$200,3,0),"")</f>
        <v/>
      </c>
      <c r="AI48" s="8" t="str">
        <f>IFERROR(VLOOKUP($B$5:$B$199,'[2]11'!$B$5:$G$200,6,0),"")</f>
        <v/>
      </c>
      <c r="AJ48" s="8" t="str">
        <f t="shared" si="10"/>
        <v/>
      </c>
      <c r="AK48" s="8" t="str">
        <f>IFERROR(VLOOKUP($B$5:$B$199,'[2]12'!$B$5:$D$200,3,0),"")</f>
        <v/>
      </c>
      <c r="AL48" s="8" t="str">
        <f>IFERROR(VLOOKUP($B$5:$B$199,'[2]12'!$B$5:$G$200,6,0),"")</f>
        <v/>
      </c>
      <c r="AM48" s="8" t="str">
        <f t="shared" si="11"/>
        <v/>
      </c>
      <c r="AN48" s="8" t="str">
        <f>IFERROR(VLOOKUP($B$5:$B$199,'[2]13'!$B$5:$D$200,3,0),"")</f>
        <v/>
      </c>
      <c r="AO48" s="8" t="str">
        <f>IFERROR(VLOOKUP($B$5:$B$199,'[2]13'!$B$5:$G$200,6,0),"")</f>
        <v/>
      </c>
      <c r="AP48" s="8" t="str">
        <f t="shared" si="12"/>
        <v/>
      </c>
      <c r="AQ48" s="8" t="str">
        <f>IFERROR(VLOOKUP($B$5:$B$199,'[2]14'!$B$5:$D$200,3,0),"")</f>
        <v/>
      </c>
      <c r="AR48" s="8" t="str">
        <f>IFERROR(VLOOKUP($B$5:$B$199,'[2]14'!$B$5:$G$200,6,0),"")</f>
        <v/>
      </c>
      <c r="AS48" s="8" t="str">
        <f t="shared" si="13"/>
        <v/>
      </c>
      <c r="AT48" s="8" t="str">
        <f>IFERROR(VLOOKUP($B$5:$B$199,'[2]15'!$B$5:$D$200,3,0),"")</f>
        <v/>
      </c>
      <c r="AU48" s="8" t="str">
        <f>IFERROR(VLOOKUP($B$5:$B$199,'[2]15'!$B$5:$G$200,6,0),"")</f>
        <v/>
      </c>
      <c r="AV48" s="8" t="str">
        <f t="shared" si="14"/>
        <v/>
      </c>
      <c r="AW48" s="8" t="str">
        <f>IFERROR(VLOOKUP($B$5:$B$199,'[2]16'!$B$5:$D$200,3,0),"")</f>
        <v/>
      </c>
      <c r="AX48" s="8" t="str">
        <f>IFERROR(VLOOKUP($B$5:$B$199,'[2]16'!$B$5:$G$200,6,0),"")</f>
        <v/>
      </c>
      <c r="AY48" s="8" t="str">
        <f t="shared" si="15"/>
        <v/>
      </c>
      <c r="AZ48" s="8" t="str">
        <f>IFERROR(VLOOKUP($B$5:$B$199,'[2]17'!$B$5:$D$200,3,0),"")</f>
        <v/>
      </c>
      <c r="BA48" s="8" t="str">
        <f>IFERROR(VLOOKUP($B$5:$B$199,'[2]17'!$B$5:$G$200,6,0),"")</f>
        <v/>
      </c>
      <c r="BB48" s="8" t="str">
        <f t="shared" si="16"/>
        <v/>
      </c>
      <c r="BC48" s="8" t="str">
        <f>IFERROR(VLOOKUP($B$5:$B$199,'[2]18'!$B$5:$D$200,3,0),"")</f>
        <v/>
      </c>
      <c r="BD48" s="8" t="str">
        <f>IFERROR(VLOOKUP($B$5:$B$199,'[2]18'!$B$5:$G$200,6,0),"")</f>
        <v/>
      </c>
      <c r="BE48" s="8" t="str">
        <f t="shared" si="17"/>
        <v/>
      </c>
      <c r="BF48" s="8" t="str">
        <f>IFERROR(VLOOKUP($B$5:$B$199,'[2]19'!$B$5:$D$200,3,0),"")</f>
        <v/>
      </c>
      <c r="BG48" s="8" t="str">
        <f>IFERROR(VLOOKUP($B$5:$B$199,'[2]19'!$B$5:$G$200,6,0),"")</f>
        <v/>
      </c>
      <c r="BH48" s="8" t="str">
        <f t="shared" si="18"/>
        <v/>
      </c>
      <c r="BI48" s="8" t="str">
        <f>IFERROR(VLOOKUP($B$5:$B$199,'[2]20'!$B$5:$D$200,3,0),"")</f>
        <v/>
      </c>
      <c r="BJ48" s="8" t="str">
        <f>IFERROR(VLOOKUP($B$5:$B$199,'[2]20'!$B$5:$G$200,6,0),"")</f>
        <v/>
      </c>
      <c r="BK48" s="8" t="str">
        <f t="shared" si="19"/>
        <v/>
      </c>
      <c r="BL48" s="8" t="str">
        <f>IFERROR(VLOOKUP($B$5:$B$199,'[2]21'!$B$5:$D$200,3,0),"")</f>
        <v/>
      </c>
      <c r="BM48" s="8" t="str">
        <f>IFERROR(VLOOKUP($B$5:$B$199,'[2]21'!$B$5:$G$200,6,0),"")</f>
        <v/>
      </c>
      <c r="BN48" s="8" t="str">
        <f t="shared" si="20"/>
        <v/>
      </c>
      <c r="BO48" s="8" t="str">
        <f>IFERROR(VLOOKUP($B$5:$B$199,'[2]22'!$B$5:$D$200,3,0),"")</f>
        <v/>
      </c>
      <c r="BP48" s="8" t="str">
        <f>IFERROR(VLOOKUP($B$5:$B$199,'[2]22'!$B$5:$G$200,6,0),"")</f>
        <v/>
      </c>
      <c r="BQ48" s="8" t="str">
        <f t="shared" si="21"/>
        <v/>
      </c>
      <c r="BR48" s="8" t="str">
        <f>IFERROR(VLOOKUP($B$5:$B$199,'[2]23'!$B$5:$D$200,3,0),"")</f>
        <v/>
      </c>
      <c r="BS48" s="8" t="str">
        <f>IFERROR(VLOOKUP($B$5:$B$199,'[2]23'!$B$5:$G$200,6,0),"")</f>
        <v/>
      </c>
      <c r="BT48" s="8" t="str">
        <f t="shared" si="22"/>
        <v/>
      </c>
      <c r="BU48" s="8" t="str">
        <f>IFERROR(VLOOKUP($B$5:$B$199,'[2]24'!$B$5:$D$200,3,0),"")</f>
        <v/>
      </c>
      <c r="BV48" s="8" t="str">
        <f>IFERROR(VLOOKUP($B$5:$B$199,'[2]24'!$B$5:$G$200,6,0),"")</f>
        <v/>
      </c>
      <c r="BW48" s="8" t="str">
        <f t="shared" si="23"/>
        <v/>
      </c>
      <c r="BX48" s="8" t="str">
        <f>IFERROR(VLOOKUP($B$5:$B$199,'[2]25'!$B$5:$D$200,3,0),"")</f>
        <v/>
      </c>
      <c r="BY48" s="8" t="str">
        <f>IFERROR(VLOOKUP($B$5:$B$199,'[2]25'!$B$5:$G$200,6,0),"")</f>
        <v/>
      </c>
      <c r="BZ48" s="8" t="str">
        <f t="shared" si="24"/>
        <v/>
      </c>
      <c r="CA48" s="8" t="str">
        <f>IFERROR(VLOOKUP($B$5:$B$199,'[2]26'!$B$5:$D$200,3,0),"")</f>
        <v/>
      </c>
      <c r="CB48" s="8" t="str">
        <f>IFERROR(VLOOKUP($B$5:$B$199,'[2]26'!$B$5:$G$200,6,0),"")</f>
        <v/>
      </c>
      <c r="CC48" s="8" t="str">
        <f t="shared" si="25"/>
        <v/>
      </c>
      <c r="CD48" s="8" t="str">
        <f>IFERROR(VLOOKUP($B$5:$B$199,'[2]27'!$B$5:$D$200,3,0),"")</f>
        <v/>
      </c>
      <c r="CE48" s="8" t="str">
        <f>IFERROR(VLOOKUP($B$5:$B$199,'[2]27'!$B$5:$G$200,6,0),"")</f>
        <v/>
      </c>
      <c r="CF48" s="8" t="str">
        <f t="shared" si="26"/>
        <v/>
      </c>
      <c r="CG48" s="8" t="str">
        <f>IFERROR(VLOOKUP($B$5:$B$199,'[2]28'!$B$5:$D$200,3,0),"")</f>
        <v/>
      </c>
      <c r="CH48" s="8" t="str">
        <f>IFERROR(VLOOKUP($B$5:$B$199,'[2]28'!$B$5:$G$200,6,0),"")</f>
        <v/>
      </c>
      <c r="CI48" s="8" t="str">
        <f t="shared" si="27"/>
        <v/>
      </c>
      <c r="CJ48" s="8" t="str">
        <f>IFERROR(VLOOKUP($B$5:$B$199,'[2]29'!$B$5:$D$200,3,0),"")</f>
        <v/>
      </c>
      <c r="CK48" s="8" t="str">
        <f>IFERROR(VLOOKUP($B$5:$B$199,'[2]29'!$B$5:$G$200,6,0),"")</f>
        <v/>
      </c>
      <c r="CL48" s="8" t="str">
        <f t="shared" si="28"/>
        <v/>
      </c>
      <c r="CM48" s="8" t="str">
        <f>IFERROR(VLOOKUP($B$5:$B$199,'[2]30'!$B$5:$D$200,3,0),"")</f>
        <v/>
      </c>
      <c r="CN48" s="8" t="str">
        <f>IFERROR(VLOOKUP($B$5:$B$199,'[2]30'!$B$5:$G$200,6,0),"")</f>
        <v/>
      </c>
      <c r="CO48" s="8" t="str">
        <f t="shared" si="29"/>
        <v/>
      </c>
      <c r="CP48" s="8" t="str">
        <f>IFERROR(VLOOKUP($B$5:$B$199,'[2]31'!$B$5:$D$200,3,0),"")</f>
        <v/>
      </c>
      <c r="CQ48" s="8" t="str">
        <f>IFERROR(VLOOKUP($B$5:$B$199,'[2]31'!$B$5:$G$200,6,0),"")</f>
        <v/>
      </c>
      <c r="CR48" s="8" t="str">
        <f t="shared" si="30"/>
        <v/>
      </c>
      <c r="CT48" s="3">
        <f t="shared" si="31"/>
        <v>10</v>
      </c>
      <c r="CU48" s="3">
        <f t="shared" si="32"/>
        <v>18000</v>
      </c>
      <c r="CV48" s="3">
        <f t="shared" si="33"/>
        <v>180000</v>
      </c>
      <c r="CX48">
        <f t="shared" si="34"/>
        <v>1</v>
      </c>
    </row>
    <row r="49" spans="2:102" x14ac:dyDescent="0.25">
      <c r="B49" s="7" t="s">
        <v>123</v>
      </c>
      <c r="C49" s="7" t="str">
        <f>VLOOKUP($B49,DBASE!$C$7:$D$403,2,0)</f>
        <v>LPK JELLY BOX DUS</v>
      </c>
      <c r="D49" s="8" t="str">
        <f>IFERROR(VLOOKUP($B$5:$B$199,'[2]1'!$B$5:$D$200,3,0),"")</f>
        <v/>
      </c>
      <c r="E49" s="8" t="str">
        <f>IFERROR(VLOOKUP($B$5:$B$199,'[2]1'!$B$5:$G$200,6,0),"")</f>
        <v/>
      </c>
      <c r="F49" s="8" t="str">
        <f t="shared" si="0"/>
        <v/>
      </c>
      <c r="G49" s="8" t="str">
        <f>IFERROR(VLOOKUP($B$5:$B$199,'[2]2'!$B$5:$D$200,3,0),"")</f>
        <v/>
      </c>
      <c r="H49" s="8" t="str">
        <f>IFERROR(VLOOKUP($B$5:$B$199,'[2]2'!$B$5:$G$200,6,0),"")</f>
        <v/>
      </c>
      <c r="I49" s="8" t="str">
        <f t="shared" si="1"/>
        <v/>
      </c>
      <c r="J49" s="8" t="str">
        <f>IFERROR(VLOOKUP($B$5:$B$199,'[2]3'!$B$5:$D$200,3,0),"")</f>
        <v/>
      </c>
      <c r="K49" s="8" t="str">
        <f>IFERROR(VLOOKUP($B$5:$B$199,'[2]3'!$B$5:$G$200,6,0),"")</f>
        <v/>
      </c>
      <c r="L49" s="8" t="str">
        <f t="shared" si="2"/>
        <v/>
      </c>
      <c r="M49" s="8" t="str">
        <f>IFERROR(VLOOKUP($B$5:$B$199,'[2]4'!$B$5:$D$200,3,0),"")</f>
        <v/>
      </c>
      <c r="N49" s="8" t="str">
        <f>IFERROR(VLOOKUP($B$5:$B$199,'[2]4'!$B$5:$G$200,6,0),"")</f>
        <v/>
      </c>
      <c r="O49" s="8" t="str">
        <f t="shared" si="3"/>
        <v/>
      </c>
      <c r="P49" s="8">
        <f>IFERROR(VLOOKUP($B$5:$B$199,'[2]5'!$B$5:$D$200,3,0),"")</f>
        <v>10</v>
      </c>
      <c r="Q49" s="8">
        <f>IFERROR(VLOOKUP($B$5:$B$199,'[2]5'!$B$5:$G$200,6,0),"")</f>
        <v>20750</v>
      </c>
      <c r="R49" s="8">
        <f t="shared" si="4"/>
        <v>207500</v>
      </c>
      <c r="S49" s="8" t="str">
        <f>IFERROR(VLOOKUP($B$5:$B$199,'[2]6'!$B$5:$D$200,3,0),"")</f>
        <v/>
      </c>
      <c r="T49" s="8" t="str">
        <f>IFERROR(VLOOKUP($B$5:$B$199,'[2]6'!$B$5:$G$200,6,0),"")</f>
        <v/>
      </c>
      <c r="U49" s="8" t="str">
        <f t="shared" si="5"/>
        <v/>
      </c>
      <c r="V49" s="8" t="str">
        <f>IFERROR(VLOOKUP($B$5:$B$199,'[2]7'!$B$5:$D$200,3,0),"")</f>
        <v/>
      </c>
      <c r="W49" s="8" t="str">
        <f>IFERROR(VLOOKUP($B$5:$B$199,'[2]7'!$B$5:$G$200,6,0),"")</f>
        <v/>
      </c>
      <c r="X49" s="8" t="str">
        <f t="shared" si="6"/>
        <v/>
      </c>
      <c r="Y49" s="8" t="str">
        <f>IFERROR(VLOOKUP($B$5:$B$199,'[2]8'!$B$5:$D$200,3,0),"")</f>
        <v/>
      </c>
      <c r="Z49" s="8" t="str">
        <f>IFERROR(VLOOKUP($B$5:$B$199,'[2]8'!$B$5:$G$200,6,0),"")</f>
        <v/>
      </c>
      <c r="AA49" s="8" t="str">
        <f t="shared" si="7"/>
        <v/>
      </c>
      <c r="AB49" s="8" t="str">
        <f>IFERROR(VLOOKUP($B$5:$B$199,'[2]9'!$B$5:$D$200,3,0),"")</f>
        <v/>
      </c>
      <c r="AC49" s="8" t="str">
        <f>IFERROR(VLOOKUP($B$5:$B$199,'[2]9'!$B$5:$G$200,6,0),"")</f>
        <v/>
      </c>
      <c r="AD49" s="8" t="str">
        <f t="shared" si="8"/>
        <v/>
      </c>
      <c r="AE49" s="8" t="str">
        <f>IFERROR(VLOOKUP($B$5:$B$199,'[2]10'!$B$5:$D$200,3,0),"")</f>
        <v/>
      </c>
      <c r="AF49" s="8" t="str">
        <f>IFERROR(VLOOKUP($B$5:$B$199,'[2]10'!$B$5:$G$200,6,0),"")</f>
        <v/>
      </c>
      <c r="AG49" s="8" t="str">
        <f t="shared" si="9"/>
        <v/>
      </c>
      <c r="AH49" s="8" t="str">
        <f>IFERROR(VLOOKUP($B$5:$B$199,'[2]11'!$B$5:$D$200,3,0),"")</f>
        <v/>
      </c>
      <c r="AI49" s="8" t="str">
        <f>IFERROR(VLOOKUP($B$5:$B$199,'[2]11'!$B$5:$G$200,6,0),"")</f>
        <v/>
      </c>
      <c r="AJ49" s="8" t="str">
        <f t="shared" si="10"/>
        <v/>
      </c>
      <c r="AK49" s="8" t="str">
        <f>IFERROR(VLOOKUP($B$5:$B$199,'[2]12'!$B$5:$D$200,3,0),"")</f>
        <v/>
      </c>
      <c r="AL49" s="8" t="str">
        <f>IFERROR(VLOOKUP($B$5:$B$199,'[2]12'!$B$5:$G$200,6,0),"")</f>
        <v/>
      </c>
      <c r="AM49" s="8" t="str">
        <f t="shared" si="11"/>
        <v/>
      </c>
      <c r="AN49" s="8" t="str">
        <f>IFERROR(VLOOKUP($B$5:$B$199,'[2]13'!$B$5:$D$200,3,0),"")</f>
        <v/>
      </c>
      <c r="AO49" s="8" t="str">
        <f>IFERROR(VLOOKUP($B$5:$B$199,'[2]13'!$B$5:$G$200,6,0),"")</f>
        <v/>
      </c>
      <c r="AP49" s="8" t="str">
        <f t="shared" si="12"/>
        <v/>
      </c>
      <c r="AQ49" s="8" t="str">
        <f>IFERROR(VLOOKUP($B$5:$B$199,'[2]14'!$B$5:$D$200,3,0),"")</f>
        <v/>
      </c>
      <c r="AR49" s="8" t="str">
        <f>IFERROR(VLOOKUP($B$5:$B$199,'[2]14'!$B$5:$G$200,6,0),"")</f>
        <v/>
      </c>
      <c r="AS49" s="8" t="str">
        <f t="shared" si="13"/>
        <v/>
      </c>
      <c r="AT49" s="8" t="str">
        <f>IFERROR(VLOOKUP($B$5:$B$199,'[2]15'!$B$5:$D$200,3,0),"")</f>
        <v/>
      </c>
      <c r="AU49" s="8" t="str">
        <f>IFERROR(VLOOKUP($B$5:$B$199,'[2]15'!$B$5:$G$200,6,0),"")</f>
        <v/>
      </c>
      <c r="AV49" s="8" t="str">
        <f t="shared" si="14"/>
        <v/>
      </c>
      <c r="AW49" s="8" t="str">
        <f>IFERROR(VLOOKUP($B$5:$B$199,'[2]16'!$B$5:$D$200,3,0),"")</f>
        <v/>
      </c>
      <c r="AX49" s="8" t="str">
        <f>IFERROR(VLOOKUP($B$5:$B$199,'[2]16'!$B$5:$G$200,6,0),"")</f>
        <v/>
      </c>
      <c r="AY49" s="8" t="str">
        <f t="shared" si="15"/>
        <v/>
      </c>
      <c r="AZ49" s="8" t="str">
        <f>IFERROR(VLOOKUP($B$5:$B$199,'[2]17'!$B$5:$D$200,3,0),"")</f>
        <v/>
      </c>
      <c r="BA49" s="8" t="str">
        <f>IFERROR(VLOOKUP($B$5:$B$199,'[2]17'!$B$5:$G$200,6,0),"")</f>
        <v/>
      </c>
      <c r="BB49" s="8" t="str">
        <f t="shared" si="16"/>
        <v/>
      </c>
      <c r="BC49" s="8" t="str">
        <f>IFERROR(VLOOKUP($B$5:$B$199,'[2]18'!$B$5:$D$200,3,0),"")</f>
        <v/>
      </c>
      <c r="BD49" s="8" t="str">
        <f>IFERROR(VLOOKUP($B$5:$B$199,'[2]18'!$B$5:$G$200,6,0),"")</f>
        <v/>
      </c>
      <c r="BE49" s="8" t="str">
        <f t="shared" si="17"/>
        <v/>
      </c>
      <c r="BF49" s="8" t="str">
        <f>IFERROR(VLOOKUP($B$5:$B$199,'[2]19'!$B$5:$D$200,3,0),"")</f>
        <v/>
      </c>
      <c r="BG49" s="8" t="str">
        <f>IFERROR(VLOOKUP($B$5:$B$199,'[2]19'!$B$5:$G$200,6,0),"")</f>
        <v/>
      </c>
      <c r="BH49" s="8" t="str">
        <f t="shared" si="18"/>
        <v/>
      </c>
      <c r="BI49" s="8" t="str">
        <f>IFERROR(VLOOKUP($B$5:$B$199,'[2]20'!$B$5:$D$200,3,0),"")</f>
        <v/>
      </c>
      <c r="BJ49" s="8" t="str">
        <f>IFERROR(VLOOKUP($B$5:$B$199,'[2]20'!$B$5:$G$200,6,0),"")</f>
        <v/>
      </c>
      <c r="BK49" s="8" t="str">
        <f t="shared" si="19"/>
        <v/>
      </c>
      <c r="BL49" s="8" t="str">
        <f>IFERROR(VLOOKUP($B$5:$B$199,'[2]21'!$B$5:$D$200,3,0),"")</f>
        <v/>
      </c>
      <c r="BM49" s="8" t="str">
        <f>IFERROR(VLOOKUP($B$5:$B$199,'[2]21'!$B$5:$G$200,6,0),"")</f>
        <v/>
      </c>
      <c r="BN49" s="8" t="str">
        <f t="shared" si="20"/>
        <v/>
      </c>
      <c r="BO49" s="8" t="str">
        <f>IFERROR(VLOOKUP($B$5:$B$199,'[2]22'!$B$5:$D$200,3,0),"")</f>
        <v/>
      </c>
      <c r="BP49" s="8" t="str">
        <f>IFERROR(VLOOKUP($B$5:$B$199,'[2]22'!$B$5:$G$200,6,0),"")</f>
        <v/>
      </c>
      <c r="BQ49" s="8" t="str">
        <f t="shared" si="21"/>
        <v/>
      </c>
      <c r="BR49" s="8" t="str">
        <f>IFERROR(VLOOKUP($B$5:$B$199,'[2]23'!$B$5:$D$200,3,0),"")</f>
        <v/>
      </c>
      <c r="BS49" s="8" t="str">
        <f>IFERROR(VLOOKUP($B$5:$B$199,'[2]23'!$B$5:$G$200,6,0),"")</f>
        <v/>
      </c>
      <c r="BT49" s="8" t="str">
        <f t="shared" si="22"/>
        <v/>
      </c>
      <c r="BU49" s="8" t="str">
        <f>IFERROR(VLOOKUP($B$5:$B$199,'[2]24'!$B$5:$D$200,3,0),"")</f>
        <v/>
      </c>
      <c r="BV49" s="8" t="str">
        <f>IFERROR(VLOOKUP($B$5:$B$199,'[2]24'!$B$5:$G$200,6,0),"")</f>
        <v/>
      </c>
      <c r="BW49" s="8" t="str">
        <f t="shared" si="23"/>
        <v/>
      </c>
      <c r="BX49" s="8" t="str">
        <f>IFERROR(VLOOKUP($B$5:$B$199,'[2]25'!$B$5:$D$200,3,0),"")</f>
        <v/>
      </c>
      <c r="BY49" s="8" t="str">
        <f>IFERROR(VLOOKUP($B$5:$B$199,'[2]25'!$B$5:$G$200,6,0),"")</f>
        <v/>
      </c>
      <c r="BZ49" s="8" t="str">
        <f t="shared" si="24"/>
        <v/>
      </c>
      <c r="CA49" s="8" t="str">
        <f>IFERROR(VLOOKUP($B$5:$B$199,'[2]26'!$B$5:$D$200,3,0),"")</f>
        <v/>
      </c>
      <c r="CB49" s="8" t="str">
        <f>IFERROR(VLOOKUP($B$5:$B$199,'[2]26'!$B$5:$G$200,6,0),"")</f>
        <v/>
      </c>
      <c r="CC49" s="8" t="str">
        <f t="shared" si="25"/>
        <v/>
      </c>
      <c r="CD49" s="8" t="str">
        <f>IFERROR(VLOOKUP($B$5:$B$199,'[2]27'!$B$5:$D$200,3,0),"")</f>
        <v/>
      </c>
      <c r="CE49" s="8" t="str">
        <f>IFERROR(VLOOKUP($B$5:$B$199,'[2]27'!$B$5:$G$200,6,0),"")</f>
        <v/>
      </c>
      <c r="CF49" s="8" t="str">
        <f t="shared" si="26"/>
        <v/>
      </c>
      <c r="CG49" s="8" t="str">
        <f>IFERROR(VLOOKUP($B$5:$B$199,'[2]28'!$B$5:$D$200,3,0),"")</f>
        <v/>
      </c>
      <c r="CH49" s="8" t="str">
        <f>IFERROR(VLOOKUP($B$5:$B$199,'[2]28'!$B$5:$G$200,6,0),"")</f>
        <v/>
      </c>
      <c r="CI49" s="8" t="str">
        <f t="shared" si="27"/>
        <v/>
      </c>
      <c r="CJ49" s="8" t="str">
        <f>IFERROR(VLOOKUP($B$5:$B$199,'[2]29'!$B$5:$D$200,3,0),"")</f>
        <v/>
      </c>
      <c r="CK49" s="8" t="str">
        <f>IFERROR(VLOOKUP($B$5:$B$199,'[2]29'!$B$5:$G$200,6,0),"")</f>
        <v/>
      </c>
      <c r="CL49" s="8" t="str">
        <f t="shared" si="28"/>
        <v/>
      </c>
      <c r="CM49" s="8" t="str">
        <f>IFERROR(VLOOKUP($B$5:$B$199,'[2]30'!$B$5:$D$200,3,0),"")</f>
        <v/>
      </c>
      <c r="CN49" s="8" t="str">
        <f>IFERROR(VLOOKUP($B$5:$B$199,'[2]30'!$B$5:$G$200,6,0),"")</f>
        <v/>
      </c>
      <c r="CO49" s="8" t="str">
        <f t="shared" si="29"/>
        <v/>
      </c>
      <c r="CP49" s="8" t="str">
        <f>IFERROR(VLOOKUP($B$5:$B$199,'[2]31'!$B$5:$D$200,3,0),"")</f>
        <v/>
      </c>
      <c r="CQ49" s="8" t="str">
        <f>IFERROR(VLOOKUP($B$5:$B$199,'[2]31'!$B$5:$G$200,6,0),"")</f>
        <v/>
      </c>
      <c r="CR49" s="8" t="str">
        <f t="shared" si="30"/>
        <v/>
      </c>
      <c r="CT49" s="3">
        <f t="shared" si="31"/>
        <v>10</v>
      </c>
      <c r="CU49" s="3">
        <f t="shared" si="32"/>
        <v>20750</v>
      </c>
      <c r="CV49" s="3">
        <f t="shared" si="33"/>
        <v>207500</v>
      </c>
      <c r="CX49">
        <f t="shared" si="34"/>
        <v>1</v>
      </c>
    </row>
    <row r="50" spans="2:102" x14ac:dyDescent="0.25">
      <c r="B50" s="7" t="s">
        <v>120</v>
      </c>
      <c r="C50" s="7" t="str">
        <f>VLOOKUP($B50,DBASE!$C$7:$D$403,2,0)</f>
        <v>NITCHI MEISES</v>
      </c>
      <c r="D50" s="8" t="str">
        <f>IFERROR(VLOOKUP($B$5:$B$199,'[2]1'!$B$5:$D$200,3,0),"")</f>
        <v/>
      </c>
      <c r="E50" s="8" t="str">
        <f>IFERROR(VLOOKUP($B$5:$B$199,'[2]1'!$B$5:$G$200,6,0),"")</f>
        <v/>
      </c>
      <c r="F50" s="8" t="str">
        <f t="shared" si="0"/>
        <v/>
      </c>
      <c r="G50" s="8" t="str">
        <f>IFERROR(VLOOKUP($B$5:$B$199,'[2]2'!$B$5:$D$200,3,0),"")</f>
        <v/>
      </c>
      <c r="H50" s="8" t="str">
        <f>IFERROR(VLOOKUP($B$5:$B$199,'[2]2'!$B$5:$G$200,6,0),"")</f>
        <v/>
      </c>
      <c r="I50" s="8" t="str">
        <f t="shared" si="1"/>
        <v/>
      </c>
      <c r="J50" s="8" t="str">
        <f>IFERROR(VLOOKUP($B$5:$B$199,'[2]3'!$B$5:$D$200,3,0),"")</f>
        <v/>
      </c>
      <c r="K50" s="8" t="str">
        <f>IFERROR(VLOOKUP($B$5:$B$199,'[2]3'!$B$5:$G$200,6,0),"")</f>
        <v/>
      </c>
      <c r="L50" s="8" t="str">
        <f t="shared" si="2"/>
        <v/>
      </c>
      <c r="M50" s="8" t="str">
        <f>IFERROR(VLOOKUP($B$5:$B$199,'[2]4'!$B$5:$D$200,3,0),"")</f>
        <v/>
      </c>
      <c r="N50" s="8" t="str">
        <f>IFERROR(VLOOKUP($B$5:$B$199,'[2]4'!$B$5:$G$200,6,0),"")</f>
        <v/>
      </c>
      <c r="O50" s="8" t="str">
        <f t="shared" si="3"/>
        <v/>
      </c>
      <c r="P50" s="8">
        <f>IFERROR(VLOOKUP($B$5:$B$199,'[2]5'!$B$5:$D$200,3,0),"")</f>
        <v>10</v>
      </c>
      <c r="Q50" s="8">
        <f>IFERROR(VLOOKUP($B$5:$B$199,'[2]5'!$B$5:$G$200,6,0),"")</f>
        <v>46060</v>
      </c>
      <c r="R50" s="8">
        <f t="shared" si="4"/>
        <v>460600</v>
      </c>
      <c r="S50" s="8" t="str">
        <f>IFERROR(VLOOKUP($B$5:$B$199,'[2]6'!$B$5:$D$200,3,0),"")</f>
        <v/>
      </c>
      <c r="T50" s="8" t="str">
        <f>IFERROR(VLOOKUP($B$5:$B$199,'[2]6'!$B$5:$G$200,6,0),"")</f>
        <v/>
      </c>
      <c r="U50" s="8" t="str">
        <f t="shared" si="5"/>
        <v/>
      </c>
      <c r="V50" s="8" t="str">
        <f>IFERROR(VLOOKUP($B$5:$B$199,'[2]7'!$B$5:$D$200,3,0),"")</f>
        <v/>
      </c>
      <c r="W50" s="8" t="str">
        <f>IFERROR(VLOOKUP($B$5:$B$199,'[2]7'!$B$5:$G$200,6,0),"")</f>
        <v/>
      </c>
      <c r="X50" s="8" t="str">
        <f t="shared" si="6"/>
        <v/>
      </c>
      <c r="Y50" s="8" t="str">
        <f>IFERROR(VLOOKUP($B$5:$B$199,'[2]8'!$B$5:$D$200,3,0),"")</f>
        <v/>
      </c>
      <c r="Z50" s="8" t="str">
        <f>IFERROR(VLOOKUP($B$5:$B$199,'[2]8'!$B$5:$G$200,6,0),"")</f>
        <v/>
      </c>
      <c r="AA50" s="8" t="str">
        <f t="shared" si="7"/>
        <v/>
      </c>
      <c r="AB50" s="8" t="str">
        <f>IFERROR(VLOOKUP($B$5:$B$199,'[2]9'!$B$5:$D$200,3,0),"")</f>
        <v/>
      </c>
      <c r="AC50" s="8" t="str">
        <f>IFERROR(VLOOKUP($B$5:$B$199,'[2]9'!$B$5:$G$200,6,0),"")</f>
        <v/>
      </c>
      <c r="AD50" s="8" t="str">
        <f t="shared" si="8"/>
        <v/>
      </c>
      <c r="AE50" s="8" t="str">
        <f>IFERROR(VLOOKUP($B$5:$B$199,'[2]10'!$B$5:$D$200,3,0),"")</f>
        <v/>
      </c>
      <c r="AF50" s="8" t="str">
        <f>IFERROR(VLOOKUP($B$5:$B$199,'[2]10'!$B$5:$G$200,6,0),"")</f>
        <v/>
      </c>
      <c r="AG50" s="8" t="str">
        <f t="shared" si="9"/>
        <v/>
      </c>
      <c r="AH50" s="8" t="str">
        <f>IFERROR(VLOOKUP($B$5:$B$199,'[2]11'!$B$5:$D$200,3,0),"")</f>
        <v/>
      </c>
      <c r="AI50" s="8" t="str">
        <f>IFERROR(VLOOKUP($B$5:$B$199,'[2]11'!$B$5:$G$200,6,0),"")</f>
        <v/>
      </c>
      <c r="AJ50" s="8" t="str">
        <f t="shared" si="10"/>
        <v/>
      </c>
      <c r="AK50" s="8" t="str">
        <f>IFERROR(VLOOKUP($B$5:$B$199,'[2]12'!$B$5:$D$200,3,0),"")</f>
        <v/>
      </c>
      <c r="AL50" s="8" t="str">
        <f>IFERROR(VLOOKUP($B$5:$B$199,'[2]12'!$B$5:$G$200,6,0),"")</f>
        <v/>
      </c>
      <c r="AM50" s="8" t="str">
        <f t="shared" si="11"/>
        <v/>
      </c>
      <c r="AN50" s="8" t="str">
        <f>IFERROR(VLOOKUP($B$5:$B$199,'[2]13'!$B$5:$D$200,3,0),"")</f>
        <v/>
      </c>
      <c r="AO50" s="8" t="str">
        <f>IFERROR(VLOOKUP($B$5:$B$199,'[2]13'!$B$5:$G$200,6,0),"")</f>
        <v/>
      </c>
      <c r="AP50" s="8" t="str">
        <f t="shared" si="12"/>
        <v/>
      </c>
      <c r="AQ50" s="8" t="str">
        <f>IFERROR(VLOOKUP($B$5:$B$199,'[2]14'!$B$5:$D$200,3,0),"")</f>
        <v/>
      </c>
      <c r="AR50" s="8" t="str">
        <f>IFERROR(VLOOKUP($B$5:$B$199,'[2]14'!$B$5:$G$200,6,0),"")</f>
        <v/>
      </c>
      <c r="AS50" s="8" t="str">
        <f t="shared" si="13"/>
        <v/>
      </c>
      <c r="AT50" s="8" t="str">
        <f>IFERROR(VLOOKUP($B$5:$B$199,'[2]15'!$B$5:$D$200,3,0),"")</f>
        <v/>
      </c>
      <c r="AU50" s="8" t="str">
        <f>IFERROR(VLOOKUP($B$5:$B$199,'[2]15'!$B$5:$G$200,6,0),"")</f>
        <v/>
      </c>
      <c r="AV50" s="8" t="str">
        <f t="shared" si="14"/>
        <v/>
      </c>
      <c r="AW50" s="8" t="str">
        <f>IFERROR(VLOOKUP($B$5:$B$199,'[2]16'!$B$5:$D$200,3,0),"")</f>
        <v/>
      </c>
      <c r="AX50" s="8" t="str">
        <f>IFERROR(VLOOKUP($B$5:$B$199,'[2]16'!$B$5:$G$200,6,0),"")</f>
        <v/>
      </c>
      <c r="AY50" s="8" t="str">
        <f t="shared" si="15"/>
        <v/>
      </c>
      <c r="AZ50" s="8" t="str">
        <f>IFERROR(VLOOKUP($B$5:$B$199,'[2]17'!$B$5:$D$200,3,0),"")</f>
        <v/>
      </c>
      <c r="BA50" s="8" t="str">
        <f>IFERROR(VLOOKUP($B$5:$B$199,'[2]17'!$B$5:$G$200,6,0),"")</f>
        <v/>
      </c>
      <c r="BB50" s="8" t="str">
        <f t="shared" si="16"/>
        <v/>
      </c>
      <c r="BC50" s="8" t="str">
        <f>IFERROR(VLOOKUP($B$5:$B$199,'[2]18'!$B$5:$D$200,3,0),"")</f>
        <v/>
      </c>
      <c r="BD50" s="8" t="str">
        <f>IFERROR(VLOOKUP($B$5:$B$199,'[2]18'!$B$5:$G$200,6,0),"")</f>
        <v/>
      </c>
      <c r="BE50" s="8" t="str">
        <f t="shared" si="17"/>
        <v/>
      </c>
      <c r="BF50" s="8" t="str">
        <f>IFERROR(VLOOKUP($B$5:$B$199,'[2]19'!$B$5:$D$200,3,0),"")</f>
        <v/>
      </c>
      <c r="BG50" s="8" t="str">
        <f>IFERROR(VLOOKUP($B$5:$B$199,'[2]19'!$B$5:$G$200,6,0),"")</f>
        <v/>
      </c>
      <c r="BH50" s="8" t="str">
        <f t="shared" si="18"/>
        <v/>
      </c>
      <c r="BI50" s="8" t="str">
        <f>IFERROR(VLOOKUP($B$5:$B$199,'[2]20'!$B$5:$D$200,3,0),"")</f>
        <v/>
      </c>
      <c r="BJ50" s="8" t="str">
        <f>IFERROR(VLOOKUP($B$5:$B$199,'[2]20'!$B$5:$G$200,6,0),"")</f>
        <v/>
      </c>
      <c r="BK50" s="8" t="str">
        <f t="shared" si="19"/>
        <v/>
      </c>
      <c r="BL50" s="8" t="str">
        <f>IFERROR(VLOOKUP($B$5:$B$199,'[2]21'!$B$5:$D$200,3,0),"")</f>
        <v/>
      </c>
      <c r="BM50" s="8" t="str">
        <f>IFERROR(VLOOKUP($B$5:$B$199,'[2]21'!$B$5:$G$200,6,0),"")</f>
        <v/>
      </c>
      <c r="BN50" s="8" t="str">
        <f t="shared" si="20"/>
        <v/>
      </c>
      <c r="BO50" s="8" t="str">
        <f>IFERROR(VLOOKUP($B$5:$B$199,'[2]22'!$B$5:$D$200,3,0),"")</f>
        <v/>
      </c>
      <c r="BP50" s="8" t="str">
        <f>IFERROR(VLOOKUP($B$5:$B$199,'[2]22'!$B$5:$G$200,6,0),"")</f>
        <v/>
      </c>
      <c r="BQ50" s="8" t="str">
        <f t="shared" si="21"/>
        <v/>
      </c>
      <c r="BR50" s="8" t="str">
        <f>IFERROR(VLOOKUP($B$5:$B$199,'[2]23'!$B$5:$D$200,3,0),"")</f>
        <v/>
      </c>
      <c r="BS50" s="8" t="str">
        <f>IFERROR(VLOOKUP($B$5:$B$199,'[2]23'!$B$5:$G$200,6,0),"")</f>
        <v/>
      </c>
      <c r="BT50" s="8" t="str">
        <f t="shared" si="22"/>
        <v/>
      </c>
      <c r="BU50" s="8" t="str">
        <f>IFERROR(VLOOKUP($B$5:$B$199,'[2]24'!$B$5:$D$200,3,0),"")</f>
        <v/>
      </c>
      <c r="BV50" s="8" t="str">
        <f>IFERROR(VLOOKUP($B$5:$B$199,'[2]24'!$B$5:$G$200,6,0),"")</f>
        <v/>
      </c>
      <c r="BW50" s="8" t="str">
        <f t="shared" si="23"/>
        <v/>
      </c>
      <c r="BX50" s="8" t="str">
        <f>IFERROR(VLOOKUP($B$5:$B$199,'[2]25'!$B$5:$D$200,3,0),"")</f>
        <v/>
      </c>
      <c r="BY50" s="8" t="str">
        <f>IFERROR(VLOOKUP($B$5:$B$199,'[2]25'!$B$5:$G$200,6,0),"")</f>
        <v/>
      </c>
      <c r="BZ50" s="8" t="str">
        <f t="shared" si="24"/>
        <v/>
      </c>
      <c r="CA50" s="8" t="str">
        <f>IFERROR(VLOOKUP($B$5:$B$199,'[2]26'!$B$5:$D$200,3,0),"")</f>
        <v/>
      </c>
      <c r="CB50" s="8" t="str">
        <f>IFERROR(VLOOKUP($B$5:$B$199,'[2]26'!$B$5:$G$200,6,0),"")</f>
        <v/>
      </c>
      <c r="CC50" s="8" t="str">
        <f t="shared" si="25"/>
        <v/>
      </c>
      <c r="CD50" s="8" t="str">
        <f>IFERROR(VLOOKUP($B$5:$B$199,'[2]27'!$B$5:$D$200,3,0),"")</f>
        <v/>
      </c>
      <c r="CE50" s="8" t="str">
        <f>IFERROR(VLOOKUP($B$5:$B$199,'[2]27'!$B$5:$G$200,6,0),"")</f>
        <v/>
      </c>
      <c r="CF50" s="8" t="str">
        <f t="shared" si="26"/>
        <v/>
      </c>
      <c r="CG50" s="8" t="str">
        <f>IFERROR(VLOOKUP($B$5:$B$199,'[2]28'!$B$5:$D$200,3,0),"")</f>
        <v/>
      </c>
      <c r="CH50" s="8" t="str">
        <f>IFERROR(VLOOKUP($B$5:$B$199,'[2]28'!$B$5:$G$200,6,0),"")</f>
        <v/>
      </c>
      <c r="CI50" s="8" t="str">
        <f t="shared" si="27"/>
        <v/>
      </c>
      <c r="CJ50" s="8" t="str">
        <f>IFERROR(VLOOKUP($B$5:$B$199,'[2]29'!$B$5:$D$200,3,0),"")</f>
        <v/>
      </c>
      <c r="CK50" s="8" t="str">
        <f>IFERROR(VLOOKUP($B$5:$B$199,'[2]29'!$B$5:$G$200,6,0),"")</f>
        <v/>
      </c>
      <c r="CL50" s="8" t="str">
        <f t="shared" si="28"/>
        <v/>
      </c>
      <c r="CM50" s="8" t="str">
        <f>IFERROR(VLOOKUP($B$5:$B$199,'[2]30'!$B$5:$D$200,3,0),"")</f>
        <v/>
      </c>
      <c r="CN50" s="8" t="str">
        <f>IFERROR(VLOOKUP($B$5:$B$199,'[2]30'!$B$5:$G$200,6,0),"")</f>
        <v/>
      </c>
      <c r="CO50" s="8" t="str">
        <f t="shared" si="29"/>
        <v/>
      </c>
      <c r="CP50" s="8" t="str">
        <f>IFERROR(VLOOKUP($B$5:$B$199,'[2]31'!$B$5:$D$200,3,0),"")</f>
        <v/>
      </c>
      <c r="CQ50" s="8" t="str">
        <f>IFERROR(VLOOKUP($B$5:$B$199,'[2]31'!$B$5:$G$200,6,0),"")</f>
        <v/>
      </c>
      <c r="CR50" s="8" t="str">
        <f t="shared" si="30"/>
        <v/>
      </c>
      <c r="CT50" s="3">
        <f t="shared" si="31"/>
        <v>10</v>
      </c>
      <c r="CU50" s="3">
        <f t="shared" si="32"/>
        <v>46060</v>
      </c>
      <c r="CV50" s="3">
        <f t="shared" si="33"/>
        <v>460600</v>
      </c>
      <c r="CX50">
        <f t="shared" si="34"/>
        <v>1</v>
      </c>
    </row>
    <row r="51" spans="2:102" x14ac:dyDescent="0.25">
      <c r="B51" s="7" t="s">
        <v>121</v>
      </c>
      <c r="C51" s="7" t="str">
        <f>VLOOKUP($B51,DBASE!$C$7:$D$403,2,0)</f>
        <v>WASUKA NITCHI PASTA</v>
      </c>
      <c r="D51" s="8" t="str">
        <f>IFERROR(VLOOKUP($B$5:$B$199,'[2]1'!$B$5:$D$200,3,0),"")</f>
        <v/>
      </c>
      <c r="E51" s="8" t="str">
        <f>IFERROR(VLOOKUP($B$5:$B$199,'[2]1'!$B$5:$G$200,6,0),"")</f>
        <v/>
      </c>
      <c r="F51" s="8" t="str">
        <f t="shared" si="0"/>
        <v/>
      </c>
      <c r="G51" s="8" t="str">
        <f>IFERROR(VLOOKUP($B$5:$B$199,'[2]2'!$B$5:$D$200,3,0),"")</f>
        <v/>
      </c>
      <c r="H51" s="8" t="str">
        <f>IFERROR(VLOOKUP($B$5:$B$199,'[2]2'!$B$5:$G$200,6,0),"")</f>
        <v/>
      </c>
      <c r="I51" s="8" t="str">
        <f t="shared" si="1"/>
        <v/>
      </c>
      <c r="J51" s="8" t="str">
        <f>IFERROR(VLOOKUP($B$5:$B$199,'[2]3'!$B$5:$D$200,3,0),"")</f>
        <v/>
      </c>
      <c r="K51" s="8" t="str">
        <f>IFERROR(VLOOKUP($B$5:$B$199,'[2]3'!$B$5:$G$200,6,0),"")</f>
        <v/>
      </c>
      <c r="L51" s="8" t="str">
        <f t="shared" si="2"/>
        <v/>
      </c>
      <c r="M51" s="8" t="str">
        <f>IFERROR(VLOOKUP($B$5:$B$199,'[2]4'!$B$5:$D$200,3,0),"")</f>
        <v/>
      </c>
      <c r="N51" s="8" t="str">
        <f>IFERROR(VLOOKUP($B$5:$B$199,'[2]4'!$B$5:$G$200,6,0),"")</f>
        <v/>
      </c>
      <c r="O51" s="8" t="str">
        <f t="shared" si="3"/>
        <v/>
      </c>
      <c r="P51" s="8">
        <f>IFERROR(VLOOKUP($B$5:$B$199,'[2]5'!$B$5:$D$200,3,0),"")</f>
        <v>10</v>
      </c>
      <c r="Q51" s="8">
        <f>IFERROR(VLOOKUP($B$5:$B$199,'[2]5'!$B$5:$G$200,6,0),"")</f>
        <v>56448</v>
      </c>
      <c r="R51" s="8">
        <f t="shared" si="4"/>
        <v>564480</v>
      </c>
      <c r="S51" s="8" t="str">
        <f>IFERROR(VLOOKUP($B$5:$B$199,'[2]6'!$B$5:$D$200,3,0),"")</f>
        <v/>
      </c>
      <c r="T51" s="8" t="str">
        <f>IFERROR(VLOOKUP($B$5:$B$199,'[2]6'!$B$5:$G$200,6,0),"")</f>
        <v/>
      </c>
      <c r="U51" s="8" t="str">
        <f t="shared" si="5"/>
        <v/>
      </c>
      <c r="V51" s="8" t="str">
        <f>IFERROR(VLOOKUP($B$5:$B$199,'[2]7'!$B$5:$D$200,3,0),"")</f>
        <v/>
      </c>
      <c r="W51" s="8" t="str">
        <f>IFERROR(VLOOKUP($B$5:$B$199,'[2]7'!$B$5:$G$200,6,0),"")</f>
        <v/>
      </c>
      <c r="X51" s="8" t="str">
        <f t="shared" si="6"/>
        <v/>
      </c>
      <c r="Y51" s="8" t="str">
        <f>IFERROR(VLOOKUP($B$5:$B$199,'[2]8'!$B$5:$D$200,3,0),"")</f>
        <v/>
      </c>
      <c r="Z51" s="8" t="str">
        <f>IFERROR(VLOOKUP($B$5:$B$199,'[2]8'!$B$5:$G$200,6,0),"")</f>
        <v/>
      </c>
      <c r="AA51" s="8" t="str">
        <f t="shared" si="7"/>
        <v/>
      </c>
      <c r="AB51" s="8" t="str">
        <f>IFERROR(VLOOKUP($B$5:$B$199,'[2]9'!$B$5:$D$200,3,0),"")</f>
        <v/>
      </c>
      <c r="AC51" s="8" t="str">
        <f>IFERROR(VLOOKUP($B$5:$B$199,'[2]9'!$B$5:$G$200,6,0),"")</f>
        <v/>
      </c>
      <c r="AD51" s="8" t="str">
        <f t="shared" si="8"/>
        <v/>
      </c>
      <c r="AE51" s="8" t="str">
        <f>IFERROR(VLOOKUP($B$5:$B$199,'[2]10'!$B$5:$D$200,3,0),"")</f>
        <v/>
      </c>
      <c r="AF51" s="8" t="str">
        <f>IFERROR(VLOOKUP($B$5:$B$199,'[2]10'!$B$5:$G$200,6,0),"")</f>
        <v/>
      </c>
      <c r="AG51" s="8" t="str">
        <f t="shared" si="9"/>
        <v/>
      </c>
      <c r="AH51" s="8" t="str">
        <f>IFERROR(VLOOKUP($B$5:$B$199,'[2]11'!$B$5:$D$200,3,0),"")</f>
        <v/>
      </c>
      <c r="AI51" s="8" t="str">
        <f>IFERROR(VLOOKUP($B$5:$B$199,'[2]11'!$B$5:$G$200,6,0),"")</f>
        <v/>
      </c>
      <c r="AJ51" s="8" t="str">
        <f t="shared" si="10"/>
        <v/>
      </c>
      <c r="AK51" s="8" t="str">
        <f>IFERROR(VLOOKUP($B$5:$B$199,'[2]12'!$B$5:$D$200,3,0),"")</f>
        <v/>
      </c>
      <c r="AL51" s="8" t="str">
        <f>IFERROR(VLOOKUP($B$5:$B$199,'[2]12'!$B$5:$G$200,6,0),"")</f>
        <v/>
      </c>
      <c r="AM51" s="8" t="str">
        <f t="shared" si="11"/>
        <v/>
      </c>
      <c r="AN51" s="8" t="str">
        <f>IFERROR(VLOOKUP($B$5:$B$199,'[2]13'!$B$5:$D$200,3,0),"")</f>
        <v/>
      </c>
      <c r="AO51" s="8" t="str">
        <f>IFERROR(VLOOKUP($B$5:$B$199,'[2]13'!$B$5:$G$200,6,0),"")</f>
        <v/>
      </c>
      <c r="AP51" s="8" t="str">
        <f t="shared" si="12"/>
        <v/>
      </c>
      <c r="AQ51" s="8" t="str">
        <f>IFERROR(VLOOKUP($B$5:$B$199,'[2]14'!$B$5:$D$200,3,0),"")</f>
        <v/>
      </c>
      <c r="AR51" s="8" t="str">
        <f>IFERROR(VLOOKUP($B$5:$B$199,'[2]14'!$B$5:$G$200,6,0),"")</f>
        <v/>
      </c>
      <c r="AS51" s="8" t="str">
        <f t="shared" si="13"/>
        <v/>
      </c>
      <c r="AT51" s="8" t="str">
        <f>IFERROR(VLOOKUP($B$5:$B$199,'[2]15'!$B$5:$D$200,3,0),"")</f>
        <v/>
      </c>
      <c r="AU51" s="8" t="str">
        <f>IFERROR(VLOOKUP($B$5:$B$199,'[2]15'!$B$5:$G$200,6,0),"")</f>
        <v/>
      </c>
      <c r="AV51" s="8" t="str">
        <f t="shared" si="14"/>
        <v/>
      </c>
      <c r="AW51" s="8" t="str">
        <f>IFERROR(VLOOKUP($B$5:$B$199,'[2]16'!$B$5:$D$200,3,0),"")</f>
        <v/>
      </c>
      <c r="AX51" s="8" t="str">
        <f>IFERROR(VLOOKUP($B$5:$B$199,'[2]16'!$B$5:$G$200,6,0),"")</f>
        <v/>
      </c>
      <c r="AY51" s="8" t="str">
        <f t="shared" si="15"/>
        <v/>
      </c>
      <c r="AZ51" s="8" t="str">
        <f>IFERROR(VLOOKUP($B$5:$B$199,'[2]17'!$B$5:$D$200,3,0),"")</f>
        <v/>
      </c>
      <c r="BA51" s="8" t="str">
        <f>IFERROR(VLOOKUP($B$5:$B$199,'[2]17'!$B$5:$G$200,6,0),"")</f>
        <v/>
      </c>
      <c r="BB51" s="8" t="str">
        <f t="shared" si="16"/>
        <v/>
      </c>
      <c r="BC51" s="8" t="str">
        <f>IFERROR(VLOOKUP($B$5:$B$199,'[2]18'!$B$5:$D$200,3,0),"")</f>
        <v/>
      </c>
      <c r="BD51" s="8" t="str">
        <f>IFERROR(VLOOKUP($B$5:$B$199,'[2]18'!$B$5:$G$200,6,0),"")</f>
        <v/>
      </c>
      <c r="BE51" s="8" t="str">
        <f t="shared" si="17"/>
        <v/>
      </c>
      <c r="BF51" s="8" t="str">
        <f>IFERROR(VLOOKUP($B$5:$B$199,'[2]19'!$B$5:$D$200,3,0),"")</f>
        <v/>
      </c>
      <c r="BG51" s="8" t="str">
        <f>IFERROR(VLOOKUP($B$5:$B$199,'[2]19'!$B$5:$G$200,6,0),"")</f>
        <v/>
      </c>
      <c r="BH51" s="8" t="str">
        <f t="shared" si="18"/>
        <v/>
      </c>
      <c r="BI51" s="8" t="str">
        <f>IFERROR(VLOOKUP($B$5:$B$199,'[2]20'!$B$5:$D$200,3,0),"")</f>
        <v/>
      </c>
      <c r="BJ51" s="8" t="str">
        <f>IFERROR(VLOOKUP($B$5:$B$199,'[2]20'!$B$5:$G$200,6,0),"")</f>
        <v/>
      </c>
      <c r="BK51" s="8" t="str">
        <f t="shared" si="19"/>
        <v/>
      </c>
      <c r="BL51" s="8" t="str">
        <f>IFERROR(VLOOKUP($B$5:$B$199,'[2]21'!$B$5:$D$200,3,0),"")</f>
        <v/>
      </c>
      <c r="BM51" s="8" t="str">
        <f>IFERROR(VLOOKUP($B$5:$B$199,'[2]21'!$B$5:$G$200,6,0),"")</f>
        <v/>
      </c>
      <c r="BN51" s="8" t="str">
        <f t="shared" si="20"/>
        <v/>
      </c>
      <c r="BO51" s="8" t="str">
        <f>IFERROR(VLOOKUP($B$5:$B$199,'[2]22'!$B$5:$D$200,3,0),"")</f>
        <v/>
      </c>
      <c r="BP51" s="8" t="str">
        <f>IFERROR(VLOOKUP($B$5:$B$199,'[2]22'!$B$5:$G$200,6,0),"")</f>
        <v/>
      </c>
      <c r="BQ51" s="8" t="str">
        <f t="shared" si="21"/>
        <v/>
      </c>
      <c r="BR51" s="8" t="str">
        <f>IFERROR(VLOOKUP($B$5:$B$199,'[2]23'!$B$5:$D$200,3,0),"")</f>
        <v/>
      </c>
      <c r="BS51" s="8" t="str">
        <f>IFERROR(VLOOKUP($B$5:$B$199,'[2]23'!$B$5:$G$200,6,0),"")</f>
        <v/>
      </c>
      <c r="BT51" s="8" t="str">
        <f t="shared" si="22"/>
        <v/>
      </c>
      <c r="BU51" s="8" t="str">
        <f>IFERROR(VLOOKUP($B$5:$B$199,'[2]24'!$B$5:$D$200,3,0),"")</f>
        <v/>
      </c>
      <c r="BV51" s="8" t="str">
        <f>IFERROR(VLOOKUP($B$5:$B$199,'[2]24'!$B$5:$G$200,6,0),"")</f>
        <v/>
      </c>
      <c r="BW51" s="8" t="str">
        <f t="shared" si="23"/>
        <v/>
      </c>
      <c r="BX51" s="8" t="str">
        <f>IFERROR(VLOOKUP($B$5:$B$199,'[2]25'!$B$5:$D$200,3,0),"")</f>
        <v/>
      </c>
      <c r="BY51" s="8" t="str">
        <f>IFERROR(VLOOKUP($B$5:$B$199,'[2]25'!$B$5:$G$200,6,0),"")</f>
        <v/>
      </c>
      <c r="BZ51" s="8" t="str">
        <f t="shared" si="24"/>
        <v/>
      </c>
      <c r="CA51" s="8" t="str">
        <f>IFERROR(VLOOKUP($B$5:$B$199,'[2]26'!$B$5:$D$200,3,0),"")</f>
        <v/>
      </c>
      <c r="CB51" s="8" t="str">
        <f>IFERROR(VLOOKUP($B$5:$B$199,'[2]26'!$B$5:$G$200,6,0),"")</f>
        <v/>
      </c>
      <c r="CC51" s="8" t="str">
        <f t="shared" si="25"/>
        <v/>
      </c>
      <c r="CD51" s="8" t="str">
        <f>IFERROR(VLOOKUP($B$5:$B$199,'[2]27'!$B$5:$D$200,3,0),"")</f>
        <v/>
      </c>
      <c r="CE51" s="8" t="str">
        <f>IFERROR(VLOOKUP($B$5:$B$199,'[2]27'!$B$5:$G$200,6,0),"")</f>
        <v/>
      </c>
      <c r="CF51" s="8" t="str">
        <f t="shared" si="26"/>
        <v/>
      </c>
      <c r="CG51" s="8" t="str">
        <f>IFERROR(VLOOKUP($B$5:$B$199,'[2]28'!$B$5:$D$200,3,0),"")</f>
        <v/>
      </c>
      <c r="CH51" s="8" t="str">
        <f>IFERROR(VLOOKUP($B$5:$B$199,'[2]28'!$B$5:$G$200,6,0),"")</f>
        <v/>
      </c>
      <c r="CI51" s="8" t="str">
        <f t="shared" si="27"/>
        <v/>
      </c>
      <c r="CJ51" s="8" t="str">
        <f>IFERROR(VLOOKUP($B$5:$B$199,'[2]29'!$B$5:$D$200,3,0),"")</f>
        <v/>
      </c>
      <c r="CK51" s="8" t="str">
        <f>IFERROR(VLOOKUP($B$5:$B$199,'[2]29'!$B$5:$G$200,6,0),"")</f>
        <v/>
      </c>
      <c r="CL51" s="8" t="str">
        <f t="shared" si="28"/>
        <v/>
      </c>
      <c r="CM51" s="8" t="str">
        <f>IFERROR(VLOOKUP($B$5:$B$199,'[2]30'!$B$5:$D$200,3,0),"")</f>
        <v/>
      </c>
      <c r="CN51" s="8" t="str">
        <f>IFERROR(VLOOKUP($B$5:$B$199,'[2]30'!$B$5:$G$200,6,0),"")</f>
        <v/>
      </c>
      <c r="CO51" s="8" t="str">
        <f t="shared" si="29"/>
        <v/>
      </c>
      <c r="CP51" s="8" t="str">
        <f>IFERROR(VLOOKUP($B$5:$B$199,'[2]31'!$B$5:$D$200,3,0),"")</f>
        <v/>
      </c>
      <c r="CQ51" s="8" t="str">
        <f>IFERROR(VLOOKUP($B$5:$B$199,'[2]31'!$B$5:$G$200,6,0),"")</f>
        <v/>
      </c>
      <c r="CR51" s="8" t="str">
        <f t="shared" si="30"/>
        <v/>
      </c>
      <c r="CT51" s="3">
        <f t="shared" si="31"/>
        <v>10</v>
      </c>
      <c r="CU51" s="3">
        <f t="shared" si="32"/>
        <v>56448</v>
      </c>
      <c r="CV51" s="3">
        <f t="shared" si="33"/>
        <v>564480</v>
      </c>
      <c r="CX51">
        <f t="shared" si="34"/>
        <v>1</v>
      </c>
    </row>
    <row r="52" spans="2:102" x14ac:dyDescent="0.25">
      <c r="B52" s="7" t="s">
        <v>101</v>
      </c>
      <c r="C52" s="7" t="str">
        <f>VLOOKUP($B52,DBASE!$C$7:$D$403,2,0)</f>
        <v>LAZERY</v>
      </c>
      <c r="D52" s="8" t="str">
        <f>IFERROR(VLOOKUP($B$5:$B$199,'[2]1'!$B$5:$D$200,3,0),"")</f>
        <v/>
      </c>
      <c r="E52" s="8" t="str">
        <f>IFERROR(VLOOKUP($B$5:$B$199,'[2]1'!$B$5:$G$200,6,0),"")</f>
        <v/>
      </c>
      <c r="F52" s="8" t="str">
        <f t="shared" si="0"/>
        <v/>
      </c>
      <c r="G52" s="8" t="str">
        <f>IFERROR(VLOOKUP($B$5:$B$199,'[2]2'!$B$5:$D$200,3,0),"")</f>
        <v/>
      </c>
      <c r="H52" s="8" t="str">
        <f>IFERROR(VLOOKUP($B$5:$B$199,'[2]2'!$B$5:$G$200,6,0),"")</f>
        <v/>
      </c>
      <c r="I52" s="8" t="str">
        <f t="shared" si="1"/>
        <v/>
      </c>
      <c r="J52" s="8" t="str">
        <f>IFERROR(VLOOKUP($B$5:$B$199,'[2]3'!$B$5:$D$200,3,0),"")</f>
        <v/>
      </c>
      <c r="K52" s="8" t="str">
        <f>IFERROR(VLOOKUP($B$5:$B$199,'[2]3'!$B$5:$G$200,6,0),"")</f>
        <v/>
      </c>
      <c r="L52" s="8" t="str">
        <f t="shared" si="2"/>
        <v/>
      </c>
      <c r="M52" s="8" t="str">
        <f>IFERROR(VLOOKUP($B$5:$B$199,'[2]4'!$B$5:$D$200,3,0),"")</f>
        <v/>
      </c>
      <c r="N52" s="8" t="str">
        <f>IFERROR(VLOOKUP($B$5:$B$199,'[2]4'!$B$5:$G$200,6,0),"")</f>
        <v/>
      </c>
      <c r="O52" s="8" t="str">
        <f t="shared" si="3"/>
        <v/>
      </c>
      <c r="P52" s="8">
        <f>IFERROR(VLOOKUP($B$5:$B$199,'[2]5'!$B$5:$D$200,3,0),"")</f>
        <v>2</v>
      </c>
      <c r="Q52" s="8">
        <f>IFERROR(VLOOKUP($B$5:$B$199,'[2]5'!$B$5:$G$200,6,0),"")</f>
        <v>112000</v>
      </c>
      <c r="R52" s="8">
        <f t="shared" si="4"/>
        <v>224000</v>
      </c>
      <c r="S52" s="8" t="str">
        <f>IFERROR(VLOOKUP($B$5:$B$199,'[2]6'!$B$5:$D$200,3,0),"")</f>
        <v/>
      </c>
      <c r="T52" s="8" t="str">
        <f>IFERROR(VLOOKUP($B$5:$B$199,'[2]6'!$B$5:$G$200,6,0),"")</f>
        <v/>
      </c>
      <c r="U52" s="8" t="str">
        <f t="shared" si="5"/>
        <v/>
      </c>
      <c r="V52" s="8" t="str">
        <f>IFERROR(VLOOKUP($B$5:$B$199,'[2]7'!$B$5:$D$200,3,0),"")</f>
        <v/>
      </c>
      <c r="W52" s="8" t="str">
        <f>IFERROR(VLOOKUP($B$5:$B$199,'[2]7'!$B$5:$G$200,6,0),"")</f>
        <v/>
      </c>
      <c r="X52" s="8" t="str">
        <f t="shared" si="6"/>
        <v/>
      </c>
      <c r="Y52" s="8" t="str">
        <f>IFERROR(VLOOKUP($B$5:$B$199,'[2]8'!$B$5:$D$200,3,0),"")</f>
        <v/>
      </c>
      <c r="Z52" s="8" t="str">
        <f>IFERROR(VLOOKUP($B$5:$B$199,'[2]8'!$B$5:$G$200,6,0),"")</f>
        <v/>
      </c>
      <c r="AA52" s="8" t="str">
        <f t="shared" si="7"/>
        <v/>
      </c>
      <c r="AB52" s="8" t="str">
        <f>IFERROR(VLOOKUP($B$5:$B$199,'[2]9'!$B$5:$D$200,3,0),"")</f>
        <v/>
      </c>
      <c r="AC52" s="8" t="str">
        <f>IFERROR(VLOOKUP($B$5:$B$199,'[2]9'!$B$5:$G$200,6,0),"")</f>
        <v/>
      </c>
      <c r="AD52" s="8" t="str">
        <f t="shared" si="8"/>
        <v/>
      </c>
      <c r="AE52" s="8" t="str">
        <f>IFERROR(VLOOKUP($B$5:$B$199,'[2]10'!$B$5:$D$200,3,0),"")</f>
        <v/>
      </c>
      <c r="AF52" s="8" t="str">
        <f>IFERROR(VLOOKUP($B$5:$B$199,'[2]10'!$B$5:$G$200,6,0),"")</f>
        <v/>
      </c>
      <c r="AG52" s="8" t="str">
        <f t="shared" si="9"/>
        <v/>
      </c>
      <c r="AH52" s="8" t="str">
        <f>IFERROR(VLOOKUP($B$5:$B$199,'[2]11'!$B$5:$D$200,3,0),"")</f>
        <v/>
      </c>
      <c r="AI52" s="8" t="str">
        <f>IFERROR(VLOOKUP($B$5:$B$199,'[2]11'!$B$5:$G$200,6,0),"")</f>
        <v/>
      </c>
      <c r="AJ52" s="8" t="str">
        <f t="shared" si="10"/>
        <v/>
      </c>
      <c r="AK52" s="8" t="str">
        <f>IFERROR(VLOOKUP($B$5:$B$199,'[2]12'!$B$5:$D$200,3,0),"")</f>
        <v/>
      </c>
      <c r="AL52" s="8" t="str">
        <f>IFERROR(VLOOKUP($B$5:$B$199,'[2]12'!$B$5:$G$200,6,0),"")</f>
        <v/>
      </c>
      <c r="AM52" s="8" t="str">
        <f t="shared" si="11"/>
        <v/>
      </c>
      <c r="AN52" s="8" t="str">
        <f>IFERROR(VLOOKUP($B$5:$B$199,'[2]13'!$B$5:$D$200,3,0),"")</f>
        <v/>
      </c>
      <c r="AO52" s="8" t="str">
        <f>IFERROR(VLOOKUP($B$5:$B$199,'[2]13'!$B$5:$G$200,6,0),"")</f>
        <v/>
      </c>
      <c r="AP52" s="8" t="str">
        <f t="shared" si="12"/>
        <v/>
      </c>
      <c r="AQ52" s="8" t="str">
        <f>IFERROR(VLOOKUP($B$5:$B$199,'[2]14'!$B$5:$D$200,3,0),"")</f>
        <v/>
      </c>
      <c r="AR52" s="8" t="str">
        <f>IFERROR(VLOOKUP($B$5:$B$199,'[2]14'!$B$5:$G$200,6,0),"")</f>
        <v/>
      </c>
      <c r="AS52" s="8" t="str">
        <f t="shared" si="13"/>
        <v/>
      </c>
      <c r="AT52" s="8" t="str">
        <f>IFERROR(VLOOKUP($B$5:$B$199,'[2]15'!$B$5:$D$200,3,0),"")</f>
        <v/>
      </c>
      <c r="AU52" s="8" t="str">
        <f>IFERROR(VLOOKUP($B$5:$B$199,'[2]15'!$B$5:$G$200,6,0),"")</f>
        <v/>
      </c>
      <c r="AV52" s="8" t="str">
        <f t="shared" si="14"/>
        <v/>
      </c>
      <c r="AW52" s="8" t="str">
        <f>IFERROR(VLOOKUP($B$5:$B$199,'[2]16'!$B$5:$D$200,3,0),"")</f>
        <v/>
      </c>
      <c r="AX52" s="8" t="str">
        <f>IFERROR(VLOOKUP($B$5:$B$199,'[2]16'!$B$5:$G$200,6,0),"")</f>
        <v/>
      </c>
      <c r="AY52" s="8" t="str">
        <f t="shared" si="15"/>
        <v/>
      </c>
      <c r="AZ52" s="8" t="str">
        <f>IFERROR(VLOOKUP($B$5:$B$199,'[2]17'!$B$5:$D$200,3,0),"")</f>
        <v/>
      </c>
      <c r="BA52" s="8" t="str">
        <f>IFERROR(VLOOKUP($B$5:$B$199,'[2]17'!$B$5:$G$200,6,0),"")</f>
        <v/>
      </c>
      <c r="BB52" s="8" t="str">
        <f t="shared" si="16"/>
        <v/>
      </c>
      <c r="BC52" s="8" t="str">
        <f>IFERROR(VLOOKUP($B$5:$B$199,'[2]18'!$B$5:$D$200,3,0),"")</f>
        <v/>
      </c>
      <c r="BD52" s="8" t="str">
        <f>IFERROR(VLOOKUP($B$5:$B$199,'[2]18'!$B$5:$G$200,6,0),"")</f>
        <v/>
      </c>
      <c r="BE52" s="8" t="str">
        <f t="shared" si="17"/>
        <v/>
      </c>
      <c r="BF52" s="8" t="str">
        <f>IFERROR(VLOOKUP($B$5:$B$199,'[2]19'!$B$5:$D$200,3,0),"")</f>
        <v/>
      </c>
      <c r="BG52" s="8" t="str">
        <f>IFERROR(VLOOKUP($B$5:$B$199,'[2]19'!$B$5:$G$200,6,0),"")</f>
        <v/>
      </c>
      <c r="BH52" s="8" t="str">
        <f t="shared" si="18"/>
        <v/>
      </c>
      <c r="BI52" s="8" t="str">
        <f>IFERROR(VLOOKUP($B$5:$B$199,'[2]20'!$B$5:$D$200,3,0),"")</f>
        <v/>
      </c>
      <c r="BJ52" s="8" t="str">
        <f>IFERROR(VLOOKUP($B$5:$B$199,'[2]20'!$B$5:$G$200,6,0),"")</f>
        <v/>
      </c>
      <c r="BK52" s="8" t="str">
        <f t="shared" si="19"/>
        <v/>
      </c>
      <c r="BL52" s="8" t="str">
        <f>IFERROR(VLOOKUP($B$5:$B$199,'[2]21'!$B$5:$D$200,3,0),"")</f>
        <v/>
      </c>
      <c r="BM52" s="8" t="str">
        <f>IFERROR(VLOOKUP($B$5:$B$199,'[2]21'!$B$5:$G$200,6,0),"")</f>
        <v/>
      </c>
      <c r="BN52" s="8" t="str">
        <f t="shared" si="20"/>
        <v/>
      </c>
      <c r="BO52" s="8" t="str">
        <f>IFERROR(VLOOKUP($B$5:$B$199,'[2]22'!$B$5:$D$200,3,0),"")</f>
        <v/>
      </c>
      <c r="BP52" s="8" t="str">
        <f>IFERROR(VLOOKUP($B$5:$B$199,'[2]22'!$B$5:$G$200,6,0),"")</f>
        <v/>
      </c>
      <c r="BQ52" s="8" t="str">
        <f t="shared" si="21"/>
        <v/>
      </c>
      <c r="BR52" s="8" t="str">
        <f>IFERROR(VLOOKUP($B$5:$B$199,'[2]23'!$B$5:$D$200,3,0),"")</f>
        <v/>
      </c>
      <c r="BS52" s="8" t="str">
        <f>IFERROR(VLOOKUP($B$5:$B$199,'[2]23'!$B$5:$G$200,6,0),"")</f>
        <v/>
      </c>
      <c r="BT52" s="8" t="str">
        <f t="shared" si="22"/>
        <v/>
      </c>
      <c r="BU52" s="8" t="str">
        <f>IFERROR(VLOOKUP($B$5:$B$199,'[2]24'!$B$5:$D$200,3,0),"")</f>
        <v/>
      </c>
      <c r="BV52" s="8" t="str">
        <f>IFERROR(VLOOKUP($B$5:$B$199,'[2]24'!$B$5:$G$200,6,0),"")</f>
        <v/>
      </c>
      <c r="BW52" s="8" t="str">
        <f t="shared" si="23"/>
        <v/>
      </c>
      <c r="BX52" s="8" t="str">
        <f>IFERROR(VLOOKUP($B$5:$B$199,'[2]25'!$B$5:$D$200,3,0),"")</f>
        <v/>
      </c>
      <c r="BY52" s="8" t="str">
        <f>IFERROR(VLOOKUP($B$5:$B$199,'[2]25'!$B$5:$G$200,6,0),"")</f>
        <v/>
      </c>
      <c r="BZ52" s="8" t="str">
        <f t="shared" si="24"/>
        <v/>
      </c>
      <c r="CA52" s="8" t="str">
        <f>IFERROR(VLOOKUP($B$5:$B$199,'[2]26'!$B$5:$D$200,3,0),"")</f>
        <v/>
      </c>
      <c r="CB52" s="8" t="str">
        <f>IFERROR(VLOOKUP($B$5:$B$199,'[2]26'!$B$5:$G$200,6,0),"")</f>
        <v/>
      </c>
      <c r="CC52" s="8" t="str">
        <f t="shared" si="25"/>
        <v/>
      </c>
      <c r="CD52" s="8" t="str">
        <f>IFERROR(VLOOKUP($B$5:$B$199,'[2]27'!$B$5:$D$200,3,0),"")</f>
        <v/>
      </c>
      <c r="CE52" s="8" t="str">
        <f>IFERROR(VLOOKUP($B$5:$B$199,'[2]27'!$B$5:$G$200,6,0),"")</f>
        <v/>
      </c>
      <c r="CF52" s="8" t="str">
        <f t="shared" si="26"/>
        <v/>
      </c>
      <c r="CG52" s="8" t="str">
        <f>IFERROR(VLOOKUP($B$5:$B$199,'[2]28'!$B$5:$D$200,3,0),"")</f>
        <v/>
      </c>
      <c r="CH52" s="8" t="str">
        <f>IFERROR(VLOOKUP($B$5:$B$199,'[2]28'!$B$5:$G$200,6,0),"")</f>
        <v/>
      </c>
      <c r="CI52" s="8" t="str">
        <f t="shared" si="27"/>
        <v/>
      </c>
      <c r="CJ52" s="8" t="str">
        <f>IFERROR(VLOOKUP($B$5:$B$199,'[2]29'!$B$5:$D$200,3,0),"")</f>
        <v/>
      </c>
      <c r="CK52" s="8" t="str">
        <f>IFERROR(VLOOKUP($B$5:$B$199,'[2]29'!$B$5:$G$200,6,0),"")</f>
        <v/>
      </c>
      <c r="CL52" s="8" t="str">
        <f t="shared" si="28"/>
        <v/>
      </c>
      <c r="CM52" s="8" t="str">
        <f>IFERROR(VLOOKUP($B$5:$B$199,'[2]30'!$B$5:$D$200,3,0),"")</f>
        <v/>
      </c>
      <c r="CN52" s="8" t="str">
        <f>IFERROR(VLOOKUP($B$5:$B$199,'[2]30'!$B$5:$G$200,6,0),"")</f>
        <v/>
      </c>
      <c r="CO52" s="8" t="str">
        <f t="shared" si="29"/>
        <v/>
      </c>
      <c r="CP52" s="8" t="str">
        <f>IFERROR(VLOOKUP($B$5:$B$199,'[2]31'!$B$5:$D$200,3,0),"")</f>
        <v/>
      </c>
      <c r="CQ52" s="8" t="str">
        <f>IFERROR(VLOOKUP($B$5:$B$199,'[2]31'!$B$5:$G$200,6,0),"")</f>
        <v/>
      </c>
      <c r="CR52" s="8" t="str">
        <f t="shared" si="30"/>
        <v/>
      </c>
      <c r="CT52" s="3">
        <f t="shared" si="31"/>
        <v>2</v>
      </c>
      <c r="CU52" s="3">
        <f t="shared" si="32"/>
        <v>112000</v>
      </c>
      <c r="CV52" s="3">
        <f t="shared" si="33"/>
        <v>224000</v>
      </c>
      <c r="CX52">
        <f t="shared" si="34"/>
        <v>1</v>
      </c>
    </row>
    <row r="53" spans="2:102" x14ac:dyDescent="0.25">
      <c r="B53" s="7" t="s">
        <v>102</v>
      </c>
      <c r="C53" s="7" t="str">
        <f>VLOOKUP($B53,DBASE!$C$7:$D$403,2,0)</f>
        <v>CHIKORY</v>
      </c>
      <c r="D53" s="8" t="str">
        <f>IFERROR(VLOOKUP($B$5:$B$199,'[2]1'!$B$5:$D$200,3,0),"")</f>
        <v/>
      </c>
      <c r="E53" s="8" t="str">
        <f>IFERROR(VLOOKUP($B$5:$B$199,'[2]1'!$B$5:$G$200,6,0),"")</f>
        <v/>
      </c>
      <c r="F53" s="8" t="str">
        <f t="shared" si="0"/>
        <v/>
      </c>
      <c r="G53" s="8" t="str">
        <f>IFERROR(VLOOKUP($B$5:$B$199,'[2]2'!$B$5:$D$200,3,0),"")</f>
        <v/>
      </c>
      <c r="H53" s="8" t="str">
        <f>IFERROR(VLOOKUP($B$5:$B$199,'[2]2'!$B$5:$G$200,6,0),"")</f>
        <v/>
      </c>
      <c r="I53" s="8" t="str">
        <f t="shared" si="1"/>
        <v/>
      </c>
      <c r="J53" s="8" t="str">
        <f>IFERROR(VLOOKUP($B$5:$B$199,'[2]3'!$B$5:$D$200,3,0),"")</f>
        <v/>
      </c>
      <c r="K53" s="8" t="str">
        <f>IFERROR(VLOOKUP($B$5:$B$199,'[2]3'!$B$5:$G$200,6,0),"")</f>
        <v/>
      </c>
      <c r="L53" s="8" t="str">
        <f t="shared" si="2"/>
        <v/>
      </c>
      <c r="M53" s="8" t="str">
        <f>IFERROR(VLOOKUP($B$5:$B$199,'[2]4'!$B$5:$D$200,3,0),"")</f>
        <v/>
      </c>
      <c r="N53" s="8" t="str">
        <f>IFERROR(VLOOKUP($B$5:$B$199,'[2]4'!$B$5:$G$200,6,0),"")</f>
        <v/>
      </c>
      <c r="O53" s="8" t="str">
        <f t="shared" si="3"/>
        <v/>
      </c>
      <c r="P53" s="8">
        <f>IFERROR(VLOOKUP($B$5:$B$199,'[2]5'!$B$5:$D$200,3,0),"")</f>
        <v>2</v>
      </c>
      <c r="Q53" s="8">
        <f>IFERROR(VLOOKUP($B$5:$B$199,'[2]5'!$B$5:$G$200,6,0),"")</f>
        <v>104500</v>
      </c>
      <c r="R53" s="8">
        <f t="shared" si="4"/>
        <v>209000</v>
      </c>
      <c r="S53" s="8" t="str">
        <f>IFERROR(VLOOKUP($B$5:$B$199,'[2]6'!$B$5:$D$200,3,0),"")</f>
        <v/>
      </c>
      <c r="T53" s="8" t="str">
        <f>IFERROR(VLOOKUP($B$5:$B$199,'[2]6'!$B$5:$G$200,6,0),"")</f>
        <v/>
      </c>
      <c r="U53" s="8" t="str">
        <f t="shared" si="5"/>
        <v/>
      </c>
      <c r="V53" s="8" t="str">
        <f>IFERROR(VLOOKUP($B$5:$B$199,'[2]7'!$B$5:$D$200,3,0),"")</f>
        <v/>
      </c>
      <c r="W53" s="8" t="str">
        <f>IFERROR(VLOOKUP($B$5:$B$199,'[2]7'!$B$5:$G$200,6,0),"")</f>
        <v/>
      </c>
      <c r="X53" s="8" t="str">
        <f t="shared" si="6"/>
        <v/>
      </c>
      <c r="Y53" s="8" t="str">
        <f>IFERROR(VLOOKUP($B$5:$B$199,'[2]8'!$B$5:$D$200,3,0),"")</f>
        <v/>
      </c>
      <c r="Z53" s="8" t="str">
        <f>IFERROR(VLOOKUP($B$5:$B$199,'[2]8'!$B$5:$G$200,6,0),"")</f>
        <v/>
      </c>
      <c r="AA53" s="8" t="str">
        <f t="shared" si="7"/>
        <v/>
      </c>
      <c r="AB53" s="8" t="str">
        <f>IFERROR(VLOOKUP($B$5:$B$199,'[2]9'!$B$5:$D$200,3,0),"")</f>
        <v/>
      </c>
      <c r="AC53" s="8" t="str">
        <f>IFERROR(VLOOKUP($B$5:$B$199,'[2]9'!$B$5:$G$200,6,0),"")</f>
        <v/>
      </c>
      <c r="AD53" s="8" t="str">
        <f t="shared" si="8"/>
        <v/>
      </c>
      <c r="AE53" s="8" t="str">
        <f>IFERROR(VLOOKUP($B$5:$B$199,'[2]10'!$B$5:$D$200,3,0),"")</f>
        <v/>
      </c>
      <c r="AF53" s="8" t="str">
        <f>IFERROR(VLOOKUP($B$5:$B$199,'[2]10'!$B$5:$G$200,6,0),"")</f>
        <v/>
      </c>
      <c r="AG53" s="8" t="str">
        <f t="shared" si="9"/>
        <v/>
      </c>
      <c r="AH53" s="8" t="str">
        <f>IFERROR(VLOOKUP($B$5:$B$199,'[2]11'!$B$5:$D$200,3,0),"")</f>
        <v/>
      </c>
      <c r="AI53" s="8" t="str">
        <f>IFERROR(VLOOKUP($B$5:$B$199,'[2]11'!$B$5:$G$200,6,0),"")</f>
        <v/>
      </c>
      <c r="AJ53" s="8" t="str">
        <f t="shared" si="10"/>
        <v/>
      </c>
      <c r="AK53" s="8" t="str">
        <f>IFERROR(VLOOKUP($B$5:$B$199,'[2]12'!$B$5:$D$200,3,0),"")</f>
        <v/>
      </c>
      <c r="AL53" s="8" t="str">
        <f>IFERROR(VLOOKUP($B$5:$B$199,'[2]12'!$B$5:$G$200,6,0),"")</f>
        <v/>
      </c>
      <c r="AM53" s="8" t="str">
        <f t="shared" si="11"/>
        <v/>
      </c>
      <c r="AN53" s="8" t="str">
        <f>IFERROR(VLOOKUP($B$5:$B$199,'[2]13'!$B$5:$D$200,3,0),"")</f>
        <v/>
      </c>
      <c r="AO53" s="8" t="str">
        <f>IFERROR(VLOOKUP($B$5:$B$199,'[2]13'!$B$5:$G$200,6,0),"")</f>
        <v/>
      </c>
      <c r="AP53" s="8" t="str">
        <f t="shared" si="12"/>
        <v/>
      </c>
      <c r="AQ53" s="8" t="str">
        <f>IFERROR(VLOOKUP($B$5:$B$199,'[2]14'!$B$5:$D$200,3,0),"")</f>
        <v/>
      </c>
      <c r="AR53" s="8" t="str">
        <f>IFERROR(VLOOKUP($B$5:$B$199,'[2]14'!$B$5:$G$200,6,0),"")</f>
        <v/>
      </c>
      <c r="AS53" s="8" t="str">
        <f t="shared" si="13"/>
        <v/>
      </c>
      <c r="AT53" s="8" t="str">
        <f>IFERROR(VLOOKUP($B$5:$B$199,'[2]15'!$B$5:$D$200,3,0),"")</f>
        <v/>
      </c>
      <c r="AU53" s="8" t="str">
        <f>IFERROR(VLOOKUP($B$5:$B$199,'[2]15'!$B$5:$G$200,6,0),"")</f>
        <v/>
      </c>
      <c r="AV53" s="8" t="str">
        <f t="shared" si="14"/>
        <v/>
      </c>
      <c r="AW53" s="8" t="str">
        <f>IFERROR(VLOOKUP($B$5:$B$199,'[2]16'!$B$5:$D$200,3,0),"")</f>
        <v/>
      </c>
      <c r="AX53" s="8" t="str">
        <f>IFERROR(VLOOKUP($B$5:$B$199,'[2]16'!$B$5:$G$200,6,0),"")</f>
        <v/>
      </c>
      <c r="AY53" s="8" t="str">
        <f t="shared" si="15"/>
        <v/>
      </c>
      <c r="AZ53" s="8" t="str">
        <f>IFERROR(VLOOKUP($B$5:$B$199,'[2]17'!$B$5:$D$200,3,0),"")</f>
        <v/>
      </c>
      <c r="BA53" s="8" t="str">
        <f>IFERROR(VLOOKUP($B$5:$B$199,'[2]17'!$B$5:$G$200,6,0),"")</f>
        <v/>
      </c>
      <c r="BB53" s="8" t="str">
        <f t="shared" si="16"/>
        <v/>
      </c>
      <c r="BC53" s="8" t="str">
        <f>IFERROR(VLOOKUP($B$5:$B$199,'[2]18'!$B$5:$D$200,3,0),"")</f>
        <v/>
      </c>
      <c r="BD53" s="8" t="str">
        <f>IFERROR(VLOOKUP($B$5:$B$199,'[2]18'!$B$5:$G$200,6,0),"")</f>
        <v/>
      </c>
      <c r="BE53" s="8" t="str">
        <f t="shared" si="17"/>
        <v/>
      </c>
      <c r="BF53" s="8" t="str">
        <f>IFERROR(VLOOKUP($B$5:$B$199,'[2]19'!$B$5:$D$200,3,0),"")</f>
        <v/>
      </c>
      <c r="BG53" s="8" t="str">
        <f>IFERROR(VLOOKUP($B$5:$B$199,'[2]19'!$B$5:$G$200,6,0),"")</f>
        <v/>
      </c>
      <c r="BH53" s="8" t="str">
        <f t="shared" si="18"/>
        <v/>
      </c>
      <c r="BI53" s="8" t="str">
        <f>IFERROR(VLOOKUP($B$5:$B$199,'[2]20'!$B$5:$D$200,3,0),"")</f>
        <v/>
      </c>
      <c r="BJ53" s="8" t="str">
        <f>IFERROR(VLOOKUP($B$5:$B$199,'[2]20'!$B$5:$G$200,6,0),"")</f>
        <v/>
      </c>
      <c r="BK53" s="8" t="str">
        <f t="shared" si="19"/>
        <v/>
      </c>
      <c r="BL53" s="8" t="str">
        <f>IFERROR(VLOOKUP($B$5:$B$199,'[2]21'!$B$5:$D$200,3,0),"")</f>
        <v/>
      </c>
      <c r="BM53" s="8" t="str">
        <f>IFERROR(VLOOKUP($B$5:$B$199,'[2]21'!$B$5:$G$200,6,0),"")</f>
        <v/>
      </c>
      <c r="BN53" s="8" t="str">
        <f t="shared" si="20"/>
        <v/>
      </c>
      <c r="BO53" s="8" t="str">
        <f>IFERROR(VLOOKUP($B$5:$B$199,'[2]22'!$B$5:$D$200,3,0),"")</f>
        <v/>
      </c>
      <c r="BP53" s="8" t="str">
        <f>IFERROR(VLOOKUP($B$5:$B$199,'[2]22'!$B$5:$G$200,6,0),"")</f>
        <v/>
      </c>
      <c r="BQ53" s="8" t="str">
        <f t="shared" si="21"/>
        <v/>
      </c>
      <c r="BR53" s="8" t="str">
        <f>IFERROR(VLOOKUP($B$5:$B$199,'[2]23'!$B$5:$D$200,3,0),"")</f>
        <v/>
      </c>
      <c r="BS53" s="8" t="str">
        <f>IFERROR(VLOOKUP($B$5:$B$199,'[2]23'!$B$5:$G$200,6,0),"")</f>
        <v/>
      </c>
      <c r="BT53" s="8" t="str">
        <f t="shared" si="22"/>
        <v/>
      </c>
      <c r="BU53" s="8" t="str">
        <f>IFERROR(VLOOKUP($B$5:$B$199,'[2]24'!$B$5:$D$200,3,0),"")</f>
        <v/>
      </c>
      <c r="BV53" s="8" t="str">
        <f>IFERROR(VLOOKUP($B$5:$B$199,'[2]24'!$B$5:$G$200,6,0),"")</f>
        <v/>
      </c>
      <c r="BW53" s="8" t="str">
        <f t="shared" si="23"/>
        <v/>
      </c>
      <c r="BX53" s="8" t="str">
        <f>IFERROR(VLOOKUP($B$5:$B$199,'[2]25'!$B$5:$D$200,3,0),"")</f>
        <v/>
      </c>
      <c r="BY53" s="8" t="str">
        <f>IFERROR(VLOOKUP($B$5:$B$199,'[2]25'!$B$5:$G$200,6,0),"")</f>
        <v/>
      </c>
      <c r="BZ53" s="8" t="str">
        <f t="shared" si="24"/>
        <v/>
      </c>
      <c r="CA53" s="8" t="str">
        <f>IFERROR(VLOOKUP($B$5:$B$199,'[2]26'!$B$5:$D$200,3,0),"")</f>
        <v/>
      </c>
      <c r="CB53" s="8" t="str">
        <f>IFERROR(VLOOKUP($B$5:$B$199,'[2]26'!$B$5:$G$200,6,0),"")</f>
        <v/>
      </c>
      <c r="CC53" s="8" t="str">
        <f t="shared" si="25"/>
        <v/>
      </c>
      <c r="CD53" s="8" t="str">
        <f>IFERROR(VLOOKUP($B$5:$B$199,'[2]27'!$B$5:$D$200,3,0),"")</f>
        <v/>
      </c>
      <c r="CE53" s="8" t="str">
        <f>IFERROR(VLOOKUP($B$5:$B$199,'[2]27'!$B$5:$G$200,6,0),"")</f>
        <v/>
      </c>
      <c r="CF53" s="8" t="str">
        <f t="shared" si="26"/>
        <v/>
      </c>
      <c r="CG53" s="8" t="str">
        <f>IFERROR(VLOOKUP($B$5:$B$199,'[2]28'!$B$5:$D$200,3,0),"")</f>
        <v/>
      </c>
      <c r="CH53" s="8" t="str">
        <f>IFERROR(VLOOKUP($B$5:$B$199,'[2]28'!$B$5:$G$200,6,0),"")</f>
        <v/>
      </c>
      <c r="CI53" s="8" t="str">
        <f t="shared" si="27"/>
        <v/>
      </c>
      <c r="CJ53" s="8" t="str">
        <f>IFERROR(VLOOKUP($B$5:$B$199,'[2]29'!$B$5:$D$200,3,0),"")</f>
        <v/>
      </c>
      <c r="CK53" s="8" t="str">
        <f>IFERROR(VLOOKUP($B$5:$B$199,'[2]29'!$B$5:$G$200,6,0),"")</f>
        <v/>
      </c>
      <c r="CL53" s="8" t="str">
        <f t="shared" si="28"/>
        <v/>
      </c>
      <c r="CM53" s="8" t="str">
        <f>IFERROR(VLOOKUP($B$5:$B$199,'[2]30'!$B$5:$D$200,3,0),"")</f>
        <v/>
      </c>
      <c r="CN53" s="8" t="str">
        <f>IFERROR(VLOOKUP($B$5:$B$199,'[2]30'!$B$5:$G$200,6,0),"")</f>
        <v/>
      </c>
      <c r="CO53" s="8" t="str">
        <f t="shared" si="29"/>
        <v/>
      </c>
      <c r="CP53" s="8" t="str">
        <f>IFERROR(VLOOKUP($B$5:$B$199,'[2]31'!$B$5:$D$200,3,0),"")</f>
        <v/>
      </c>
      <c r="CQ53" s="8" t="str">
        <f>IFERROR(VLOOKUP($B$5:$B$199,'[2]31'!$B$5:$G$200,6,0),"")</f>
        <v/>
      </c>
      <c r="CR53" s="8" t="str">
        <f t="shared" si="30"/>
        <v/>
      </c>
      <c r="CT53" s="3">
        <f t="shared" si="31"/>
        <v>2</v>
      </c>
      <c r="CU53" s="3">
        <f t="shared" si="32"/>
        <v>104500</v>
      </c>
      <c r="CV53" s="3">
        <f t="shared" si="33"/>
        <v>209000</v>
      </c>
      <c r="CX53">
        <f t="shared" si="34"/>
        <v>1</v>
      </c>
    </row>
    <row r="54" spans="2:102" x14ac:dyDescent="0.25">
      <c r="B54" s="7" t="s">
        <v>113</v>
      </c>
      <c r="C54" s="7" t="str">
        <f>VLOOKUP($B54,DBASE!$C$7:$D$403,2,0)</f>
        <v>BABALOON</v>
      </c>
      <c r="D54" s="8" t="str">
        <f>IFERROR(VLOOKUP($B$5:$B$199,'[2]1'!$B$5:$D$200,3,0),"")</f>
        <v/>
      </c>
      <c r="E54" s="8" t="str">
        <f>IFERROR(VLOOKUP($B$5:$B$199,'[2]1'!$B$5:$G$200,6,0),"")</f>
        <v/>
      </c>
      <c r="F54" s="8" t="str">
        <f t="shared" si="0"/>
        <v/>
      </c>
      <c r="G54" s="8" t="str">
        <f>IFERROR(VLOOKUP($B$5:$B$199,'[2]2'!$B$5:$D$200,3,0),"")</f>
        <v/>
      </c>
      <c r="H54" s="8" t="str">
        <f>IFERROR(VLOOKUP($B$5:$B$199,'[2]2'!$B$5:$G$200,6,0),"")</f>
        <v/>
      </c>
      <c r="I54" s="8" t="str">
        <f t="shared" si="1"/>
        <v/>
      </c>
      <c r="J54" s="8" t="str">
        <f>IFERROR(VLOOKUP($B$5:$B$199,'[2]3'!$B$5:$D$200,3,0),"")</f>
        <v/>
      </c>
      <c r="K54" s="8" t="str">
        <f>IFERROR(VLOOKUP($B$5:$B$199,'[2]3'!$B$5:$G$200,6,0),"")</f>
        <v/>
      </c>
      <c r="L54" s="8" t="str">
        <f t="shared" si="2"/>
        <v/>
      </c>
      <c r="M54" s="8" t="str">
        <f>IFERROR(VLOOKUP($B$5:$B$199,'[2]4'!$B$5:$D$200,3,0),"")</f>
        <v/>
      </c>
      <c r="N54" s="8" t="str">
        <f>IFERROR(VLOOKUP($B$5:$B$199,'[2]4'!$B$5:$G$200,6,0),"")</f>
        <v/>
      </c>
      <c r="O54" s="8" t="str">
        <f t="shared" si="3"/>
        <v/>
      </c>
      <c r="P54" s="8">
        <f>IFERROR(VLOOKUP($B$5:$B$199,'[2]5'!$B$5:$D$200,3,0),"")</f>
        <v>2</v>
      </c>
      <c r="Q54" s="8">
        <f>IFERROR(VLOOKUP($B$5:$B$199,'[2]5'!$B$5:$G$200,6,0),"")</f>
        <v>185000</v>
      </c>
      <c r="R54" s="8">
        <f t="shared" si="4"/>
        <v>370000</v>
      </c>
      <c r="S54" s="8" t="str">
        <f>IFERROR(VLOOKUP($B$5:$B$199,'[2]6'!$B$5:$D$200,3,0),"")</f>
        <v/>
      </c>
      <c r="T54" s="8" t="str">
        <f>IFERROR(VLOOKUP($B$5:$B$199,'[2]6'!$B$5:$G$200,6,0),"")</f>
        <v/>
      </c>
      <c r="U54" s="8" t="str">
        <f t="shared" si="5"/>
        <v/>
      </c>
      <c r="V54" s="8" t="str">
        <f>IFERROR(VLOOKUP($B$5:$B$199,'[2]7'!$B$5:$D$200,3,0),"")</f>
        <v/>
      </c>
      <c r="W54" s="8" t="str">
        <f>IFERROR(VLOOKUP($B$5:$B$199,'[2]7'!$B$5:$G$200,6,0),"")</f>
        <v/>
      </c>
      <c r="X54" s="8" t="str">
        <f t="shared" si="6"/>
        <v/>
      </c>
      <c r="Y54" s="8" t="str">
        <f>IFERROR(VLOOKUP($B$5:$B$199,'[2]8'!$B$5:$D$200,3,0),"")</f>
        <v/>
      </c>
      <c r="Z54" s="8" t="str">
        <f>IFERROR(VLOOKUP($B$5:$B$199,'[2]8'!$B$5:$G$200,6,0),"")</f>
        <v/>
      </c>
      <c r="AA54" s="8" t="str">
        <f t="shared" si="7"/>
        <v/>
      </c>
      <c r="AB54" s="8" t="str">
        <f>IFERROR(VLOOKUP($B$5:$B$199,'[2]9'!$B$5:$D$200,3,0),"")</f>
        <v/>
      </c>
      <c r="AC54" s="8" t="str">
        <f>IFERROR(VLOOKUP($B$5:$B$199,'[2]9'!$B$5:$G$200,6,0),"")</f>
        <v/>
      </c>
      <c r="AD54" s="8" t="str">
        <f t="shared" si="8"/>
        <v/>
      </c>
      <c r="AE54" s="8" t="str">
        <f>IFERROR(VLOOKUP($B$5:$B$199,'[2]10'!$B$5:$D$200,3,0),"")</f>
        <v/>
      </c>
      <c r="AF54" s="8" t="str">
        <f>IFERROR(VLOOKUP($B$5:$B$199,'[2]10'!$B$5:$G$200,6,0),"")</f>
        <v/>
      </c>
      <c r="AG54" s="8" t="str">
        <f t="shared" si="9"/>
        <v/>
      </c>
      <c r="AH54" s="8" t="str">
        <f>IFERROR(VLOOKUP($B$5:$B$199,'[2]11'!$B$5:$D$200,3,0),"")</f>
        <v/>
      </c>
      <c r="AI54" s="8" t="str">
        <f>IFERROR(VLOOKUP($B$5:$B$199,'[2]11'!$B$5:$G$200,6,0),"")</f>
        <v/>
      </c>
      <c r="AJ54" s="8" t="str">
        <f t="shared" si="10"/>
        <v/>
      </c>
      <c r="AK54" s="8" t="str">
        <f>IFERROR(VLOOKUP($B$5:$B$199,'[2]12'!$B$5:$D$200,3,0),"")</f>
        <v/>
      </c>
      <c r="AL54" s="8" t="str">
        <f>IFERROR(VLOOKUP($B$5:$B$199,'[2]12'!$B$5:$G$200,6,0),"")</f>
        <v/>
      </c>
      <c r="AM54" s="8" t="str">
        <f t="shared" si="11"/>
        <v/>
      </c>
      <c r="AN54" s="8" t="str">
        <f>IFERROR(VLOOKUP($B$5:$B$199,'[2]13'!$B$5:$D$200,3,0),"")</f>
        <v/>
      </c>
      <c r="AO54" s="8" t="str">
        <f>IFERROR(VLOOKUP($B$5:$B$199,'[2]13'!$B$5:$G$200,6,0),"")</f>
        <v/>
      </c>
      <c r="AP54" s="8" t="str">
        <f t="shared" si="12"/>
        <v/>
      </c>
      <c r="AQ54" s="8" t="str">
        <f>IFERROR(VLOOKUP($B$5:$B$199,'[2]14'!$B$5:$D$200,3,0),"")</f>
        <v/>
      </c>
      <c r="AR54" s="8" t="str">
        <f>IFERROR(VLOOKUP($B$5:$B$199,'[2]14'!$B$5:$G$200,6,0),"")</f>
        <v/>
      </c>
      <c r="AS54" s="8" t="str">
        <f t="shared" si="13"/>
        <v/>
      </c>
      <c r="AT54" s="8" t="str">
        <f>IFERROR(VLOOKUP($B$5:$B$199,'[2]15'!$B$5:$D$200,3,0),"")</f>
        <v/>
      </c>
      <c r="AU54" s="8" t="str">
        <f>IFERROR(VLOOKUP($B$5:$B$199,'[2]15'!$B$5:$G$200,6,0),"")</f>
        <v/>
      </c>
      <c r="AV54" s="8" t="str">
        <f t="shared" si="14"/>
        <v/>
      </c>
      <c r="AW54" s="8" t="str">
        <f>IFERROR(VLOOKUP($B$5:$B$199,'[2]16'!$B$5:$D$200,3,0),"")</f>
        <v/>
      </c>
      <c r="AX54" s="8" t="str">
        <f>IFERROR(VLOOKUP($B$5:$B$199,'[2]16'!$B$5:$G$200,6,0),"")</f>
        <v/>
      </c>
      <c r="AY54" s="8" t="str">
        <f t="shared" si="15"/>
        <v/>
      </c>
      <c r="AZ54" s="8" t="str">
        <f>IFERROR(VLOOKUP($B$5:$B$199,'[2]17'!$B$5:$D$200,3,0),"")</f>
        <v/>
      </c>
      <c r="BA54" s="8" t="str">
        <f>IFERROR(VLOOKUP($B$5:$B$199,'[2]17'!$B$5:$G$200,6,0),"")</f>
        <v/>
      </c>
      <c r="BB54" s="8" t="str">
        <f t="shared" si="16"/>
        <v/>
      </c>
      <c r="BC54" s="8" t="str">
        <f>IFERROR(VLOOKUP($B$5:$B$199,'[2]18'!$B$5:$D$200,3,0),"")</f>
        <v/>
      </c>
      <c r="BD54" s="8" t="str">
        <f>IFERROR(VLOOKUP($B$5:$B$199,'[2]18'!$B$5:$G$200,6,0),"")</f>
        <v/>
      </c>
      <c r="BE54" s="8" t="str">
        <f t="shared" si="17"/>
        <v/>
      </c>
      <c r="BF54" s="8" t="str">
        <f>IFERROR(VLOOKUP($B$5:$B$199,'[2]19'!$B$5:$D$200,3,0),"")</f>
        <v/>
      </c>
      <c r="BG54" s="8" t="str">
        <f>IFERROR(VLOOKUP($B$5:$B$199,'[2]19'!$B$5:$G$200,6,0),"")</f>
        <v/>
      </c>
      <c r="BH54" s="8" t="str">
        <f t="shared" si="18"/>
        <v/>
      </c>
      <c r="BI54" s="8" t="str">
        <f>IFERROR(VLOOKUP($B$5:$B$199,'[2]20'!$B$5:$D$200,3,0),"")</f>
        <v/>
      </c>
      <c r="BJ54" s="8" t="str">
        <f>IFERROR(VLOOKUP($B$5:$B$199,'[2]20'!$B$5:$G$200,6,0),"")</f>
        <v/>
      </c>
      <c r="BK54" s="8" t="str">
        <f t="shared" si="19"/>
        <v/>
      </c>
      <c r="BL54" s="8" t="str">
        <f>IFERROR(VLOOKUP($B$5:$B$199,'[2]21'!$B$5:$D$200,3,0),"")</f>
        <v/>
      </c>
      <c r="BM54" s="8" t="str">
        <f>IFERROR(VLOOKUP($B$5:$B$199,'[2]21'!$B$5:$G$200,6,0),"")</f>
        <v/>
      </c>
      <c r="BN54" s="8" t="str">
        <f t="shared" si="20"/>
        <v/>
      </c>
      <c r="BO54" s="8" t="str">
        <f>IFERROR(VLOOKUP($B$5:$B$199,'[2]22'!$B$5:$D$200,3,0),"")</f>
        <v/>
      </c>
      <c r="BP54" s="8" t="str">
        <f>IFERROR(VLOOKUP($B$5:$B$199,'[2]22'!$B$5:$G$200,6,0),"")</f>
        <v/>
      </c>
      <c r="BQ54" s="8" t="str">
        <f t="shared" si="21"/>
        <v/>
      </c>
      <c r="BR54" s="8" t="str">
        <f>IFERROR(VLOOKUP($B$5:$B$199,'[2]23'!$B$5:$D$200,3,0),"")</f>
        <v/>
      </c>
      <c r="BS54" s="8" t="str">
        <f>IFERROR(VLOOKUP($B$5:$B$199,'[2]23'!$B$5:$G$200,6,0),"")</f>
        <v/>
      </c>
      <c r="BT54" s="8" t="str">
        <f t="shared" si="22"/>
        <v/>
      </c>
      <c r="BU54" s="8" t="str">
        <f>IFERROR(VLOOKUP($B$5:$B$199,'[2]24'!$B$5:$D$200,3,0),"")</f>
        <v/>
      </c>
      <c r="BV54" s="8" t="str">
        <f>IFERROR(VLOOKUP($B$5:$B$199,'[2]24'!$B$5:$G$200,6,0),"")</f>
        <v/>
      </c>
      <c r="BW54" s="8" t="str">
        <f t="shared" si="23"/>
        <v/>
      </c>
      <c r="BX54" s="8" t="str">
        <f>IFERROR(VLOOKUP($B$5:$B$199,'[2]25'!$B$5:$D$200,3,0),"")</f>
        <v/>
      </c>
      <c r="BY54" s="8" t="str">
        <f>IFERROR(VLOOKUP($B$5:$B$199,'[2]25'!$B$5:$G$200,6,0),"")</f>
        <v/>
      </c>
      <c r="BZ54" s="8" t="str">
        <f t="shared" si="24"/>
        <v/>
      </c>
      <c r="CA54" s="8" t="str">
        <f>IFERROR(VLOOKUP($B$5:$B$199,'[2]26'!$B$5:$D$200,3,0),"")</f>
        <v/>
      </c>
      <c r="CB54" s="8" t="str">
        <f>IFERROR(VLOOKUP($B$5:$B$199,'[2]26'!$B$5:$G$200,6,0),"")</f>
        <v/>
      </c>
      <c r="CC54" s="8" t="str">
        <f t="shared" si="25"/>
        <v/>
      </c>
      <c r="CD54" s="8" t="str">
        <f>IFERROR(VLOOKUP($B$5:$B$199,'[2]27'!$B$5:$D$200,3,0),"")</f>
        <v/>
      </c>
      <c r="CE54" s="8" t="str">
        <f>IFERROR(VLOOKUP($B$5:$B$199,'[2]27'!$B$5:$G$200,6,0),"")</f>
        <v/>
      </c>
      <c r="CF54" s="8" t="str">
        <f t="shared" si="26"/>
        <v/>
      </c>
      <c r="CG54" s="8" t="str">
        <f>IFERROR(VLOOKUP($B$5:$B$199,'[2]28'!$B$5:$D$200,3,0),"")</f>
        <v/>
      </c>
      <c r="CH54" s="8" t="str">
        <f>IFERROR(VLOOKUP($B$5:$B$199,'[2]28'!$B$5:$G$200,6,0),"")</f>
        <v/>
      </c>
      <c r="CI54" s="8" t="str">
        <f t="shared" si="27"/>
        <v/>
      </c>
      <c r="CJ54" s="8" t="str">
        <f>IFERROR(VLOOKUP($B$5:$B$199,'[2]29'!$B$5:$D$200,3,0),"")</f>
        <v/>
      </c>
      <c r="CK54" s="8" t="str">
        <f>IFERROR(VLOOKUP($B$5:$B$199,'[2]29'!$B$5:$G$200,6,0),"")</f>
        <v/>
      </c>
      <c r="CL54" s="8" t="str">
        <f t="shared" si="28"/>
        <v/>
      </c>
      <c r="CM54" s="8" t="str">
        <f>IFERROR(VLOOKUP($B$5:$B$199,'[2]30'!$B$5:$D$200,3,0),"")</f>
        <v/>
      </c>
      <c r="CN54" s="8" t="str">
        <f>IFERROR(VLOOKUP($B$5:$B$199,'[2]30'!$B$5:$G$200,6,0),"")</f>
        <v/>
      </c>
      <c r="CO54" s="8" t="str">
        <f t="shared" si="29"/>
        <v/>
      </c>
      <c r="CP54" s="8" t="str">
        <f>IFERROR(VLOOKUP($B$5:$B$199,'[2]31'!$B$5:$D$200,3,0),"")</f>
        <v/>
      </c>
      <c r="CQ54" s="8" t="str">
        <f>IFERROR(VLOOKUP($B$5:$B$199,'[2]31'!$B$5:$G$200,6,0),"")</f>
        <v/>
      </c>
      <c r="CR54" s="8" t="str">
        <f t="shared" si="30"/>
        <v/>
      </c>
      <c r="CT54" s="3">
        <f t="shared" si="31"/>
        <v>2</v>
      </c>
      <c r="CU54" s="3">
        <f t="shared" si="32"/>
        <v>185000</v>
      </c>
      <c r="CV54" s="3">
        <f t="shared" si="33"/>
        <v>370000</v>
      </c>
      <c r="CX54">
        <f t="shared" si="34"/>
        <v>1</v>
      </c>
    </row>
    <row r="55" spans="2:102" x14ac:dyDescent="0.25">
      <c r="B55" s="7" t="s">
        <v>108</v>
      </c>
      <c r="C55" s="7" t="str">
        <f>VLOOKUP($B55,DBASE!$C$7:$D$403,2,0)</f>
        <v>MAGNUS</v>
      </c>
      <c r="D55" s="8" t="str">
        <f>IFERROR(VLOOKUP($B$5:$B$199,'[2]1'!$B$5:$D$200,3,0),"")</f>
        <v/>
      </c>
      <c r="E55" s="8" t="str">
        <f>IFERROR(VLOOKUP($B$5:$B$199,'[2]1'!$B$5:$G$200,6,0),"")</f>
        <v/>
      </c>
      <c r="F55" s="8" t="str">
        <f t="shared" si="0"/>
        <v/>
      </c>
      <c r="G55" s="8" t="str">
        <f>IFERROR(VLOOKUP($B$5:$B$199,'[2]2'!$B$5:$D$200,3,0),"")</f>
        <v/>
      </c>
      <c r="H55" s="8" t="str">
        <f>IFERROR(VLOOKUP($B$5:$B$199,'[2]2'!$B$5:$G$200,6,0),"")</f>
        <v/>
      </c>
      <c r="I55" s="8" t="str">
        <f t="shared" si="1"/>
        <v/>
      </c>
      <c r="J55" s="8" t="str">
        <f>IFERROR(VLOOKUP($B$5:$B$199,'[2]3'!$B$5:$D$200,3,0),"")</f>
        <v/>
      </c>
      <c r="K55" s="8" t="str">
        <f>IFERROR(VLOOKUP($B$5:$B$199,'[2]3'!$B$5:$G$200,6,0),"")</f>
        <v/>
      </c>
      <c r="L55" s="8" t="str">
        <f t="shared" si="2"/>
        <v/>
      </c>
      <c r="M55" s="8" t="str">
        <f>IFERROR(VLOOKUP($B$5:$B$199,'[2]4'!$B$5:$D$200,3,0),"")</f>
        <v/>
      </c>
      <c r="N55" s="8" t="str">
        <f>IFERROR(VLOOKUP($B$5:$B$199,'[2]4'!$B$5:$G$200,6,0),"")</f>
        <v/>
      </c>
      <c r="O55" s="8" t="str">
        <f t="shared" si="3"/>
        <v/>
      </c>
      <c r="P55" s="8">
        <f>IFERROR(VLOOKUP($B$5:$B$199,'[2]5'!$B$5:$D$200,3,0),"")</f>
        <v>10</v>
      </c>
      <c r="Q55" s="8">
        <f>IFERROR(VLOOKUP($B$5:$B$199,'[2]5'!$B$5:$G$200,6,0),"")</f>
        <v>23250</v>
      </c>
      <c r="R55" s="8">
        <f t="shared" si="4"/>
        <v>232500</v>
      </c>
      <c r="S55" s="8" t="str">
        <f>IFERROR(VLOOKUP($B$5:$B$199,'[2]6'!$B$5:$D$200,3,0),"")</f>
        <v/>
      </c>
      <c r="T55" s="8" t="str">
        <f>IFERROR(VLOOKUP($B$5:$B$199,'[2]6'!$B$5:$G$200,6,0),"")</f>
        <v/>
      </c>
      <c r="U55" s="8" t="str">
        <f t="shared" si="5"/>
        <v/>
      </c>
      <c r="V55" s="8" t="str">
        <f>IFERROR(VLOOKUP($B$5:$B$199,'[2]7'!$B$5:$D$200,3,0),"")</f>
        <v/>
      </c>
      <c r="W55" s="8" t="str">
        <f>IFERROR(VLOOKUP($B$5:$B$199,'[2]7'!$B$5:$G$200,6,0),"")</f>
        <v/>
      </c>
      <c r="X55" s="8" t="str">
        <f t="shared" si="6"/>
        <v/>
      </c>
      <c r="Y55" s="8" t="str">
        <f>IFERROR(VLOOKUP($B$5:$B$199,'[2]8'!$B$5:$D$200,3,0),"")</f>
        <v/>
      </c>
      <c r="Z55" s="8" t="str">
        <f>IFERROR(VLOOKUP($B$5:$B$199,'[2]8'!$B$5:$G$200,6,0),"")</f>
        <v/>
      </c>
      <c r="AA55" s="8" t="str">
        <f t="shared" si="7"/>
        <v/>
      </c>
      <c r="AB55" s="8" t="str">
        <f>IFERROR(VLOOKUP($B$5:$B$199,'[2]9'!$B$5:$D$200,3,0),"")</f>
        <v/>
      </c>
      <c r="AC55" s="8" t="str">
        <f>IFERROR(VLOOKUP($B$5:$B$199,'[2]9'!$B$5:$G$200,6,0),"")</f>
        <v/>
      </c>
      <c r="AD55" s="8" t="str">
        <f t="shared" si="8"/>
        <v/>
      </c>
      <c r="AE55" s="8" t="str">
        <f>IFERROR(VLOOKUP($B$5:$B$199,'[2]10'!$B$5:$D$200,3,0),"")</f>
        <v/>
      </c>
      <c r="AF55" s="8" t="str">
        <f>IFERROR(VLOOKUP($B$5:$B$199,'[2]10'!$B$5:$G$200,6,0),"")</f>
        <v/>
      </c>
      <c r="AG55" s="8" t="str">
        <f t="shared" si="9"/>
        <v/>
      </c>
      <c r="AH55" s="8" t="str">
        <f>IFERROR(VLOOKUP($B$5:$B$199,'[2]11'!$B$5:$D$200,3,0),"")</f>
        <v/>
      </c>
      <c r="AI55" s="8" t="str">
        <f>IFERROR(VLOOKUP($B$5:$B$199,'[2]11'!$B$5:$G$200,6,0),"")</f>
        <v/>
      </c>
      <c r="AJ55" s="8" t="str">
        <f t="shared" si="10"/>
        <v/>
      </c>
      <c r="AK55" s="8" t="str">
        <f>IFERROR(VLOOKUP($B$5:$B$199,'[2]12'!$B$5:$D$200,3,0),"")</f>
        <v/>
      </c>
      <c r="AL55" s="8" t="str">
        <f>IFERROR(VLOOKUP($B$5:$B$199,'[2]12'!$B$5:$G$200,6,0),"")</f>
        <v/>
      </c>
      <c r="AM55" s="8" t="str">
        <f t="shared" si="11"/>
        <v/>
      </c>
      <c r="AN55" s="8" t="str">
        <f>IFERROR(VLOOKUP($B$5:$B$199,'[2]13'!$B$5:$D$200,3,0),"")</f>
        <v/>
      </c>
      <c r="AO55" s="8" t="str">
        <f>IFERROR(VLOOKUP($B$5:$B$199,'[2]13'!$B$5:$G$200,6,0),"")</f>
        <v/>
      </c>
      <c r="AP55" s="8" t="str">
        <f t="shared" si="12"/>
        <v/>
      </c>
      <c r="AQ55" s="8" t="str">
        <f>IFERROR(VLOOKUP($B$5:$B$199,'[2]14'!$B$5:$D$200,3,0),"")</f>
        <v/>
      </c>
      <c r="AR55" s="8" t="str">
        <f>IFERROR(VLOOKUP($B$5:$B$199,'[2]14'!$B$5:$G$200,6,0),"")</f>
        <v/>
      </c>
      <c r="AS55" s="8" t="str">
        <f t="shared" si="13"/>
        <v/>
      </c>
      <c r="AT55" s="8" t="str">
        <f>IFERROR(VLOOKUP($B$5:$B$199,'[2]15'!$B$5:$D$200,3,0),"")</f>
        <v/>
      </c>
      <c r="AU55" s="8" t="str">
        <f>IFERROR(VLOOKUP($B$5:$B$199,'[2]15'!$B$5:$G$200,6,0),"")</f>
        <v/>
      </c>
      <c r="AV55" s="8" t="str">
        <f t="shared" si="14"/>
        <v/>
      </c>
      <c r="AW55" s="8" t="str">
        <f>IFERROR(VLOOKUP($B$5:$B$199,'[2]16'!$B$5:$D$200,3,0),"")</f>
        <v/>
      </c>
      <c r="AX55" s="8" t="str">
        <f>IFERROR(VLOOKUP($B$5:$B$199,'[2]16'!$B$5:$G$200,6,0),"")</f>
        <v/>
      </c>
      <c r="AY55" s="8" t="str">
        <f t="shared" si="15"/>
        <v/>
      </c>
      <c r="AZ55" s="8" t="str">
        <f>IFERROR(VLOOKUP($B$5:$B$199,'[2]17'!$B$5:$D$200,3,0),"")</f>
        <v/>
      </c>
      <c r="BA55" s="8" t="str">
        <f>IFERROR(VLOOKUP($B$5:$B$199,'[2]17'!$B$5:$G$200,6,0),"")</f>
        <v/>
      </c>
      <c r="BB55" s="8" t="str">
        <f t="shared" si="16"/>
        <v/>
      </c>
      <c r="BC55" s="8" t="str">
        <f>IFERROR(VLOOKUP($B$5:$B$199,'[2]18'!$B$5:$D$200,3,0),"")</f>
        <v/>
      </c>
      <c r="BD55" s="8" t="str">
        <f>IFERROR(VLOOKUP($B$5:$B$199,'[2]18'!$B$5:$G$200,6,0),"")</f>
        <v/>
      </c>
      <c r="BE55" s="8" t="str">
        <f t="shared" si="17"/>
        <v/>
      </c>
      <c r="BF55" s="8" t="str">
        <f>IFERROR(VLOOKUP($B$5:$B$199,'[2]19'!$B$5:$D$200,3,0),"")</f>
        <v/>
      </c>
      <c r="BG55" s="8" t="str">
        <f>IFERROR(VLOOKUP($B$5:$B$199,'[2]19'!$B$5:$G$200,6,0),"")</f>
        <v/>
      </c>
      <c r="BH55" s="8" t="str">
        <f t="shared" si="18"/>
        <v/>
      </c>
      <c r="BI55" s="8" t="str">
        <f>IFERROR(VLOOKUP($B$5:$B$199,'[2]20'!$B$5:$D$200,3,0),"")</f>
        <v/>
      </c>
      <c r="BJ55" s="8" t="str">
        <f>IFERROR(VLOOKUP($B$5:$B$199,'[2]20'!$B$5:$G$200,6,0),"")</f>
        <v/>
      </c>
      <c r="BK55" s="8" t="str">
        <f t="shared" si="19"/>
        <v/>
      </c>
      <c r="BL55" s="8" t="str">
        <f>IFERROR(VLOOKUP($B$5:$B$199,'[2]21'!$B$5:$D$200,3,0),"")</f>
        <v/>
      </c>
      <c r="BM55" s="8" t="str">
        <f>IFERROR(VLOOKUP($B$5:$B$199,'[2]21'!$B$5:$G$200,6,0),"")</f>
        <v/>
      </c>
      <c r="BN55" s="8" t="str">
        <f t="shared" si="20"/>
        <v/>
      </c>
      <c r="BO55" s="8" t="str">
        <f>IFERROR(VLOOKUP($B$5:$B$199,'[2]22'!$B$5:$D$200,3,0),"")</f>
        <v/>
      </c>
      <c r="BP55" s="8" t="str">
        <f>IFERROR(VLOOKUP($B$5:$B$199,'[2]22'!$B$5:$G$200,6,0),"")</f>
        <v/>
      </c>
      <c r="BQ55" s="8" t="str">
        <f t="shared" si="21"/>
        <v/>
      </c>
      <c r="BR55" s="8" t="str">
        <f>IFERROR(VLOOKUP($B$5:$B$199,'[2]23'!$B$5:$D$200,3,0),"")</f>
        <v/>
      </c>
      <c r="BS55" s="8" t="str">
        <f>IFERROR(VLOOKUP($B$5:$B$199,'[2]23'!$B$5:$G$200,6,0),"")</f>
        <v/>
      </c>
      <c r="BT55" s="8" t="str">
        <f t="shared" si="22"/>
        <v/>
      </c>
      <c r="BU55" s="8" t="str">
        <f>IFERROR(VLOOKUP($B$5:$B$199,'[2]24'!$B$5:$D$200,3,0),"")</f>
        <v/>
      </c>
      <c r="BV55" s="8" t="str">
        <f>IFERROR(VLOOKUP($B$5:$B$199,'[2]24'!$B$5:$G$200,6,0),"")</f>
        <v/>
      </c>
      <c r="BW55" s="8" t="str">
        <f t="shared" si="23"/>
        <v/>
      </c>
      <c r="BX55" s="8" t="str">
        <f>IFERROR(VLOOKUP($B$5:$B$199,'[2]25'!$B$5:$D$200,3,0),"")</f>
        <v/>
      </c>
      <c r="BY55" s="8" t="str">
        <f>IFERROR(VLOOKUP($B$5:$B$199,'[2]25'!$B$5:$G$200,6,0),"")</f>
        <v/>
      </c>
      <c r="BZ55" s="8" t="str">
        <f t="shared" si="24"/>
        <v/>
      </c>
      <c r="CA55" s="8" t="str">
        <f>IFERROR(VLOOKUP($B$5:$B$199,'[2]26'!$B$5:$D$200,3,0),"")</f>
        <v/>
      </c>
      <c r="CB55" s="8" t="str">
        <f>IFERROR(VLOOKUP($B$5:$B$199,'[2]26'!$B$5:$G$200,6,0),"")</f>
        <v/>
      </c>
      <c r="CC55" s="8" t="str">
        <f t="shared" si="25"/>
        <v/>
      </c>
      <c r="CD55" s="8" t="str">
        <f>IFERROR(VLOOKUP($B$5:$B$199,'[2]27'!$B$5:$D$200,3,0),"")</f>
        <v/>
      </c>
      <c r="CE55" s="8" t="str">
        <f>IFERROR(VLOOKUP($B$5:$B$199,'[2]27'!$B$5:$G$200,6,0),"")</f>
        <v/>
      </c>
      <c r="CF55" s="8" t="str">
        <f t="shared" si="26"/>
        <v/>
      </c>
      <c r="CG55" s="8" t="str">
        <f>IFERROR(VLOOKUP($B$5:$B$199,'[2]28'!$B$5:$D$200,3,0),"")</f>
        <v/>
      </c>
      <c r="CH55" s="8" t="str">
        <f>IFERROR(VLOOKUP($B$5:$B$199,'[2]28'!$B$5:$G$200,6,0),"")</f>
        <v/>
      </c>
      <c r="CI55" s="8" t="str">
        <f t="shared" si="27"/>
        <v/>
      </c>
      <c r="CJ55" s="8" t="str">
        <f>IFERROR(VLOOKUP($B$5:$B$199,'[2]29'!$B$5:$D$200,3,0),"")</f>
        <v/>
      </c>
      <c r="CK55" s="8" t="str">
        <f>IFERROR(VLOOKUP($B$5:$B$199,'[2]29'!$B$5:$G$200,6,0),"")</f>
        <v/>
      </c>
      <c r="CL55" s="8" t="str">
        <f t="shared" si="28"/>
        <v/>
      </c>
      <c r="CM55" s="8" t="str">
        <f>IFERROR(VLOOKUP($B$5:$B$199,'[2]30'!$B$5:$D$200,3,0),"")</f>
        <v/>
      </c>
      <c r="CN55" s="8" t="str">
        <f>IFERROR(VLOOKUP($B$5:$B$199,'[2]30'!$B$5:$G$200,6,0),"")</f>
        <v/>
      </c>
      <c r="CO55" s="8" t="str">
        <f t="shared" si="29"/>
        <v/>
      </c>
      <c r="CP55" s="8" t="str">
        <f>IFERROR(VLOOKUP($B$5:$B$199,'[2]31'!$B$5:$D$200,3,0),"")</f>
        <v/>
      </c>
      <c r="CQ55" s="8" t="str">
        <f>IFERROR(VLOOKUP($B$5:$B$199,'[2]31'!$B$5:$G$200,6,0),"")</f>
        <v/>
      </c>
      <c r="CR55" s="8" t="str">
        <f t="shared" si="30"/>
        <v/>
      </c>
      <c r="CT55" s="3">
        <f t="shared" si="31"/>
        <v>10</v>
      </c>
      <c r="CU55" s="3">
        <f t="shared" si="32"/>
        <v>23250</v>
      </c>
      <c r="CV55" s="3">
        <f t="shared" si="33"/>
        <v>232500</v>
      </c>
      <c r="CX55">
        <f t="shared" si="34"/>
        <v>1</v>
      </c>
    </row>
    <row r="56" spans="2:102" x14ac:dyDescent="0.25">
      <c r="B56" s="7" t="s">
        <v>114</v>
      </c>
      <c r="C56" s="7" t="str">
        <f>VLOOKUP($B56,DBASE!$C$7:$D$403,2,0)</f>
        <v>KUACI REBO</v>
      </c>
      <c r="D56" s="8" t="str">
        <f>IFERROR(VLOOKUP($B$5:$B$199,'[2]1'!$B$5:$D$200,3,0),"")</f>
        <v/>
      </c>
      <c r="E56" s="8" t="str">
        <f>IFERROR(VLOOKUP($B$5:$B$199,'[2]1'!$B$5:$G$200,6,0),"")</f>
        <v/>
      </c>
      <c r="F56" s="8" t="str">
        <f t="shared" si="0"/>
        <v/>
      </c>
      <c r="G56" s="8" t="str">
        <f>IFERROR(VLOOKUP($B$5:$B$199,'[2]2'!$B$5:$D$200,3,0),"")</f>
        <v/>
      </c>
      <c r="H56" s="8" t="str">
        <f>IFERROR(VLOOKUP($B$5:$B$199,'[2]2'!$B$5:$G$200,6,0),"")</f>
        <v/>
      </c>
      <c r="I56" s="8" t="str">
        <f t="shared" si="1"/>
        <v/>
      </c>
      <c r="J56" s="8" t="str">
        <f>IFERROR(VLOOKUP($B$5:$B$199,'[2]3'!$B$5:$D$200,3,0),"")</f>
        <v/>
      </c>
      <c r="K56" s="8" t="str">
        <f>IFERROR(VLOOKUP($B$5:$B$199,'[2]3'!$B$5:$G$200,6,0),"")</f>
        <v/>
      </c>
      <c r="L56" s="8" t="str">
        <f t="shared" si="2"/>
        <v/>
      </c>
      <c r="M56" s="8" t="str">
        <f>IFERROR(VLOOKUP($B$5:$B$199,'[2]4'!$B$5:$D$200,3,0),"")</f>
        <v/>
      </c>
      <c r="N56" s="8" t="str">
        <f>IFERROR(VLOOKUP($B$5:$B$199,'[2]4'!$B$5:$G$200,6,0),"")</f>
        <v/>
      </c>
      <c r="O56" s="8" t="str">
        <f t="shared" si="3"/>
        <v/>
      </c>
      <c r="P56" s="8">
        <f>IFERROR(VLOOKUP($B$5:$B$199,'[2]5'!$B$5:$D$200,3,0),"")</f>
        <v>25</v>
      </c>
      <c r="Q56" s="8">
        <f>IFERROR(VLOOKUP($B$5:$B$199,'[2]5'!$B$5:$G$200,6,0),"")</f>
        <v>75000</v>
      </c>
      <c r="R56" s="8">
        <f t="shared" si="4"/>
        <v>1875000</v>
      </c>
      <c r="S56" s="8" t="str">
        <f>IFERROR(VLOOKUP($B$5:$B$199,'[2]6'!$B$5:$D$200,3,0),"")</f>
        <v/>
      </c>
      <c r="T56" s="8" t="str">
        <f>IFERROR(VLOOKUP($B$5:$B$199,'[2]6'!$B$5:$G$200,6,0),"")</f>
        <v/>
      </c>
      <c r="U56" s="8" t="str">
        <f t="shared" si="5"/>
        <v/>
      </c>
      <c r="V56" s="8">
        <f>IFERROR(VLOOKUP($B$5:$B$199,'[2]7'!$B$5:$D$200,3,0),"")</f>
        <v>25</v>
      </c>
      <c r="W56" s="8">
        <f>IFERROR(VLOOKUP($B$5:$B$199,'[2]7'!$B$5:$G$200,6,0),"")</f>
        <v>75000</v>
      </c>
      <c r="X56" s="8">
        <f t="shared" si="6"/>
        <v>1875000</v>
      </c>
      <c r="Y56" s="8" t="str">
        <f>IFERROR(VLOOKUP($B$5:$B$199,'[2]8'!$B$5:$D$200,3,0),"")</f>
        <v/>
      </c>
      <c r="Z56" s="8" t="str">
        <f>IFERROR(VLOOKUP($B$5:$B$199,'[2]8'!$B$5:$G$200,6,0),"")</f>
        <v/>
      </c>
      <c r="AA56" s="8" t="str">
        <f t="shared" si="7"/>
        <v/>
      </c>
      <c r="AB56" s="8" t="str">
        <f>IFERROR(VLOOKUP($B$5:$B$199,'[2]9'!$B$5:$D$200,3,0),"")</f>
        <v/>
      </c>
      <c r="AC56" s="8" t="str">
        <f>IFERROR(VLOOKUP($B$5:$B$199,'[2]9'!$B$5:$G$200,6,0),"")</f>
        <v/>
      </c>
      <c r="AD56" s="8" t="str">
        <f t="shared" si="8"/>
        <v/>
      </c>
      <c r="AE56" s="8" t="str">
        <f>IFERROR(VLOOKUP($B$5:$B$199,'[2]10'!$B$5:$D$200,3,0),"")</f>
        <v/>
      </c>
      <c r="AF56" s="8" t="str">
        <f>IFERROR(VLOOKUP($B$5:$B$199,'[2]10'!$B$5:$G$200,6,0),"")</f>
        <v/>
      </c>
      <c r="AG56" s="8" t="str">
        <f t="shared" si="9"/>
        <v/>
      </c>
      <c r="AH56" s="8" t="str">
        <f>IFERROR(VLOOKUP($B$5:$B$199,'[2]11'!$B$5:$D$200,3,0),"")</f>
        <v/>
      </c>
      <c r="AI56" s="8" t="str">
        <f>IFERROR(VLOOKUP($B$5:$B$199,'[2]11'!$B$5:$G$200,6,0),"")</f>
        <v/>
      </c>
      <c r="AJ56" s="8" t="str">
        <f t="shared" si="10"/>
        <v/>
      </c>
      <c r="AK56" s="8" t="str">
        <f>IFERROR(VLOOKUP($B$5:$B$199,'[2]12'!$B$5:$D$200,3,0),"")</f>
        <v/>
      </c>
      <c r="AL56" s="8" t="str">
        <f>IFERROR(VLOOKUP($B$5:$B$199,'[2]12'!$B$5:$G$200,6,0),"")</f>
        <v/>
      </c>
      <c r="AM56" s="8" t="str">
        <f t="shared" si="11"/>
        <v/>
      </c>
      <c r="AN56" s="8" t="str">
        <f>IFERROR(VLOOKUP($B$5:$B$199,'[2]13'!$B$5:$D$200,3,0),"")</f>
        <v/>
      </c>
      <c r="AO56" s="8" t="str">
        <f>IFERROR(VLOOKUP($B$5:$B$199,'[2]13'!$B$5:$G$200,6,0),"")</f>
        <v/>
      </c>
      <c r="AP56" s="8" t="str">
        <f t="shared" si="12"/>
        <v/>
      </c>
      <c r="AQ56" s="8" t="str">
        <f>IFERROR(VLOOKUP($B$5:$B$199,'[2]14'!$B$5:$D$200,3,0),"")</f>
        <v/>
      </c>
      <c r="AR56" s="8" t="str">
        <f>IFERROR(VLOOKUP($B$5:$B$199,'[2]14'!$B$5:$G$200,6,0),"")</f>
        <v/>
      </c>
      <c r="AS56" s="8" t="str">
        <f t="shared" si="13"/>
        <v/>
      </c>
      <c r="AT56" s="8" t="str">
        <f>IFERROR(VLOOKUP($B$5:$B$199,'[2]15'!$B$5:$D$200,3,0),"")</f>
        <v/>
      </c>
      <c r="AU56" s="8" t="str">
        <f>IFERROR(VLOOKUP($B$5:$B$199,'[2]15'!$B$5:$G$200,6,0),"")</f>
        <v/>
      </c>
      <c r="AV56" s="8" t="str">
        <f t="shared" si="14"/>
        <v/>
      </c>
      <c r="AW56" s="8" t="str">
        <f>IFERROR(VLOOKUP($B$5:$B$199,'[2]16'!$B$5:$D$200,3,0),"")</f>
        <v/>
      </c>
      <c r="AX56" s="8" t="str">
        <f>IFERROR(VLOOKUP($B$5:$B$199,'[2]16'!$B$5:$G$200,6,0),"")</f>
        <v/>
      </c>
      <c r="AY56" s="8" t="str">
        <f t="shared" si="15"/>
        <v/>
      </c>
      <c r="AZ56" s="8" t="str">
        <f>IFERROR(VLOOKUP($B$5:$B$199,'[2]17'!$B$5:$D$200,3,0),"")</f>
        <v/>
      </c>
      <c r="BA56" s="8" t="str">
        <f>IFERROR(VLOOKUP($B$5:$B$199,'[2]17'!$B$5:$G$200,6,0),"")</f>
        <v/>
      </c>
      <c r="BB56" s="8" t="str">
        <f t="shared" si="16"/>
        <v/>
      </c>
      <c r="BC56" s="8" t="str">
        <f>IFERROR(VLOOKUP($B$5:$B$199,'[2]18'!$B$5:$D$200,3,0),"")</f>
        <v/>
      </c>
      <c r="BD56" s="8" t="str">
        <f>IFERROR(VLOOKUP($B$5:$B$199,'[2]18'!$B$5:$G$200,6,0),"")</f>
        <v/>
      </c>
      <c r="BE56" s="8" t="str">
        <f t="shared" si="17"/>
        <v/>
      </c>
      <c r="BF56" s="8" t="str">
        <f>IFERROR(VLOOKUP($B$5:$B$199,'[2]19'!$B$5:$D$200,3,0),"")</f>
        <v/>
      </c>
      <c r="BG56" s="8" t="str">
        <f>IFERROR(VLOOKUP($B$5:$B$199,'[2]19'!$B$5:$G$200,6,0),"")</f>
        <v/>
      </c>
      <c r="BH56" s="8" t="str">
        <f t="shared" si="18"/>
        <v/>
      </c>
      <c r="BI56" s="8" t="str">
        <f>IFERROR(VLOOKUP($B$5:$B$199,'[2]20'!$B$5:$D$200,3,0),"")</f>
        <v/>
      </c>
      <c r="BJ56" s="8" t="str">
        <f>IFERROR(VLOOKUP($B$5:$B$199,'[2]20'!$B$5:$G$200,6,0),"")</f>
        <v/>
      </c>
      <c r="BK56" s="8" t="str">
        <f t="shared" si="19"/>
        <v/>
      </c>
      <c r="BL56" s="8" t="str">
        <f>IFERROR(VLOOKUP($B$5:$B$199,'[2]21'!$B$5:$D$200,3,0),"")</f>
        <v/>
      </c>
      <c r="BM56" s="8" t="str">
        <f>IFERROR(VLOOKUP($B$5:$B$199,'[2]21'!$B$5:$G$200,6,0),"")</f>
        <v/>
      </c>
      <c r="BN56" s="8" t="str">
        <f t="shared" si="20"/>
        <v/>
      </c>
      <c r="BO56" s="8" t="str">
        <f>IFERROR(VLOOKUP($B$5:$B$199,'[2]22'!$B$5:$D$200,3,0),"")</f>
        <v/>
      </c>
      <c r="BP56" s="8" t="str">
        <f>IFERROR(VLOOKUP($B$5:$B$199,'[2]22'!$B$5:$G$200,6,0),"")</f>
        <v/>
      </c>
      <c r="BQ56" s="8" t="str">
        <f t="shared" si="21"/>
        <v/>
      </c>
      <c r="BR56" s="8" t="str">
        <f>IFERROR(VLOOKUP($B$5:$B$199,'[2]23'!$B$5:$D$200,3,0),"")</f>
        <v/>
      </c>
      <c r="BS56" s="8" t="str">
        <f>IFERROR(VLOOKUP($B$5:$B$199,'[2]23'!$B$5:$G$200,6,0),"")</f>
        <v/>
      </c>
      <c r="BT56" s="8" t="str">
        <f t="shared" si="22"/>
        <v/>
      </c>
      <c r="BU56" s="8" t="str">
        <f>IFERROR(VLOOKUP($B$5:$B$199,'[2]24'!$B$5:$D$200,3,0),"")</f>
        <v/>
      </c>
      <c r="BV56" s="8" t="str">
        <f>IFERROR(VLOOKUP($B$5:$B$199,'[2]24'!$B$5:$G$200,6,0),"")</f>
        <v/>
      </c>
      <c r="BW56" s="8" t="str">
        <f t="shared" si="23"/>
        <v/>
      </c>
      <c r="BX56" s="8" t="str">
        <f>IFERROR(VLOOKUP($B$5:$B$199,'[2]25'!$B$5:$D$200,3,0),"")</f>
        <v/>
      </c>
      <c r="BY56" s="8" t="str">
        <f>IFERROR(VLOOKUP($B$5:$B$199,'[2]25'!$B$5:$G$200,6,0),"")</f>
        <v/>
      </c>
      <c r="BZ56" s="8" t="str">
        <f t="shared" si="24"/>
        <v/>
      </c>
      <c r="CA56" s="8" t="str">
        <f>IFERROR(VLOOKUP($B$5:$B$199,'[2]26'!$B$5:$D$200,3,0),"")</f>
        <v/>
      </c>
      <c r="CB56" s="8" t="str">
        <f>IFERROR(VLOOKUP($B$5:$B$199,'[2]26'!$B$5:$G$200,6,0),"")</f>
        <v/>
      </c>
      <c r="CC56" s="8" t="str">
        <f t="shared" si="25"/>
        <v/>
      </c>
      <c r="CD56" s="8" t="str">
        <f>IFERROR(VLOOKUP($B$5:$B$199,'[2]27'!$B$5:$D$200,3,0),"")</f>
        <v/>
      </c>
      <c r="CE56" s="8" t="str">
        <f>IFERROR(VLOOKUP($B$5:$B$199,'[2]27'!$B$5:$G$200,6,0),"")</f>
        <v/>
      </c>
      <c r="CF56" s="8" t="str">
        <f t="shared" si="26"/>
        <v/>
      </c>
      <c r="CG56" s="8" t="str">
        <f>IFERROR(VLOOKUP($B$5:$B$199,'[2]28'!$B$5:$D$200,3,0),"")</f>
        <v/>
      </c>
      <c r="CH56" s="8" t="str">
        <f>IFERROR(VLOOKUP($B$5:$B$199,'[2]28'!$B$5:$G$200,6,0),"")</f>
        <v/>
      </c>
      <c r="CI56" s="8" t="str">
        <f t="shared" si="27"/>
        <v/>
      </c>
      <c r="CJ56" s="8" t="str">
        <f>IFERROR(VLOOKUP($B$5:$B$199,'[2]29'!$B$5:$D$200,3,0),"")</f>
        <v/>
      </c>
      <c r="CK56" s="8" t="str">
        <f>IFERROR(VLOOKUP($B$5:$B$199,'[2]29'!$B$5:$G$200,6,0),"")</f>
        <v/>
      </c>
      <c r="CL56" s="8" t="str">
        <f t="shared" si="28"/>
        <v/>
      </c>
      <c r="CM56" s="8" t="str">
        <f>IFERROR(VLOOKUP($B$5:$B$199,'[2]30'!$B$5:$D$200,3,0),"")</f>
        <v/>
      </c>
      <c r="CN56" s="8" t="str">
        <f>IFERROR(VLOOKUP($B$5:$B$199,'[2]30'!$B$5:$G$200,6,0),"")</f>
        <v/>
      </c>
      <c r="CO56" s="8" t="str">
        <f t="shared" si="29"/>
        <v/>
      </c>
      <c r="CP56" s="8" t="str">
        <f>IFERROR(VLOOKUP($B$5:$B$199,'[2]31'!$B$5:$D$200,3,0),"")</f>
        <v/>
      </c>
      <c r="CQ56" s="8" t="str">
        <f>IFERROR(VLOOKUP($B$5:$B$199,'[2]31'!$B$5:$G$200,6,0),"")</f>
        <v/>
      </c>
      <c r="CR56" s="8" t="str">
        <f t="shared" si="30"/>
        <v/>
      </c>
      <c r="CT56" s="3">
        <f t="shared" si="31"/>
        <v>50</v>
      </c>
      <c r="CU56" s="3">
        <f t="shared" si="32"/>
        <v>75000</v>
      </c>
      <c r="CV56" s="3">
        <f t="shared" si="33"/>
        <v>3750000</v>
      </c>
      <c r="CX56">
        <f t="shared" si="34"/>
        <v>2</v>
      </c>
    </row>
    <row r="57" spans="2:102" x14ac:dyDescent="0.25">
      <c r="B57" s="7" t="s">
        <v>115</v>
      </c>
      <c r="C57" s="7" t="str">
        <f>VLOOKUP($B57,DBASE!$C$7:$D$403,2,0)</f>
        <v>WASUKA CHOKU</v>
      </c>
      <c r="D57" s="8" t="str">
        <f>IFERROR(VLOOKUP($B$5:$B$199,'[2]1'!$B$5:$D$200,3,0),"")</f>
        <v/>
      </c>
      <c r="E57" s="8" t="str">
        <f>IFERROR(VLOOKUP($B$5:$B$199,'[2]1'!$B$5:$G$200,6,0),"")</f>
        <v/>
      </c>
      <c r="F57" s="8" t="str">
        <f t="shared" si="0"/>
        <v/>
      </c>
      <c r="G57" s="8" t="str">
        <f>IFERROR(VLOOKUP($B$5:$B$199,'[2]2'!$B$5:$D$200,3,0),"")</f>
        <v/>
      </c>
      <c r="H57" s="8" t="str">
        <f>IFERROR(VLOOKUP($B$5:$B$199,'[2]2'!$B$5:$G$200,6,0),"")</f>
        <v/>
      </c>
      <c r="I57" s="8" t="str">
        <f t="shared" si="1"/>
        <v/>
      </c>
      <c r="J57" s="8" t="str">
        <f>IFERROR(VLOOKUP($B$5:$B$199,'[2]3'!$B$5:$D$200,3,0),"")</f>
        <v/>
      </c>
      <c r="K57" s="8" t="str">
        <f>IFERROR(VLOOKUP($B$5:$B$199,'[2]3'!$B$5:$G$200,6,0),"")</f>
        <v/>
      </c>
      <c r="L57" s="8" t="str">
        <f t="shared" si="2"/>
        <v/>
      </c>
      <c r="M57" s="8" t="str">
        <f>IFERROR(VLOOKUP($B$5:$B$199,'[2]4'!$B$5:$D$200,3,0),"")</f>
        <v/>
      </c>
      <c r="N57" s="8" t="str">
        <f>IFERROR(VLOOKUP($B$5:$B$199,'[2]4'!$B$5:$G$200,6,0),"")</f>
        <v/>
      </c>
      <c r="O57" s="8" t="str">
        <f t="shared" si="3"/>
        <v/>
      </c>
      <c r="P57" s="8">
        <f>IFERROR(VLOOKUP($B$5:$B$199,'[2]5'!$B$5:$D$200,3,0),"")</f>
        <v>5</v>
      </c>
      <c r="Q57" s="8">
        <f>IFERROR(VLOOKUP($B$5:$B$199,'[2]5'!$B$5:$G$200,6,0),"")</f>
        <v>51940</v>
      </c>
      <c r="R57" s="8">
        <f t="shared" si="4"/>
        <v>259700</v>
      </c>
      <c r="S57" s="8" t="str">
        <f>IFERROR(VLOOKUP($B$5:$B$199,'[2]6'!$B$5:$D$200,3,0),"")</f>
        <v/>
      </c>
      <c r="T57" s="8" t="str">
        <f>IFERROR(VLOOKUP($B$5:$B$199,'[2]6'!$B$5:$G$200,6,0),"")</f>
        <v/>
      </c>
      <c r="U57" s="8" t="str">
        <f t="shared" si="5"/>
        <v/>
      </c>
      <c r="V57" s="8" t="str">
        <f>IFERROR(VLOOKUP($B$5:$B$199,'[2]7'!$B$5:$D$200,3,0),"")</f>
        <v/>
      </c>
      <c r="W57" s="8" t="str">
        <f>IFERROR(VLOOKUP($B$5:$B$199,'[2]7'!$B$5:$G$200,6,0),"")</f>
        <v/>
      </c>
      <c r="X57" s="8" t="str">
        <f t="shared" si="6"/>
        <v/>
      </c>
      <c r="Y57" s="8" t="str">
        <f>IFERROR(VLOOKUP($B$5:$B$199,'[2]8'!$B$5:$D$200,3,0),"")</f>
        <v/>
      </c>
      <c r="Z57" s="8" t="str">
        <f>IFERROR(VLOOKUP($B$5:$B$199,'[2]8'!$B$5:$G$200,6,0),"")</f>
        <v/>
      </c>
      <c r="AA57" s="8" t="str">
        <f t="shared" si="7"/>
        <v/>
      </c>
      <c r="AB57" s="8" t="str">
        <f>IFERROR(VLOOKUP($B$5:$B$199,'[2]9'!$B$5:$D$200,3,0),"")</f>
        <v/>
      </c>
      <c r="AC57" s="8" t="str">
        <f>IFERROR(VLOOKUP($B$5:$B$199,'[2]9'!$B$5:$G$200,6,0),"")</f>
        <v/>
      </c>
      <c r="AD57" s="8" t="str">
        <f t="shared" si="8"/>
        <v/>
      </c>
      <c r="AE57" s="8" t="str">
        <f>IFERROR(VLOOKUP($B$5:$B$199,'[2]10'!$B$5:$D$200,3,0),"")</f>
        <v/>
      </c>
      <c r="AF57" s="8" t="str">
        <f>IFERROR(VLOOKUP($B$5:$B$199,'[2]10'!$B$5:$G$200,6,0),"")</f>
        <v/>
      </c>
      <c r="AG57" s="8" t="str">
        <f t="shared" si="9"/>
        <v/>
      </c>
      <c r="AH57" s="8" t="str">
        <f>IFERROR(VLOOKUP($B$5:$B$199,'[2]11'!$B$5:$D$200,3,0),"")</f>
        <v/>
      </c>
      <c r="AI57" s="8" t="str">
        <f>IFERROR(VLOOKUP($B$5:$B$199,'[2]11'!$B$5:$G$200,6,0),"")</f>
        <v/>
      </c>
      <c r="AJ57" s="8" t="str">
        <f t="shared" si="10"/>
        <v/>
      </c>
      <c r="AK57" s="8" t="str">
        <f>IFERROR(VLOOKUP($B$5:$B$199,'[2]12'!$B$5:$D$200,3,0),"")</f>
        <v/>
      </c>
      <c r="AL57" s="8" t="str">
        <f>IFERROR(VLOOKUP($B$5:$B$199,'[2]12'!$B$5:$G$200,6,0),"")</f>
        <v/>
      </c>
      <c r="AM57" s="8" t="str">
        <f t="shared" si="11"/>
        <v/>
      </c>
      <c r="AN57" s="8" t="str">
        <f>IFERROR(VLOOKUP($B$5:$B$199,'[2]13'!$B$5:$D$200,3,0),"")</f>
        <v/>
      </c>
      <c r="AO57" s="8" t="str">
        <f>IFERROR(VLOOKUP($B$5:$B$199,'[2]13'!$B$5:$G$200,6,0),"")</f>
        <v/>
      </c>
      <c r="AP57" s="8" t="str">
        <f t="shared" si="12"/>
        <v/>
      </c>
      <c r="AQ57" s="8" t="str">
        <f>IFERROR(VLOOKUP($B$5:$B$199,'[2]14'!$B$5:$D$200,3,0),"")</f>
        <v/>
      </c>
      <c r="AR57" s="8" t="str">
        <f>IFERROR(VLOOKUP($B$5:$B$199,'[2]14'!$B$5:$G$200,6,0),"")</f>
        <v/>
      </c>
      <c r="AS57" s="8" t="str">
        <f t="shared" si="13"/>
        <v/>
      </c>
      <c r="AT57" s="8" t="str">
        <f>IFERROR(VLOOKUP($B$5:$B$199,'[2]15'!$B$5:$D$200,3,0),"")</f>
        <v/>
      </c>
      <c r="AU57" s="8" t="str">
        <f>IFERROR(VLOOKUP($B$5:$B$199,'[2]15'!$B$5:$G$200,6,0),"")</f>
        <v/>
      </c>
      <c r="AV57" s="8" t="str">
        <f t="shared" si="14"/>
        <v/>
      </c>
      <c r="AW57" s="8" t="str">
        <f>IFERROR(VLOOKUP($B$5:$B$199,'[2]16'!$B$5:$D$200,3,0),"")</f>
        <v/>
      </c>
      <c r="AX57" s="8" t="str">
        <f>IFERROR(VLOOKUP($B$5:$B$199,'[2]16'!$B$5:$G$200,6,0),"")</f>
        <v/>
      </c>
      <c r="AY57" s="8" t="str">
        <f t="shared" si="15"/>
        <v/>
      </c>
      <c r="AZ57" s="8" t="str">
        <f>IFERROR(VLOOKUP($B$5:$B$199,'[2]17'!$B$5:$D$200,3,0),"")</f>
        <v/>
      </c>
      <c r="BA57" s="8" t="str">
        <f>IFERROR(VLOOKUP($B$5:$B$199,'[2]17'!$B$5:$G$200,6,0),"")</f>
        <v/>
      </c>
      <c r="BB57" s="8" t="str">
        <f t="shared" si="16"/>
        <v/>
      </c>
      <c r="BC57" s="8" t="str">
        <f>IFERROR(VLOOKUP($B$5:$B$199,'[2]18'!$B$5:$D$200,3,0),"")</f>
        <v/>
      </c>
      <c r="BD57" s="8" t="str">
        <f>IFERROR(VLOOKUP($B$5:$B$199,'[2]18'!$B$5:$G$200,6,0),"")</f>
        <v/>
      </c>
      <c r="BE57" s="8" t="str">
        <f t="shared" si="17"/>
        <v/>
      </c>
      <c r="BF57" s="8" t="str">
        <f>IFERROR(VLOOKUP($B$5:$B$199,'[2]19'!$B$5:$D$200,3,0),"")</f>
        <v/>
      </c>
      <c r="BG57" s="8" t="str">
        <f>IFERROR(VLOOKUP($B$5:$B$199,'[2]19'!$B$5:$G$200,6,0),"")</f>
        <v/>
      </c>
      <c r="BH57" s="8" t="str">
        <f t="shared" si="18"/>
        <v/>
      </c>
      <c r="BI57" s="8" t="str">
        <f>IFERROR(VLOOKUP($B$5:$B$199,'[2]20'!$B$5:$D$200,3,0),"")</f>
        <v/>
      </c>
      <c r="BJ57" s="8" t="str">
        <f>IFERROR(VLOOKUP($B$5:$B$199,'[2]20'!$B$5:$G$200,6,0),"")</f>
        <v/>
      </c>
      <c r="BK57" s="8" t="str">
        <f t="shared" si="19"/>
        <v/>
      </c>
      <c r="BL57" s="8" t="str">
        <f>IFERROR(VLOOKUP($B$5:$B$199,'[2]21'!$B$5:$D$200,3,0),"")</f>
        <v/>
      </c>
      <c r="BM57" s="8" t="str">
        <f>IFERROR(VLOOKUP($B$5:$B$199,'[2]21'!$B$5:$G$200,6,0),"")</f>
        <v/>
      </c>
      <c r="BN57" s="8" t="str">
        <f t="shared" si="20"/>
        <v/>
      </c>
      <c r="BO57" s="8" t="str">
        <f>IFERROR(VLOOKUP($B$5:$B$199,'[2]22'!$B$5:$D$200,3,0),"")</f>
        <v/>
      </c>
      <c r="BP57" s="8" t="str">
        <f>IFERROR(VLOOKUP($B$5:$B$199,'[2]22'!$B$5:$G$200,6,0),"")</f>
        <v/>
      </c>
      <c r="BQ57" s="8" t="str">
        <f t="shared" si="21"/>
        <v/>
      </c>
      <c r="BR57" s="8" t="str">
        <f>IFERROR(VLOOKUP($B$5:$B$199,'[2]23'!$B$5:$D$200,3,0),"")</f>
        <v/>
      </c>
      <c r="BS57" s="8" t="str">
        <f>IFERROR(VLOOKUP($B$5:$B$199,'[2]23'!$B$5:$G$200,6,0),"")</f>
        <v/>
      </c>
      <c r="BT57" s="8" t="str">
        <f t="shared" si="22"/>
        <v/>
      </c>
      <c r="BU57" s="8" t="str">
        <f>IFERROR(VLOOKUP($B$5:$B$199,'[2]24'!$B$5:$D$200,3,0),"")</f>
        <v/>
      </c>
      <c r="BV57" s="8" t="str">
        <f>IFERROR(VLOOKUP($B$5:$B$199,'[2]24'!$B$5:$G$200,6,0),"")</f>
        <v/>
      </c>
      <c r="BW57" s="8" t="str">
        <f t="shared" si="23"/>
        <v/>
      </c>
      <c r="BX57" s="8" t="str">
        <f>IFERROR(VLOOKUP($B$5:$B$199,'[2]25'!$B$5:$D$200,3,0),"")</f>
        <v/>
      </c>
      <c r="BY57" s="8" t="str">
        <f>IFERROR(VLOOKUP($B$5:$B$199,'[2]25'!$B$5:$G$200,6,0),"")</f>
        <v/>
      </c>
      <c r="BZ57" s="8" t="str">
        <f t="shared" si="24"/>
        <v/>
      </c>
      <c r="CA57" s="8" t="str">
        <f>IFERROR(VLOOKUP($B$5:$B$199,'[2]26'!$B$5:$D$200,3,0),"")</f>
        <v/>
      </c>
      <c r="CB57" s="8" t="str">
        <f>IFERROR(VLOOKUP($B$5:$B$199,'[2]26'!$B$5:$G$200,6,0),"")</f>
        <v/>
      </c>
      <c r="CC57" s="8" t="str">
        <f t="shared" si="25"/>
        <v/>
      </c>
      <c r="CD57" s="8" t="str">
        <f>IFERROR(VLOOKUP($B$5:$B$199,'[2]27'!$B$5:$D$200,3,0),"")</f>
        <v/>
      </c>
      <c r="CE57" s="8" t="str">
        <f>IFERROR(VLOOKUP($B$5:$B$199,'[2]27'!$B$5:$G$200,6,0),"")</f>
        <v/>
      </c>
      <c r="CF57" s="8" t="str">
        <f t="shared" si="26"/>
        <v/>
      </c>
      <c r="CG57" s="8" t="str">
        <f>IFERROR(VLOOKUP($B$5:$B$199,'[2]28'!$B$5:$D$200,3,0),"")</f>
        <v/>
      </c>
      <c r="CH57" s="8" t="str">
        <f>IFERROR(VLOOKUP($B$5:$B$199,'[2]28'!$B$5:$G$200,6,0),"")</f>
        <v/>
      </c>
      <c r="CI57" s="8" t="str">
        <f t="shared" si="27"/>
        <v/>
      </c>
      <c r="CJ57" s="8" t="str">
        <f>IFERROR(VLOOKUP($B$5:$B$199,'[2]29'!$B$5:$D$200,3,0),"")</f>
        <v/>
      </c>
      <c r="CK57" s="8" t="str">
        <f>IFERROR(VLOOKUP($B$5:$B$199,'[2]29'!$B$5:$G$200,6,0),"")</f>
        <v/>
      </c>
      <c r="CL57" s="8" t="str">
        <f t="shared" si="28"/>
        <v/>
      </c>
      <c r="CM57" s="8" t="str">
        <f>IFERROR(VLOOKUP($B$5:$B$199,'[2]30'!$B$5:$D$200,3,0),"")</f>
        <v/>
      </c>
      <c r="CN57" s="8" t="str">
        <f>IFERROR(VLOOKUP($B$5:$B$199,'[2]30'!$B$5:$G$200,6,0),"")</f>
        <v/>
      </c>
      <c r="CO57" s="8" t="str">
        <f t="shared" si="29"/>
        <v/>
      </c>
      <c r="CP57" s="8" t="str">
        <f>IFERROR(VLOOKUP($B$5:$B$199,'[2]31'!$B$5:$D$200,3,0),"")</f>
        <v/>
      </c>
      <c r="CQ57" s="8" t="str">
        <f>IFERROR(VLOOKUP($B$5:$B$199,'[2]31'!$B$5:$G$200,6,0),"")</f>
        <v/>
      </c>
      <c r="CR57" s="8" t="str">
        <f t="shared" si="30"/>
        <v/>
      </c>
      <c r="CT57" s="3">
        <f t="shared" si="31"/>
        <v>5</v>
      </c>
      <c r="CU57" s="3">
        <f t="shared" si="32"/>
        <v>51940</v>
      </c>
      <c r="CV57" s="3">
        <f t="shared" si="33"/>
        <v>259700</v>
      </c>
      <c r="CX57">
        <f t="shared" si="34"/>
        <v>1</v>
      </c>
    </row>
    <row r="58" spans="2:102" x14ac:dyDescent="0.25">
      <c r="B58" s="7" t="s">
        <v>116</v>
      </c>
      <c r="C58" s="7" t="str">
        <f>VLOOKUP($B58,DBASE!$C$7:$D$403,2,0)</f>
        <v>WAFER JUMBO KITA</v>
      </c>
      <c r="D58" s="8" t="str">
        <f>IFERROR(VLOOKUP($B$5:$B$199,'[2]1'!$B$5:$D$200,3,0),"")</f>
        <v/>
      </c>
      <c r="E58" s="8" t="str">
        <f>IFERROR(VLOOKUP($B$5:$B$199,'[2]1'!$B$5:$G$200,6,0),"")</f>
        <v/>
      </c>
      <c r="F58" s="8" t="str">
        <f t="shared" si="0"/>
        <v/>
      </c>
      <c r="G58" s="8" t="str">
        <f>IFERROR(VLOOKUP($B$5:$B$199,'[2]2'!$B$5:$D$200,3,0),"")</f>
        <v/>
      </c>
      <c r="H58" s="8" t="str">
        <f>IFERROR(VLOOKUP($B$5:$B$199,'[2]2'!$B$5:$G$200,6,0),"")</f>
        <v/>
      </c>
      <c r="I58" s="8" t="str">
        <f t="shared" si="1"/>
        <v/>
      </c>
      <c r="J58" s="8" t="str">
        <f>IFERROR(VLOOKUP($B$5:$B$199,'[2]3'!$B$5:$D$200,3,0),"")</f>
        <v/>
      </c>
      <c r="K58" s="8" t="str">
        <f>IFERROR(VLOOKUP($B$5:$B$199,'[2]3'!$B$5:$G$200,6,0),"")</f>
        <v/>
      </c>
      <c r="L58" s="8" t="str">
        <f t="shared" si="2"/>
        <v/>
      </c>
      <c r="M58" s="8" t="str">
        <f>IFERROR(VLOOKUP($B$5:$B$199,'[2]4'!$B$5:$D$200,3,0),"")</f>
        <v/>
      </c>
      <c r="N58" s="8" t="str">
        <f>IFERROR(VLOOKUP($B$5:$B$199,'[2]4'!$B$5:$G$200,6,0),"")</f>
        <v/>
      </c>
      <c r="O58" s="8" t="str">
        <f t="shared" si="3"/>
        <v/>
      </c>
      <c r="P58" s="8">
        <f>IFERROR(VLOOKUP($B$5:$B$199,'[2]5'!$B$5:$D$200,3,0),"")</f>
        <v>10</v>
      </c>
      <c r="Q58" s="8">
        <f>IFERROR(VLOOKUP($B$5:$B$199,'[2]5'!$B$5:$G$200,6,0),"")</f>
        <v>55000</v>
      </c>
      <c r="R58" s="8">
        <f t="shared" si="4"/>
        <v>550000</v>
      </c>
      <c r="S58" s="8" t="str">
        <f>IFERROR(VLOOKUP($B$5:$B$199,'[2]6'!$B$5:$D$200,3,0),"")</f>
        <v/>
      </c>
      <c r="T58" s="8" t="str">
        <f>IFERROR(VLOOKUP($B$5:$B$199,'[2]6'!$B$5:$G$200,6,0),"")</f>
        <v/>
      </c>
      <c r="U58" s="8" t="str">
        <f t="shared" si="5"/>
        <v/>
      </c>
      <c r="V58" s="8" t="str">
        <f>IFERROR(VLOOKUP($B$5:$B$199,'[2]7'!$B$5:$D$200,3,0),"")</f>
        <v/>
      </c>
      <c r="W58" s="8" t="str">
        <f>IFERROR(VLOOKUP($B$5:$B$199,'[2]7'!$B$5:$G$200,6,0),"")</f>
        <v/>
      </c>
      <c r="X58" s="8" t="str">
        <f t="shared" si="6"/>
        <v/>
      </c>
      <c r="Y58" s="8" t="str">
        <f>IFERROR(VLOOKUP($B$5:$B$199,'[2]8'!$B$5:$D$200,3,0),"")</f>
        <v/>
      </c>
      <c r="Z58" s="8" t="str">
        <f>IFERROR(VLOOKUP($B$5:$B$199,'[2]8'!$B$5:$G$200,6,0),"")</f>
        <v/>
      </c>
      <c r="AA58" s="8" t="str">
        <f t="shared" si="7"/>
        <v/>
      </c>
      <c r="AB58" s="8" t="str">
        <f>IFERROR(VLOOKUP($B$5:$B$199,'[2]9'!$B$5:$D$200,3,0),"")</f>
        <v/>
      </c>
      <c r="AC58" s="8" t="str">
        <f>IFERROR(VLOOKUP($B$5:$B$199,'[2]9'!$B$5:$G$200,6,0),"")</f>
        <v/>
      </c>
      <c r="AD58" s="8" t="str">
        <f t="shared" si="8"/>
        <v/>
      </c>
      <c r="AE58" s="8" t="str">
        <f>IFERROR(VLOOKUP($B$5:$B$199,'[2]10'!$B$5:$D$200,3,0),"")</f>
        <v/>
      </c>
      <c r="AF58" s="8" t="str">
        <f>IFERROR(VLOOKUP($B$5:$B$199,'[2]10'!$B$5:$G$200,6,0),"")</f>
        <v/>
      </c>
      <c r="AG58" s="8" t="str">
        <f t="shared" si="9"/>
        <v/>
      </c>
      <c r="AH58" s="8" t="str">
        <f>IFERROR(VLOOKUP($B$5:$B$199,'[2]11'!$B$5:$D$200,3,0),"")</f>
        <v/>
      </c>
      <c r="AI58" s="8" t="str">
        <f>IFERROR(VLOOKUP($B$5:$B$199,'[2]11'!$B$5:$G$200,6,0),"")</f>
        <v/>
      </c>
      <c r="AJ58" s="8" t="str">
        <f t="shared" si="10"/>
        <v/>
      </c>
      <c r="AK58" s="8" t="str">
        <f>IFERROR(VLOOKUP($B$5:$B$199,'[2]12'!$B$5:$D$200,3,0),"")</f>
        <v/>
      </c>
      <c r="AL58" s="8" t="str">
        <f>IFERROR(VLOOKUP($B$5:$B$199,'[2]12'!$B$5:$G$200,6,0),"")</f>
        <v/>
      </c>
      <c r="AM58" s="8" t="str">
        <f t="shared" si="11"/>
        <v/>
      </c>
      <c r="AN58" s="8" t="str">
        <f>IFERROR(VLOOKUP($B$5:$B$199,'[2]13'!$B$5:$D$200,3,0),"")</f>
        <v/>
      </c>
      <c r="AO58" s="8" t="str">
        <f>IFERROR(VLOOKUP($B$5:$B$199,'[2]13'!$B$5:$G$200,6,0),"")</f>
        <v/>
      </c>
      <c r="AP58" s="8" t="str">
        <f t="shared" si="12"/>
        <v/>
      </c>
      <c r="AQ58" s="8" t="str">
        <f>IFERROR(VLOOKUP($B$5:$B$199,'[2]14'!$B$5:$D$200,3,0),"")</f>
        <v/>
      </c>
      <c r="AR58" s="8" t="str">
        <f>IFERROR(VLOOKUP($B$5:$B$199,'[2]14'!$B$5:$G$200,6,0),"")</f>
        <v/>
      </c>
      <c r="AS58" s="8" t="str">
        <f t="shared" si="13"/>
        <v/>
      </c>
      <c r="AT58" s="8" t="str">
        <f>IFERROR(VLOOKUP($B$5:$B$199,'[2]15'!$B$5:$D$200,3,0),"")</f>
        <v/>
      </c>
      <c r="AU58" s="8" t="str">
        <f>IFERROR(VLOOKUP($B$5:$B$199,'[2]15'!$B$5:$G$200,6,0),"")</f>
        <v/>
      </c>
      <c r="AV58" s="8" t="str">
        <f t="shared" si="14"/>
        <v/>
      </c>
      <c r="AW58" s="8" t="str">
        <f>IFERROR(VLOOKUP($B$5:$B$199,'[2]16'!$B$5:$D$200,3,0),"")</f>
        <v/>
      </c>
      <c r="AX58" s="8" t="str">
        <f>IFERROR(VLOOKUP($B$5:$B$199,'[2]16'!$B$5:$G$200,6,0),"")</f>
        <v/>
      </c>
      <c r="AY58" s="8" t="str">
        <f t="shared" si="15"/>
        <v/>
      </c>
      <c r="AZ58" s="8" t="str">
        <f>IFERROR(VLOOKUP($B$5:$B$199,'[2]17'!$B$5:$D$200,3,0),"")</f>
        <v/>
      </c>
      <c r="BA58" s="8" t="str">
        <f>IFERROR(VLOOKUP($B$5:$B$199,'[2]17'!$B$5:$G$200,6,0),"")</f>
        <v/>
      </c>
      <c r="BB58" s="8" t="str">
        <f t="shared" si="16"/>
        <v/>
      </c>
      <c r="BC58" s="8" t="str">
        <f>IFERROR(VLOOKUP($B$5:$B$199,'[2]18'!$B$5:$D$200,3,0),"")</f>
        <v/>
      </c>
      <c r="BD58" s="8" t="str">
        <f>IFERROR(VLOOKUP($B$5:$B$199,'[2]18'!$B$5:$G$200,6,0),"")</f>
        <v/>
      </c>
      <c r="BE58" s="8" t="str">
        <f t="shared" si="17"/>
        <v/>
      </c>
      <c r="BF58" s="8" t="str">
        <f>IFERROR(VLOOKUP($B$5:$B$199,'[2]19'!$B$5:$D$200,3,0),"")</f>
        <v/>
      </c>
      <c r="BG58" s="8" t="str">
        <f>IFERROR(VLOOKUP($B$5:$B$199,'[2]19'!$B$5:$G$200,6,0),"")</f>
        <v/>
      </c>
      <c r="BH58" s="8" t="str">
        <f t="shared" si="18"/>
        <v/>
      </c>
      <c r="BI58" s="8" t="str">
        <f>IFERROR(VLOOKUP($B$5:$B$199,'[2]20'!$B$5:$D$200,3,0),"")</f>
        <v/>
      </c>
      <c r="BJ58" s="8" t="str">
        <f>IFERROR(VLOOKUP($B$5:$B$199,'[2]20'!$B$5:$G$200,6,0),"")</f>
        <v/>
      </c>
      <c r="BK58" s="8" t="str">
        <f t="shared" si="19"/>
        <v/>
      </c>
      <c r="BL58" s="8" t="str">
        <f>IFERROR(VLOOKUP($B$5:$B$199,'[2]21'!$B$5:$D$200,3,0),"")</f>
        <v/>
      </c>
      <c r="BM58" s="8" t="str">
        <f>IFERROR(VLOOKUP($B$5:$B$199,'[2]21'!$B$5:$G$200,6,0),"")</f>
        <v/>
      </c>
      <c r="BN58" s="8" t="str">
        <f t="shared" si="20"/>
        <v/>
      </c>
      <c r="BO58" s="8" t="str">
        <f>IFERROR(VLOOKUP($B$5:$B$199,'[2]22'!$B$5:$D$200,3,0),"")</f>
        <v/>
      </c>
      <c r="BP58" s="8" t="str">
        <f>IFERROR(VLOOKUP($B$5:$B$199,'[2]22'!$B$5:$G$200,6,0),"")</f>
        <v/>
      </c>
      <c r="BQ58" s="8" t="str">
        <f t="shared" si="21"/>
        <v/>
      </c>
      <c r="BR58" s="8" t="str">
        <f>IFERROR(VLOOKUP($B$5:$B$199,'[2]23'!$B$5:$D$200,3,0),"")</f>
        <v/>
      </c>
      <c r="BS58" s="8" t="str">
        <f>IFERROR(VLOOKUP($B$5:$B$199,'[2]23'!$B$5:$G$200,6,0),"")</f>
        <v/>
      </c>
      <c r="BT58" s="8" t="str">
        <f t="shared" si="22"/>
        <v/>
      </c>
      <c r="BU58" s="8" t="str">
        <f>IFERROR(VLOOKUP($B$5:$B$199,'[2]24'!$B$5:$D$200,3,0),"")</f>
        <v/>
      </c>
      <c r="BV58" s="8" t="str">
        <f>IFERROR(VLOOKUP($B$5:$B$199,'[2]24'!$B$5:$G$200,6,0),"")</f>
        <v/>
      </c>
      <c r="BW58" s="8" t="str">
        <f t="shared" si="23"/>
        <v/>
      </c>
      <c r="BX58" s="8" t="str">
        <f>IFERROR(VLOOKUP($B$5:$B$199,'[2]25'!$B$5:$D$200,3,0),"")</f>
        <v/>
      </c>
      <c r="BY58" s="8" t="str">
        <f>IFERROR(VLOOKUP($B$5:$B$199,'[2]25'!$B$5:$G$200,6,0),"")</f>
        <v/>
      </c>
      <c r="BZ58" s="8" t="str">
        <f t="shared" si="24"/>
        <v/>
      </c>
      <c r="CA58" s="8" t="str">
        <f>IFERROR(VLOOKUP($B$5:$B$199,'[2]26'!$B$5:$D$200,3,0),"")</f>
        <v/>
      </c>
      <c r="CB58" s="8" t="str">
        <f>IFERROR(VLOOKUP($B$5:$B$199,'[2]26'!$B$5:$G$200,6,0),"")</f>
        <v/>
      </c>
      <c r="CC58" s="8" t="str">
        <f t="shared" si="25"/>
        <v/>
      </c>
      <c r="CD58" s="8" t="str">
        <f>IFERROR(VLOOKUP($B$5:$B$199,'[2]27'!$B$5:$D$200,3,0),"")</f>
        <v/>
      </c>
      <c r="CE58" s="8" t="str">
        <f>IFERROR(VLOOKUP($B$5:$B$199,'[2]27'!$B$5:$G$200,6,0),"")</f>
        <v/>
      </c>
      <c r="CF58" s="8" t="str">
        <f t="shared" si="26"/>
        <v/>
      </c>
      <c r="CG58" s="8" t="str">
        <f>IFERROR(VLOOKUP($B$5:$B$199,'[2]28'!$B$5:$D$200,3,0),"")</f>
        <v/>
      </c>
      <c r="CH58" s="8" t="str">
        <f>IFERROR(VLOOKUP($B$5:$B$199,'[2]28'!$B$5:$G$200,6,0),"")</f>
        <v/>
      </c>
      <c r="CI58" s="8" t="str">
        <f t="shared" si="27"/>
        <v/>
      </c>
      <c r="CJ58" s="8" t="str">
        <f>IFERROR(VLOOKUP($B$5:$B$199,'[2]29'!$B$5:$D$200,3,0),"")</f>
        <v/>
      </c>
      <c r="CK58" s="8" t="str">
        <f>IFERROR(VLOOKUP($B$5:$B$199,'[2]29'!$B$5:$G$200,6,0),"")</f>
        <v/>
      </c>
      <c r="CL58" s="8" t="str">
        <f t="shared" si="28"/>
        <v/>
      </c>
      <c r="CM58" s="8" t="str">
        <f>IFERROR(VLOOKUP($B$5:$B$199,'[2]30'!$B$5:$D$200,3,0),"")</f>
        <v/>
      </c>
      <c r="CN58" s="8" t="str">
        <f>IFERROR(VLOOKUP($B$5:$B$199,'[2]30'!$B$5:$G$200,6,0),"")</f>
        <v/>
      </c>
      <c r="CO58" s="8" t="str">
        <f t="shared" si="29"/>
        <v/>
      </c>
      <c r="CP58" s="8" t="str">
        <f>IFERROR(VLOOKUP($B$5:$B$199,'[2]31'!$B$5:$D$200,3,0),"")</f>
        <v/>
      </c>
      <c r="CQ58" s="8" t="str">
        <f>IFERROR(VLOOKUP($B$5:$B$199,'[2]31'!$B$5:$G$200,6,0),"")</f>
        <v/>
      </c>
      <c r="CR58" s="8" t="str">
        <f t="shared" si="30"/>
        <v/>
      </c>
      <c r="CT58" s="3">
        <f t="shared" si="31"/>
        <v>10</v>
      </c>
      <c r="CU58" s="3">
        <f t="shared" si="32"/>
        <v>55000</v>
      </c>
      <c r="CV58" s="3">
        <f t="shared" si="33"/>
        <v>550000</v>
      </c>
      <c r="CX58">
        <f t="shared" si="34"/>
        <v>1</v>
      </c>
    </row>
    <row r="59" spans="2:102" x14ac:dyDescent="0.25">
      <c r="B59" s="7" t="s">
        <v>117</v>
      </c>
      <c r="C59" s="7" t="str">
        <f>VLOOKUP($B59,DBASE!$C$7:$D$403,2,0)</f>
        <v>PANGPANG KOREA</v>
      </c>
      <c r="D59" s="8" t="str">
        <f>IFERROR(VLOOKUP($B$5:$B$199,'[2]1'!$B$5:$D$200,3,0),"")</f>
        <v/>
      </c>
      <c r="E59" s="8" t="str">
        <f>IFERROR(VLOOKUP($B$5:$B$199,'[2]1'!$B$5:$G$200,6,0),"")</f>
        <v/>
      </c>
      <c r="F59" s="8" t="str">
        <f t="shared" si="0"/>
        <v/>
      </c>
      <c r="G59" s="8" t="str">
        <f>IFERROR(VLOOKUP($B$5:$B$199,'[2]2'!$B$5:$D$200,3,0),"")</f>
        <v/>
      </c>
      <c r="H59" s="8" t="str">
        <f>IFERROR(VLOOKUP($B$5:$B$199,'[2]2'!$B$5:$G$200,6,0),"")</f>
        <v/>
      </c>
      <c r="I59" s="8" t="str">
        <f t="shared" si="1"/>
        <v/>
      </c>
      <c r="J59" s="8" t="str">
        <f>IFERROR(VLOOKUP($B$5:$B$199,'[2]3'!$B$5:$D$200,3,0),"")</f>
        <v/>
      </c>
      <c r="K59" s="8" t="str">
        <f>IFERROR(VLOOKUP($B$5:$B$199,'[2]3'!$B$5:$G$200,6,0),"")</f>
        <v/>
      </c>
      <c r="L59" s="8" t="str">
        <f t="shared" si="2"/>
        <v/>
      </c>
      <c r="M59" s="8" t="str">
        <f>IFERROR(VLOOKUP($B$5:$B$199,'[2]4'!$B$5:$D$200,3,0),"")</f>
        <v/>
      </c>
      <c r="N59" s="8" t="str">
        <f>IFERROR(VLOOKUP($B$5:$B$199,'[2]4'!$B$5:$G$200,6,0),"")</f>
        <v/>
      </c>
      <c r="O59" s="8" t="str">
        <f t="shared" si="3"/>
        <v/>
      </c>
      <c r="P59" s="8">
        <f>IFERROR(VLOOKUP($B$5:$B$199,'[2]5'!$B$5:$D$200,3,0),"")</f>
        <v>10</v>
      </c>
      <c r="Q59" s="8">
        <f>IFERROR(VLOOKUP($B$5:$B$199,'[2]5'!$B$5:$G$200,6,0),"")</f>
        <v>23250</v>
      </c>
      <c r="R59" s="8">
        <f t="shared" si="4"/>
        <v>232500</v>
      </c>
      <c r="S59" s="8" t="str">
        <f>IFERROR(VLOOKUP($B$5:$B$199,'[2]6'!$B$5:$D$200,3,0),"")</f>
        <v/>
      </c>
      <c r="T59" s="8" t="str">
        <f>IFERROR(VLOOKUP($B$5:$B$199,'[2]6'!$B$5:$G$200,6,0),"")</f>
        <v/>
      </c>
      <c r="U59" s="8" t="str">
        <f t="shared" si="5"/>
        <v/>
      </c>
      <c r="V59" s="8" t="str">
        <f>IFERROR(VLOOKUP($B$5:$B$199,'[2]7'!$B$5:$D$200,3,0),"")</f>
        <v/>
      </c>
      <c r="W59" s="8" t="str">
        <f>IFERROR(VLOOKUP($B$5:$B$199,'[2]7'!$B$5:$G$200,6,0),"")</f>
        <v/>
      </c>
      <c r="X59" s="8" t="str">
        <f t="shared" si="6"/>
        <v/>
      </c>
      <c r="Y59" s="8" t="str">
        <f>IFERROR(VLOOKUP($B$5:$B$199,'[2]8'!$B$5:$D$200,3,0),"")</f>
        <v/>
      </c>
      <c r="Z59" s="8" t="str">
        <f>IFERROR(VLOOKUP($B$5:$B$199,'[2]8'!$B$5:$G$200,6,0),"")</f>
        <v/>
      </c>
      <c r="AA59" s="8" t="str">
        <f t="shared" si="7"/>
        <v/>
      </c>
      <c r="AB59" s="8" t="str">
        <f>IFERROR(VLOOKUP($B$5:$B$199,'[2]9'!$B$5:$D$200,3,0),"")</f>
        <v/>
      </c>
      <c r="AC59" s="8" t="str">
        <f>IFERROR(VLOOKUP($B$5:$B$199,'[2]9'!$B$5:$G$200,6,0),"")</f>
        <v/>
      </c>
      <c r="AD59" s="8" t="str">
        <f t="shared" si="8"/>
        <v/>
      </c>
      <c r="AE59" s="8" t="str">
        <f>IFERROR(VLOOKUP($B$5:$B$199,'[2]10'!$B$5:$D$200,3,0),"")</f>
        <v/>
      </c>
      <c r="AF59" s="8" t="str">
        <f>IFERROR(VLOOKUP($B$5:$B$199,'[2]10'!$B$5:$G$200,6,0),"")</f>
        <v/>
      </c>
      <c r="AG59" s="8" t="str">
        <f t="shared" si="9"/>
        <v/>
      </c>
      <c r="AH59" s="8" t="str">
        <f>IFERROR(VLOOKUP($B$5:$B$199,'[2]11'!$B$5:$D$200,3,0),"")</f>
        <v/>
      </c>
      <c r="AI59" s="8" t="str">
        <f>IFERROR(VLOOKUP($B$5:$B$199,'[2]11'!$B$5:$G$200,6,0),"")</f>
        <v/>
      </c>
      <c r="AJ59" s="8" t="str">
        <f t="shared" si="10"/>
        <v/>
      </c>
      <c r="AK59" s="8" t="str">
        <f>IFERROR(VLOOKUP($B$5:$B$199,'[2]12'!$B$5:$D$200,3,0),"")</f>
        <v/>
      </c>
      <c r="AL59" s="8" t="str">
        <f>IFERROR(VLOOKUP($B$5:$B$199,'[2]12'!$B$5:$G$200,6,0),"")</f>
        <v/>
      </c>
      <c r="AM59" s="8" t="str">
        <f t="shared" si="11"/>
        <v/>
      </c>
      <c r="AN59" s="8" t="str">
        <f>IFERROR(VLOOKUP($B$5:$B$199,'[2]13'!$B$5:$D$200,3,0),"")</f>
        <v/>
      </c>
      <c r="AO59" s="8" t="str">
        <f>IFERROR(VLOOKUP($B$5:$B$199,'[2]13'!$B$5:$G$200,6,0),"")</f>
        <v/>
      </c>
      <c r="AP59" s="8" t="str">
        <f t="shared" si="12"/>
        <v/>
      </c>
      <c r="AQ59" s="8" t="str">
        <f>IFERROR(VLOOKUP($B$5:$B$199,'[2]14'!$B$5:$D$200,3,0),"")</f>
        <v/>
      </c>
      <c r="AR59" s="8" t="str">
        <f>IFERROR(VLOOKUP($B$5:$B$199,'[2]14'!$B$5:$G$200,6,0),"")</f>
        <v/>
      </c>
      <c r="AS59" s="8" t="str">
        <f t="shared" si="13"/>
        <v/>
      </c>
      <c r="AT59" s="8" t="str">
        <f>IFERROR(VLOOKUP($B$5:$B$199,'[2]15'!$B$5:$D$200,3,0),"")</f>
        <v/>
      </c>
      <c r="AU59" s="8" t="str">
        <f>IFERROR(VLOOKUP($B$5:$B$199,'[2]15'!$B$5:$G$200,6,0),"")</f>
        <v/>
      </c>
      <c r="AV59" s="8" t="str">
        <f t="shared" si="14"/>
        <v/>
      </c>
      <c r="AW59" s="8" t="str">
        <f>IFERROR(VLOOKUP($B$5:$B$199,'[2]16'!$B$5:$D$200,3,0),"")</f>
        <v/>
      </c>
      <c r="AX59" s="8" t="str">
        <f>IFERROR(VLOOKUP($B$5:$B$199,'[2]16'!$B$5:$G$200,6,0),"")</f>
        <v/>
      </c>
      <c r="AY59" s="8" t="str">
        <f t="shared" si="15"/>
        <v/>
      </c>
      <c r="AZ59" s="8" t="str">
        <f>IFERROR(VLOOKUP($B$5:$B$199,'[2]17'!$B$5:$D$200,3,0),"")</f>
        <v/>
      </c>
      <c r="BA59" s="8" t="str">
        <f>IFERROR(VLOOKUP($B$5:$B$199,'[2]17'!$B$5:$G$200,6,0),"")</f>
        <v/>
      </c>
      <c r="BB59" s="8" t="str">
        <f t="shared" si="16"/>
        <v/>
      </c>
      <c r="BC59" s="8" t="str">
        <f>IFERROR(VLOOKUP($B$5:$B$199,'[2]18'!$B$5:$D$200,3,0),"")</f>
        <v/>
      </c>
      <c r="BD59" s="8" t="str">
        <f>IFERROR(VLOOKUP($B$5:$B$199,'[2]18'!$B$5:$G$200,6,0),"")</f>
        <v/>
      </c>
      <c r="BE59" s="8" t="str">
        <f t="shared" si="17"/>
        <v/>
      </c>
      <c r="BF59" s="8" t="str">
        <f>IFERROR(VLOOKUP($B$5:$B$199,'[2]19'!$B$5:$D$200,3,0),"")</f>
        <v/>
      </c>
      <c r="BG59" s="8" t="str">
        <f>IFERROR(VLOOKUP($B$5:$B$199,'[2]19'!$B$5:$G$200,6,0),"")</f>
        <v/>
      </c>
      <c r="BH59" s="8" t="str">
        <f t="shared" si="18"/>
        <v/>
      </c>
      <c r="BI59" s="8" t="str">
        <f>IFERROR(VLOOKUP($B$5:$B$199,'[2]20'!$B$5:$D$200,3,0),"")</f>
        <v/>
      </c>
      <c r="BJ59" s="8" t="str">
        <f>IFERROR(VLOOKUP($B$5:$B$199,'[2]20'!$B$5:$G$200,6,0),"")</f>
        <v/>
      </c>
      <c r="BK59" s="8" t="str">
        <f t="shared" si="19"/>
        <v/>
      </c>
      <c r="BL59" s="8" t="str">
        <f>IFERROR(VLOOKUP($B$5:$B$199,'[2]21'!$B$5:$D$200,3,0),"")</f>
        <v/>
      </c>
      <c r="BM59" s="8" t="str">
        <f>IFERROR(VLOOKUP($B$5:$B$199,'[2]21'!$B$5:$G$200,6,0),"")</f>
        <v/>
      </c>
      <c r="BN59" s="8" t="str">
        <f t="shared" si="20"/>
        <v/>
      </c>
      <c r="BO59" s="8" t="str">
        <f>IFERROR(VLOOKUP($B$5:$B$199,'[2]22'!$B$5:$D$200,3,0),"")</f>
        <v/>
      </c>
      <c r="BP59" s="8" t="str">
        <f>IFERROR(VLOOKUP($B$5:$B$199,'[2]22'!$B$5:$G$200,6,0),"")</f>
        <v/>
      </c>
      <c r="BQ59" s="8" t="str">
        <f t="shared" si="21"/>
        <v/>
      </c>
      <c r="BR59" s="8" t="str">
        <f>IFERROR(VLOOKUP($B$5:$B$199,'[2]23'!$B$5:$D$200,3,0),"")</f>
        <v/>
      </c>
      <c r="BS59" s="8" t="str">
        <f>IFERROR(VLOOKUP($B$5:$B$199,'[2]23'!$B$5:$G$200,6,0),"")</f>
        <v/>
      </c>
      <c r="BT59" s="8" t="str">
        <f t="shared" si="22"/>
        <v/>
      </c>
      <c r="BU59" s="8" t="str">
        <f>IFERROR(VLOOKUP($B$5:$B$199,'[2]24'!$B$5:$D$200,3,0),"")</f>
        <v/>
      </c>
      <c r="BV59" s="8" t="str">
        <f>IFERROR(VLOOKUP($B$5:$B$199,'[2]24'!$B$5:$G$200,6,0),"")</f>
        <v/>
      </c>
      <c r="BW59" s="8" t="str">
        <f t="shared" si="23"/>
        <v/>
      </c>
      <c r="BX59" s="8" t="str">
        <f>IFERROR(VLOOKUP($B$5:$B$199,'[2]25'!$B$5:$D$200,3,0),"")</f>
        <v/>
      </c>
      <c r="BY59" s="8" t="str">
        <f>IFERROR(VLOOKUP($B$5:$B$199,'[2]25'!$B$5:$G$200,6,0),"")</f>
        <v/>
      </c>
      <c r="BZ59" s="8" t="str">
        <f t="shared" si="24"/>
        <v/>
      </c>
      <c r="CA59" s="8" t="str">
        <f>IFERROR(VLOOKUP($B$5:$B$199,'[2]26'!$B$5:$D$200,3,0),"")</f>
        <v/>
      </c>
      <c r="CB59" s="8" t="str">
        <f>IFERROR(VLOOKUP($B$5:$B$199,'[2]26'!$B$5:$G$200,6,0),"")</f>
        <v/>
      </c>
      <c r="CC59" s="8" t="str">
        <f t="shared" si="25"/>
        <v/>
      </c>
      <c r="CD59" s="8" t="str">
        <f>IFERROR(VLOOKUP($B$5:$B$199,'[2]27'!$B$5:$D$200,3,0),"")</f>
        <v/>
      </c>
      <c r="CE59" s="8" t="str">
        <f>IFERROR(VLOOKUP($B$5:$B$199,'[2]27'!$B$5:$G$200,6,0),"")</f>
        <v/>
      </c>
      <c r="CF59" s="8" t="str">
        <f t="shared" si="26"/>
        <v/>
      </c>
      <c r="CG59" s="8" t="str">
        <f>IFERROR(VLOOKUP($B$5:$B$199,'[2]28'!$B$5:$D$200,3,0),"")</f>
        <v/>
      </c>
      <c r="CH59" s="8" t="str">
        <f>IFERROR(VLOOKUP($B$5:$B$199,'[2]28'!$B$5:$G$200,6,0),"")</f>
        <v/>
      </c>
      <c r="CI59" s="8" t="str">
        <f t="shared" si="27"/>
        <v/>
      </c>
      <c r="CJ59" s="8" t="str">
        <f>IFERROR(VLOOKUP($B$5:$B$199,'[2]29'!$B$5:$D$200,3,0),"")</f>
        <v/>
      </c>
      <c r="CK59" s="8" t="str">
        <f>IFERROR(VLOOKUP($B$5:$B$199,'[2]29'!$B$5:$G$200,6,0),"")</f>
        <v/>
      </c>
      <c r="CL59" s="8" t="str">
        <f t="shared" si="28"/>
        <v/>
      </c>
      <c r="CM59" s="8" t="str">
        <f>IFERROR(VLOOKUP($B$5:$B$199,'[2]30'!$B$5:$D$200,3,0),"")</f>
        <v/>
      </c>
      <c r="CN59" s="8" t="str">
        <f>IFERROR(VLOOKUP($B$5:$B$199,'[2]30'!$B$5:$G$200,6,0),"")</f>
        <v/>
      </c>
      <c r="CO59" s="8" t="str">
        <f t="shared" si="29"/>
        <v/>
      </c>
      <c r="CP59" s="8" t="str">
        <f>IFERROR(VLOOKUP($B$5:$B$199,'[2]31'!$B$5:$D$200,3,0),"")</f>
        <v/>
      </c>
      <c r="CQ59" s="8" t="str">
        <f>IFERROR(VLOOKUP($B$5:$B$199,'[2]31'!$B$5:$G$200,6,0),"")</f>
        <v/>
      </c>
      <c r="CR59" s="8" t="str">
        <f t="shared" si="30"/>
        <v/>
      </c>
      <c r="CT59" s="3">
        <f t="shared" si="31"/>
        <v>10</v>
      </c>
      <c r="CU59" s="3">
        <f t="shared" si="32"/>
        <v>23250</v>
      </c>
      <c r="CV59" s="3">
        <f t="shared" si="33"/>
        <v>232500</v>
      </c>
      <c r="CX59">
        <f t="shared" si="34"/>
        <v>1</v>
      </c>
    </row>
    <row r="60" spans="2:102" x14ac:dyDescent="0.25">
      <c r="B60" s="7" t="s">
        <v>107</v>
      </c>
      <c r="C60" s="7" t="str">
        <f>VLOOKUP($B60,DBASE!$C$7:$D$403,2,0)</f>
        <v>NGETOP</v>
      </c>
      <c r="D60" s="8" t="str">
        <f>IFERROR(VLOOKUP($B$5:$B$199,'[2]1'!$B$5:$D$200,3,0),"")</f>
        <v/>
      </c>
      <c r="E60" s="8" t="str">
        <f>IFERROR(VLOOKUP($B$5:$B$199,'[2]1'!$B$5:$G$200,6,0),"")</f>
        <v/>
      </c>
      <c r="F60" s="8" t="str">
        <f t="shared" si="0"/>
        <v/>
      </c>
      <c r="G60" s="8" t="str">
        <f>IFERROR(VLOOKUP($B$5:$B$199,'[2]2'!$B$5:$D$200,3,0),"")</f>
        <v/>
      </c>
      <c r="H60" s="8" t="str">
        <f>IFERROR(VLOOKUP($B$5:$B$199,'[2]2'!$B$5:$G$200,6,0),"")</f>
        <v/>
      </c>
      <c r="I60" s="8" t="str">
        <f t="shared" si="1"/>
        <v/>
      </c>
      <c r="J60" s="8" t="str">
        <f>IFERROR(VLOOKUP($B$5:$B$199,'[2]3'!$B$5:$D$200,3,0),"")</f>
        <v/>
      </c>
      <c r="K60" s="8" t="str">
        <f>IFERROR(VLOOKUP($B$5:$B$199,'[2]3'!$B$5:$G$200,6,0),"")</f>
        <v/>
      </c>
      <c r="L60" s="8" t="str">
        <f t="shared" si="2"/>
        <v/>
      </c>
      <c r="M60" s="8" t="str">
        <f>IFERROR(VLOOKUP($B$5:$B$199,'[2]4'!$B$5:$D$200,3,0),"")</f>
        <v/>
      </c>
      <c r="N60" s="8" t="str">
        <f>IFERROR(VLOOKUP($B$5:$B$199,'[2]4'!$B$5:$G$200,6,0),"")</f>
        <v/>
      </c>
      <c r="O60" s="8" t="str">
        <f t="shared" si="3"/>
        <v/>
      </c>
      <c r="P60" s="8">
        <f>IFERROR(VLOOKUP($B$5:$B$199,'[2]5'!$B$5:$D$200,3,0),"")</f>
        <v>10</v>
      </c>
      <c r="Q60" s="8">
        <f>IFERROR(VLOOKUP($B$5:$B$199,'[2]5'!$B$5:$G$200,6,0),"")</f>
        <v>23250</v>
      </c>
      <c r="R60" s="8">
        <f t="shared" si="4"/>
        <v>232500</v>
      </c>
      <c r="S60" s="8" t="str">
        <f>IFERROR(VLOOKUP($B$5:$B$199,'[2]6'!$B$5:$D$200,3,0),"")</f>
        <v/>
      </c>
      <c r="T60" s="8" t="str">
        <f>IFERROR(VLOOKUP($B$5:$B$199,'[2]6'!$B$5:$G$200,6,0),"")</f>
        <v/>
      </c>
      <c r="U60" s="8" t="str">
        <f t="shared" si="5"/>
        <v/>
      </c>
      <c r="V60" s="8" t="str">
        <f>IFERROR(VLOOKUP($B$5:$B$199,'[2]7'!$B$5:$D$200,3,0),"")</f>
        <v/>
      </c>
      <c r="W60" s="8" t="str">
        <f>IFERROR(VLOOKUP($B$5:$B$199,'[2]7'!$B$5:$G$200,6,0),"")</f>
        <v/>
      </c>
      <c r="X60" s="8" t="str">
        <f t="shared" si="6"/>
        <v/>
      </c>
      <c r="Y60" s="8" t="str">
        <f>IFERROR(VLOOKUP($B$5:$B$199,'[2]8'!$B$5:$D$200,3,0),"")</f>
        <v/>
      </c>
      <c r="Z60" s="8" t="str">
        <f>IFERROR(VLOOKUP($B$5:$B$199,'[2]8'!$B$5:$G$200,6,0),"")</f>
        <v/>
      </c>
      <c r="AA60" s="8" t="str">
        <f t="shared" si="7"/>
        <v/>
      </c>
      <c r="AB60" s="8" t="str">
        <f>IFERROR(VLOOKUP($B$5:$B$199,'[2]9'!$B$5:$D$200,3,0),"")</f>
        <v/>
      </c>
      <c r="AC60" s="8" t="str">
        <f>IFERROR(VLOOKUP($B$5:$B$199,'[2]9'!$B$5:$G$200,6,0),"")</f>
        <v/>
      </c>
      <c r="AD60" s="8" t="str">
        <f t="shared" si="8"/>
        <v/>
      </c>
      <c r="AE60" s="8" t="str">
        <f>IFERROR(VLOOKUP($B$5:$B$199,'[2]10'!$B$5:$D$200,3,0),"")</f>
        <v/>
      </c>
      <c r="AF60" s="8" t="str">
        <f>IFERROR(VLOOKUP($B$5:$B$199,'[2]10'!$B$5:$G$200,6,0),"")</f>
        <v/>
      </c>
      <c r="AG60" s="8" t="str">
        <f t="shared" si="9"/>
        <v/>
      </c>
      <c r="AH60" s="8" t="str">
        <f>IFERROR(VLOOKUP($B$5:$B$199,'[2]11'!$B$5:$D$200,3,0),"")</f>
        <v/>
      </c>
      <c r="AI60" s="8" t="str">
        <f>IFERROR(VLOOKUP($B$5:$B$199,'[2]11'!$B$5:$G$200,6,0),"")</f>
        <v/>
      </c>
      <c r="AJ60" s="8" t="str">
        <f t="shared" si="10"/>
        <v/>
      </c>
      <c r="AK60" s="8" t="str">
        <f>IFERROR(VLOOKUP($B$5:$B$199,'[2]12'!$B$5:$D$200,3,0),"")</f>
        <v/>
      </c>
      <c r="AL60" s="8" t="str">
        <f>IFERROR(VLOOKUP($B$5:$B$199,'[2]12'!$B$5:$G$200,6,0),"")</f>
        <v/>
      </c>
      <c r="AM60" s="8" t="str">
        <f t="shared" si="11"/>
        <v/>
      </c>
      <c r="AN60" s="8" t="str">
        <f>IFERROR(VLOOKUP($B$5:$B$199,'[2]13'!$B$5:$D$200,3,0),"")</f>
        <v/>
      </c>
      <c r="AO60" s="8" t="str">
        <f>IFERROR(VLOOKUP($B$5:$B$199,'[2]13'!$B$5:$G$200,6,0),"")</f>
        <v/>
      </c>
      <c r="AP60" s="8" t="str">
        <f t="shared" si="12"/>
        <v/>
      </c>
      <c r="AQ60" s="8" t="str">
        <f>IFERROR(VLOOKUP($B$5:$B$199,'[2]14'!$B$5:$D$200,3,0),"")</f>
        <v/>
      </c>
      <c r="AR60" s="8" t="str">
        <f>IFERROR(VLOOKUP($B$5:$B$199,'[2]14'!$B$5:$G$200,6,0),"")</f>
        <v/>
      </c>
      <c r="AS60" s="8" t="str">
        <f t="shared" si="13"/>
        <v/>
      </c>
      <c r="AT60" s="8" t="str">
        <f>IFERROR(VLOOKUP($B$5:$B$199,'[2]15'!$B$5:$D$200,3,0),"")</f>
        <v/>
      </c>
      <c r="AU60" s="8" t="str">
        <f>IFERROR(VLOOKUP($B$5:$B$199,'[2]15'!$B$5:$G$200,6,0),"")</f>
        <v/>
      </c>
      <c r="AV60" s="8" t="str">
        <f t="shared" si="14"/>
        <v/>
      </c>
      <c r="AW60" s="8" t="str">
        <f>IFERROR(VLOOKUP($B$5:$B$199,'[2]16'!$B$5:$D$200,3,0),"")</f>
        <v/>
      </c>
      <c r="AX60" s="8" t="str">
        <f>IFERROR(VLOOKUP($B$5:$B$199,'[2]16'!$B$5:$G$200,6,0),"")</f>
        <v/>
      </c>
      <c r="AY60" s="8" t="str">
        <f t="shared" si="15"/>
        <v/>
      </c>
      <c r="AZ60" s="8" t="str">
        <f>IFERROR(VLOOKUP($B$5:$B$199,'[2]17'!$B$5:$D$200,3,0),"")</f>
        <v/>
      </c>
      <c r="BA60" s="8" t="str">
        <f>IFERROR(VLOOKUP($B$5:$B$199,'[2]17'!$B$5:$G$200,6,0),"")</f>
        <v/>
      </c>
      <c r="BB60" s="8" t="str">
        <f t="shared" si="16"/>
        <v/>
      </c>
      <c r="BC60" s="8" t="str">
        <f>IFERROR(VLOOKUP($B$5:$B$199,'[2]18'!$B$5:$D$200,3,0),"")</f>
        <v/>
      </c>
      <c r="BD60" s="8" t="str">
        <f>IFERROR(VLOOKUP($B$5:$B$199,'[2]18'!$B$5:$G$200,6,0),"")</f>
        <v/>
      </c>
      <c r="BE60" s="8" t="str">
        <f t="shared" si="17"/>
        <v/>
      </c>
      <c r="BF60" s="8" t="str">
        <f>IFERROR(VLOOKUP($B$5:$B$199,'[2]19'!$B$5:$D$200,3,0),"")</f>
        <v/>
      </c>
      <c r="BG60" s="8" t="str">
        <f>IFERROR(VLOOKUP($B$5:$B$199,'[2]19'!$B$5:$G$200,6,0),"")</f>
        <v/>
      </c>
      <c r="BH60" s="8" t="str">
        <f t="shared" si="18"/>
        <v/>
      </c>
      <c r="BI60" s="8" t="str">
        <f>IFERROR(VLOOKUP($B$5:$B$199,'[2]20'!$B$5:$D$200,3,0),"")</f>
        <v/>
      </c>
      <c r="BJ60" s="8" t="str">
        <f>IFERROR(VLOOKUP($B$5:$B$199,'[2]20'!$B$5:$G$200,6,0),"")</f>
        <v/>
      </c>
      <c r="BK60" s="8" t="str">
        <f t="shared" si="19"/>
        <v/>
      </c>
      <c r="BL60" s="8" t="str">
        <f>IFERROR(VLOOKUP($B$5:$B$199,'[2]21'!$B$5:$D$200,3,0),"")</f>
        <v/>
      </c>
      <c r="BM60" s="8" t="str">
        <f>IFERROR(VLOOKUP($B$5:$B$199,'[2]21'!$B$5:$G$200,6,0),"")</f>
        <v/>
      </c>
      <c r="BN60" s="8" t="str">
        <f t="shared" si="20"/>
        <v/>
      </c>
      <c r="BO60" s="8" t="str">
        <f>IFERROR(VLOOKUP($B$5:$B$199,'[2]22'!$B$5:$D$200,3,0),"")</f>
        <v/>
      </c>
      <c r="BP60" s="8" t="str">
        <f>IFERROR(VLOOKUP($B$5:$B$199,'[2]22'!$B$5:$G$200,6,0),"")</f>
        <v/>
      </c>
      <c r="BQ60" s="8" t="str">
        <f t="shared" si="21"/>
        <v/>
      </c>
      <c r="BR60" s="8" t="str">
        <f>IFERROR(VLOOKUP($B$5:$B$199,'[2]23'!$B$5:$D$200,3,0),"")</f>
        <v/>
      </c>
      <c r="BS60" s="8" t="str">
        <f>IFERROR(VLOOKUP($B$5:$B$199,'[2]23'!$B$5:$G$200,6,0),"")</f>
        <v/>
      </c>
      <c r="BT60" s="8" t="str">
        <f t="shared" si="22"/>
        <v/>
      </c>
      <c r="BU60" s="8" t="str">
        <f>IFERROR(VLOOKUP($B$5:$B$199,'[2]24'!$B$5:$D$200,3,0),"")</f>
        <v/>
      </c>
      <c r="BV60" s="8" t="str">
        <f>IFERROR(VLOOKUP($B$5:$B$199,'[2]24'!$B$5:$G$200,6,0),"")</f>
        <v/>
      </c>
      <c r="BW60" s="8" t="str">
        <f t="shared" si="23"/>
        <v/>
      </c>
      <c r="BX60" s="8" t="str">
        <f>IFERROR(VLOOKUP($B$5:$B$199,'[2]25'!$B$5:$D$200,3,0),"")</f>
        <v/>
      </c>
      <c r="BY60" s="8" t="str">
        <f>IFERROR(VLOOKUP($B$5:$B$199,'[2]25'!$B$5:$G$200,6,0),"")</f>
        <v/>
      </c>
      <c r="BZ60" s="8" t="str">
        <f t="shared" si="24"/>
        <v/>
      </c>
      <c r="CA60" s="8" t="str">
        <f>IFERROR(VLOOKUP($B$5:$B$199,'[2]26'!$B$5:$D$200,3,0),"")</f>
        <v/>
      </c>
      <c r="CB60" s="8" t="str">
        <f>IFERROR(VLOOKUP($B$5:$B$199,'[2]26'!$B$5:$G$200,6,0),"")</f>
        <v/>
      </c>
      <c r="CC60" s="8" t="str">
        <f t="shared" si="25"/>
        <v/>
      </c>
      <c r="CD60" s="8" t="str">
        <f>IFERROR(VLOOKUP($B$5:$B$199,'[2]27'!$B$5:$D$200,3,0),"")</f>
        <v/>
      </c>
      <c r="CE60" s="8" t="str">
        <f>IFERROR(VLOOKUP($B$5:$B$199,'[2]27'!$B$5:$G$200,6,0),"")</f>
        <v/>
      </c>
      <c r="CF60" s="8" t="str">
        <f t="shared" si="26"/>
        <v/>
      </c>
      <c r="CG60" s="8" t="str">
        <f>IFERROR(VLOOKUP($B$5:$B$199,'[2]28'!$B$5:$D$200,3,0),"")</f>
        <v/>
      </c>
      <c r="CH60" s="8" t="str">
        <f>IFERROR(VLOOKUP($B$5:$B$199,'[2]28'!$B$5:$G$200,6,0),"")</f>
        <v/>
      </c>
      <c r="CI60" s="8" t="str">
        <f t="shared" si="27"/>
        <v/>
      </c>
      <c r="CJ60" s="8" t="str">
        <f>IFERROR(VLOOKUP($B$5:$B$199,'[2]29'!$B$5:$D$200,3,0),"")</f>
        <v/>
      </c>
      <c r="CK60" s="8" t="str">
        <f>IFERROR(VLOOKUP($B$5:$B$199,'[2]29'!$B$5:$G$200,6,0),"")</f>
        <v/>
      </c>
      <c r="CL60" s="8" t="str">
        <f t="shared" si="28"/>
        <v/>
      </c>
      <c r="CM60" s="8" t="str">
        <f>IFERROR(VLOOKUP($B$5:$B$199,'[2]30'!$B$5:$D$200,3,0),"")</f>
        <v/>
      </c>
      <c r="CN60" s="8" t="str">
        <f>IFERROR(VLOOKUP($B$5:$B$199,'[2]30'!$B$5:$G$200,6,0),"")</f>
        <v/>
      </c>
      <c r="CO60" s="8" t="str">
        <f t="shared" si="29"/>
        <v/>
      </c>
      <c r="CP60" s="8" t="str">
        <f>IFERROR(VLOOKUP($B$5:$B$199,'[2]31'!$B$5:$D$200,3,0),"")</f>
        <v/>
      </c>
      <c r="CQ60" s="8" t="str">
        <f>IFERROR(VLOOKUP($B$5:$B$199,'[2]31'!$B$5:$G$200,6,0),"")</f>
        <v/>
      </c>
      <c r="CR60" s="8" t="str">
        <f t="shared" si="30"/>
        <v/>
      </c>
      <c r="CT60" s="3">
        <f t="shared" si="31"/>
        <v>10</v>
      </c>
      <c r="CU60" s="3">
        <f t="shared" si="32"/>
        <v>23250</v>
      </c>
      <c r="CV60" s="3">
        <f t="shared" si="33"/>
        <v>232500</v>
      </c>
      <c r="CX60">
        <f t="shared" si="34"/>
        <v>1</v>
      </c>
    </row>
    <row r="61" spans="2:102" x14ac:dyDescent="0.25">
      <c r="B61" s="7" t="s">
        <v>109</v>
      </c>
      <c r="C61" s="7" t="str">
        <f>VLOOKUP($B61,DBASE!$C$7:$D$403,2,0)</f>
        <v>ASTAGA</v>
      </c>
      <c r="D61" s="8" t="str">
        <f>IFERROR(VLOOKUP($B$5:$B$199,'[2]1'!$B$5:$D$200,3,0),"")</f>
        <v/>
      </c>
      <c r="E61" s="8" t="str">
        <f>IFERROR(VLOOKUP($B$5:$B$199,'[2]1'!$B$5:$G$200,6,0),"")</f>
        <v/>
      </c>
      <c r="F61" s="8" t="str">
        <f t="shared" si="0"/>
        <v/>
      </c>
      <c r="G61" s="8" t="str">
        <f>IFERROR(VLOOKUP($B$5:$B$199,'[2]2'!$B$5:$D$200,3,0),"")</f>
        <v/>
      </c>
      <c r="H61" s="8" t="str">
        <f>IFERROR(VLOOKUP($B$5:$B$199,'[2]2'!$B$5:$G$200,6,0),"")</f>
        <v/>
      </c>
      <c r="I61" s="8" t="str">
        <f t="shared" si="1"/>
        <v/>
      </c>
      <c r="J61" s="8" t="str">
        <f>IFERROR(VLOOKUP($B$5:$B$199,'[2]3'!$B$5:$D$200,3,0),"")</f>
        <v/>
      </c>
      <c r="K61" s="8" t="str">
        <f>IFERROR(VLOOKUP($B$5:$B$199,'[2]3'!$B$5:$G$200,6,0),"")</f>
        <v/>
      </c>
      <c r="L61" s="8" t="str">
        <f t="shared" si="2"/>
        <v/>
      </c>
      <c r="M61" s="8" t="str">
        <f>IFERROR(VLOOKUP($B$5:$B$199,'[2]4'!$B$5:$D$200,3,0),"")</f>
        <v/>
      </c>
      <c r="N61" s="8" t="str">
        <f>IFERROR(VLOOKUP($B$5:$B$199,'[2]4'!$B$5:$G$200,6,0),"")</f>
        <v/>
      </c>
      <c r="O61" s="8" t="str">
        <f t="shared" si="3"/>
        <v/>
      </c>
      <c r="P61" s="8">
        <f>IFERROR(VLOOKUP($B$5:$B$199,'[2]5'!$B$5:$D$200,3,0),"")</f>
        <v>10</v>
      </c>
      <c r="Q61" s="8">
        <f>IFERROR(VLOOKUP($B$5:$B$199,'[2]5'!$B$5:$G$200,6,0),"")</f>
        <v>23250</v>
      </c>
      <c r="R61" s="8">
        <f t="shared" si="4"/>
        <v>232500</v>
      </c>
      <c r="S61" s="8" t="str">
        <f>IFERROR(VLOOKUP($B$5:$B$199,'[2]6'!$B$5:$D$200,3,0),"")</f>
        <v/>
      </c>
      <c r="T61" s="8" t="str">
        <f>IFERROR(VLOOKUP($B$5:$B$199,'[2]6'!$B$5:$G$200,6,0),"")</f>
        <v/>
      </c>
      <c r="U61" s="8" t="str">
        <f t="shared" si="5"/>
        <v/>
      </c>
      <c r="V61" s="8" t="str">
        <f>IFERROR(VLOOKUP($B$5:$B$199,'[2]7'!$B$5:$D$200,3,0),"")</f>
        <v/>
      </c>
      <c r="W61" s="8" t="str">
        <f>IFERROR(VLOOKUP($B$5:$B$199,'[2]7'!$B$5:$G$200,6,0),"")</f>
        <v/>
      </c>
      <c r="X61" s="8" t="str">
        <f t="shared" si="6"/>
        <v/>
      </c>
      <c r="Y61" s="8" t="str">
        <f>IFERROR(VLOOKUP($B$5:$B$199,'[2]8'!$B$5:$D$200,3,0),"")</f>
        <v/>
      </c>
      <c r="Z61" s="8" t="str">
        <f>IFERROR(VLOOKUP($B$5:$B$199,'[2]8'!$B$5:$G$200,6,0),"")</f>
        <v/>
      </c>
      <c r="AA61" s="8" t="str">
        <f t="shared" si="7"/>
        <v/>
      </c>
      <c r="AB61" s="8" t="str">
        <f>IFERROR(VLOOKUP($B$5:$B$199,'[2]9'!$B$5:$D$200,3,0),"")</f>
        <v/>
      </c>
      <c r="AC61" s="8" t="str">
        <f>IFERROR(VLOOKUP($B$5:$B$199,'[2]9'!$B$5:$G$200,6,0),"")</f>
        <v/>
      </c>
      <c r="AD61" s="8" t="str">
        <f t="shared" si="8"/>
        <v/>
      </c>
      <c r="AE61" s="8" t="str">
        <f>IFERROR(VLOOKUP($B$5:$B$199,'[2]10'!$B$5:$D$200,3,0),"")</f>
        <v/>
      </c>
      <c r="AF61" s="8" t="str">
        <f>IFERROR(VLOOKUP($B$5:$B$199,'[2]10'!$B$5:$G$200,6,0),"")</f>
        <v/>
      </c>
      <c r="AG61" s="8" t="str">
        <f t="shared" si="9"/>
        <v/>
      </c>
      <c r="AH61" s="8" t="str">
        <f>IFERROR(VLOOKUP($B$5:$B$199,'[2]11'!$B$5:$D$200,3,0),"")</f>
        <v/>
      </c>
      <c r="AI61" s="8" t="str">
        <f>IFERROR(VLOOKUP($B$5:$B$199,'[2]11'!$B$5:$G$200,6,0),"")</f>
        <v/>
      </c>
      <c r="AJ61" s="8" t="str">
        <f t="shared" si="10"/>
        <v/>
      </c>
      <c r="AK61" s="8" t="str">
        <f>IFERROR(VLOOKUP($B$5:$B$199,'[2]12'!$B$5:$D$200,3,0),"")</f>
        <v/>
      </c>
      <c r="AL61" s="8" t="str">
        <f>IFERROR(VLOOKUP($B$5:$B$199,'[2]12'!$B$5:$G$200,6,0),"")</f>
        <v/>
      </c>
      <c r="AM61" s="8" t="str">
        <f t="shared" si="11"/>
        <v/>
      </c>
      <c r="AN61" s="8" t="str">
        <f>IFERROR(VLOOKUP($B$5:$B$199,'[2]13'!$B$5:$D$200,3,0),"")</f>
        <v/>
      </c>
      <c r="AO61" s="8" t="str">
        <f>IFERROR(VLOOKUP($B$5:$B$199,'[2]13'!$B$5:$G$200,6,0),"")</f>
        <v/>
      </c>
      <c r="AP61" s="8" t="str">
        <f t="shared" si="12"/>
        <v/>
      </c>
      <c r="AQ61" s="8" t="str">
        <f>IFERROR(VLOOKUP($B$5:$B$199,'[2]14'!$B$5:$D$200,3,0),"")</f>
        <v/>
      </c>
      <c r="AR61" s="8" t="str">
        <f>IFERROR(VLOOKUP($B$5:$B$199,'[2]14'!$B$5:$G$200,6,0),"")</f>
        <v/>
      </c>
      <c r="AS61" s="8" t="str">
        <f t="shared" si="13"/>
        <v/>
      </c>
      <c r="AT61" s="8" t="str">
        <f>IFERROR(VLOOKUP($B$5:$B$199,'[2]15'!$B$5:$D$200,3,0),"")</f>
        <v/>
      </c>
      <c r="AU61" s="8" t="str">
        <f>IFERROR(VLOOKUP($B$5:$B$199,'[2]15'!$B$5:$G$200,6,0),"")</f>
        <v/>
      </c>
      <c r="AV61" s="8" t="str">
        <f t="shared" si="14"/>
        <v/>
      </c>
      <c r="AW61" s="8" t="str">
        <f>IFERROR(VLOOKUP($B$5:$B$199,'[2]16'!$B$5:$D$200,3,0),"")</f>
        <v/>
      </c>
      <c r="AX61" s="8" t="str">
        <f>IFERROR(VLOOKUP($B$5:$B$199,'[2]16'!$B$5:$G$200,6,0),"")</f>
        <v/>
      </c>
      <c r="AY61" s="8" t="str">
        <f t="shared" si="15"/>
        <v/>
      </c>
      <c r="AZ61" s="8" t="str">
        <f>IFERROR(VLOOKUP($B$5:$B$199,'[2]17'!$B$5:$D$200,3,0),"")</f>
        <v/>
      </c>
      <c r="BA61" s="8" t="str">
        <f>IFERROR(VLOOKUP($B$5:$B$199,'[2]17'!$B$5:$G$200,6,0),"")</f>
        <v/>
      </c>
      <c r="BB61" s="8" t="str">
        <f t="shared" si="16"/>
        <v/>
      </c>
      <c r="BC61" s="8" t="str">
        <f>IFERROR(VLOOKUP($B$5:$B$199,'[2]18'!$B$5:$D$200,3,0),"")</f>
        <v/>
      </c>
      <c r="BD61" s="8" t="str">
        <f>IFERROR(VLOOKUP($B$5:$B$199,'[2]18'!$B$5:$G$200,6,0),"")</f>
        <v/>
      </c>
      <c r="BE61" s="8" t="str">
        <f t="shared" si="17"/>
        <v/>
      </c>
      <c r="BF61" s="8" t="str">
        <f>IFERROR(VLOOKUP($B$5:$B$199,'[2]19'!$B$5:$D$200,3,0),"")</f>
        <v/>
      </c>
      <c r="BG61" s="8" t="str">
        <f>IFERROR(VLOOKUP($B$5:$B$199,'[2]19'!$B$5:$G$200,6,0),"")</f>
        <v/>
      </c>
      <c r="BH61" s="8" t="str">
        <f t="shared" si="18"/>
        <v/>
      </c>
      <c r="BI61" s="8" t="str">
        <f>IFERROR(VLOOKUP($B$5:$B$199,'[2]20'!$B$5:$D$200,3,0),"")</f>
        <v/>
      </c>
      <c r="BJ61" s="8" t="str">
        <f>IFERROR(VLOOKUP($B$5:$B$199,'[2]20'!$B$5:$G$200,6,0),"")</f>
        <v/>
      </c>
      <c r="BK61" s="8" t="str">
        <f t="shared" si="19"/>
        <v/>
      </c>
      <c r="BL61" s="8" t="str">
        <f>IFERROR(VLOOKUP($B$5:$B$199,'[2]21'!$B$5:$D$200,3,0),"")</f>
        <v/>
      </c>
      <c r="BM61" s="8" t="str">
        <f>IFERROR(VLOOKUP($B$5:$B$199,'[2]21'!$B$5:$G$200,6,0),"")</f>
        <v/>
      </c>
      <c r="BN61" s="8" t="str">
        <f t="shared" si="20"/>
        <v/>
      </c>
      <c r="BO61" s="8" t="str">
        <f>IFERROR(VLOOKUP($B$5:$B$199,'[2]22'!$B$5:$D$200,3,0),"")</f>
        <v/>
      </c>
      <c r="BP61" s="8" t="str">
        <f>IFERROR(VLOOKUP($B$5:$B$199,'[2]22'!$B$5:$G$200,6,0),"")</f>
        <v/>
      </c>
      <c r="BQ61" s="8" t="str">
        <f t="shared" si="21"/>
        <v/>
      </c>
      <c r="BR61" s="8" t="str">
        <f>IFERROR(VLOOKUP($B$5:$B$199,'[2]23'!$B$5:$D$200,3,0),"")</f>
        <v/>
      </c>
      <c r="BS61" s="8" t="str">
        <f>IFERROR(VLOOKUP($B$5:$B$199,'[2]23'!$B$5:$G$200,6,0),"")</f>
        <v/>
      </c>
      <c r="BT61" s="8" t="str">
        <f t="shared" si="22"/>
        <v/>
      </c>
      <c r="BU61" s="8" t="str">
        <f>IFERROR(VLOOKUP($B$5:$B$199,'[2]24'!$B$5:$D$200,3,0),"")</f>
        <v/>
      </c>
      <c r="BV61" s="8" t="str">
        <f>IFERROR(VLOOKUP($B$5:$B$199,'[2]24'!$B$5:$G$200,6,0),"")</f>
        <v/>
      </c>
      <c r="BW61" s="8" t="str">
        <f t="shared" si="23"/>
        <v/>
      </c>
      <c r="BX61" s="8" t="str">
        <f>IFERROR(VLOOKUP($B$5:$B$199,'[2]25'!$B$5:$D$200,3,0),"")</f>
        <v/>
      </c>
      <c r="BY61" s="8" t="str">
        <f>IFERROR(VLOOKUP($B$5:$B$199,'[2]25'!$B$5:$G$200,6,0),"")</f>
        <v/>
      </c>
      <c r="BZ61" s="8" t="str">
        <f t="shared" si="24"/>
        <v/>
      </c>
      <c r="CA61" s="8" t="str">
        <f>IFERROR(VLOOKUP($B$5:$B$199,'[2]26'!$B$5:$D$200,3,0),"")</f>
        <v/>
      </c>
      <c r="CB61" s="8" t="str">
        <f>IFERROR(VLOOKUP($B$5:$B$199,'[2]26'!$B$5:$G$200,6,0),"")</f>
        <v/>
      </c>
      <c r="CC61" s="8" t="str">
        <f t="shared" si="25"/>
        <v/>
      </c>
      <c r="CD61" s="8" t="str">
        <f>IFERROR(VLOOKUP($B$5:$B$199,'[2]27'!$B$5:$D$200,3,0),"")</f>
        <v/>
      </c>
      <c r="CE61" s="8" t="str">
        <f>IFERROR(VLOOKUP($B$5:$B$199,'[2]27'!$B$5:$G$200,6,0),"")</f>
        <v/>
      </c>
      <c r="CF61" s="8" t="str">
        <f t="shared" si="26"/>
        <v/>
      </c>
      <c r="CG61" s="8" t="str">
        <f>IFERROR(VLOOKUP($B$5:$B$199,'[2]28'!$B$5:$D$200,3,0),"")</f>
        <v/>
      </c>
      <c r="CH61" s="8" t="str">
        <f>IFERROR(VLOOKUP($B$5:$B$199,'[2]28'!$B$5:$G$200,6,0),"")</f>
        <v/>
      </c>
      <c r="CI61" s="8" t="str">
        <f t="shared" si="27"/>
        <v/>
      </c>
      <c r="CJ61" s="8" t="str">
        <f>IFERROR(VLOOKUP($B$5:$B$199,'[2]29'!$B$5:$D$200,3,0),"")</f>
        <v/>
      </c>
      <c r="CK61" s="8" t="str">
        <f>IFERROR(VLOOKUP($B$5:$B$199,'[2]29'!$B$5:$G$200,6,0),"")</f>
        <v/>
      </c>
      <c r="CL61" s="8" t="str">
        <f t="shared" si="28"/>
        <v/>
      </c>
      <c r="CM61" s="8" t="str">
        <f>IFERROR(VLOOKUP($B$5:$B$199,'[2]30'!$B$5:$D$200,3,0),"")</f>
        <v/>
      </c>
      <c r="CN61" s="8" t="str">
        <f>IFERROR(VLOOKUP($B$5:$B$199,'[2]30'!$B$5:$G$200,6,0),"")</f>
        <v/>
      </c>
      <c r="CO61" s="8" t="str">
        <f t="shared" si="29"/>
        <v/>
      </c>
      <c r="CP61" s="8" t="str">
        <f>IFERROR(VLOOKUP($B$5:$B$199,'[2]31'!$B$5:$D$200,3,0),"")</f>
        <v/>
      </c>
      <c r="CQ61" s="8" t="str">
        <f>IFERROR(VLOOKUP($B$5:$B$199,'[2]31'!$B$5:$G$200,6,0),"")</f>
        <v/>
      </c>
      <c r="CR61" s="8" t="str">
        <f t="shared" si="30"/>
        <v/>
      </c>
      <c r="CT61" s="3">
        <f t="shared" si="31"/>
        <v>10</v>
      </c>
      <c r="CU61" s="3">
        <f t="shared" si="32"/>
        <v>23250</v>
      </c>
      <c r="CV61" s="3">
        <f t="shared" si="33"/>
        <v>232500</v>
      </c>
      <c r="CX61">
        <f t="shared" si="34"/>
        <v>1</v>
      </c>
    </row>
    <row r="62" spans="2:102" x14ac:dyDescent="0.25">
      <c r="B62" s="7" t="s">
        <v>118</v>
      </c>
      <c r="C62" s="7" t="str">
        <f>VLOOKUP($B62,DBASE!$C$7:$D$403,2,0)</f>
        <v>NORISOBA</v>
      </c>
      <c r="D62" s="8" t="str">
        <f>IFERROR(VLOOKUP($B$5:$B$199,'[2]1'!$B$5:$D$200,3,0),"")</f>
        <v/>
      </c>
      <c r="E62" s="8" t="str">
        <f>IFERROR(VLOOKUP($B$5:$B$199,'[2]1'!$B$5:$G$200,6,0),"")</f>
        <v/>
      </c>
      <c r="F62" s="8" t="str">
        <f t="shared" si="0"/>
        <v/>
      </c>
      <c r="G62" s="8" t="str">
        <f>IFERROR(VLOOKUP($B$5:$B$199,'[2]2'!$B$5:$D$200,3,0),"")</f>
        <v/>
      </c>
      <c r="H62" s="8" t="str">
        <f>IFERROR(VLOOKUP($B$5:$B$199,'[2]2'!$B$5:$G$200,6,0),"")</f>
        <v/>
      </c>
      <c r="I62" s="8" t="str">
        <f t="shared" si="1"/>
        <v/>
      </c>
      <c r="J62" s="8" t="str">
        <f>IFERROR(VLOOKUP($B$5:$B$199,'[2]3'!$B$5:$D$200,3,0),"")</f>
        <v/>
      </c>
      <c r="K62" s="8" t="str">
        <f>IFERROR(VLOOKUP($B$5:$B$199,'[2]3'!$B$5:$G$200,6,0),"")</f>
        <v/>
      </c>
      <c r="L62" s="8" t="str">
        <f t="shared" si="2"/>
        <v/>
      </c>
      <c r="M62" s="8" t="str">
        <f>IFERROR(VLOOKUP($B$5:$B$199,'[2]4'!$B$5:$D$200,3,0),"")</f>
        <v/>
      </c>
      <c r="N62" s="8" t="str">
        <f>IFERROR(VLOOKUP($B$5:$B$199,'[2]4'!$B$5:$G$200,6,0),"")</f>
        <v/>
      </c>
      <c r="O62" s="8" t="str">
        <f t="shared" si="3"/>
        <v/>
      </c>
      <c r="P62" s="8">
        <f>IFERROR(VLOOKUP($B$5:$B$199,'[2]5'!$B$5:$D$200,3,0),"")</f>
        <v>10</v>
      </c>
      <c r="Q62" s="8">
        <f>IFERROR(VLOOKUP($B$5:$B$199,'[2]5'!$B$5:$G$200,6,0),"")</f>
        <v>15500</v>
      </c>
      <c r="R62" s="8">
        <f t="shared" si="4"/>
        <v>155000</v>
      </c>
      <c r="S62" s="8" t="str">
        <f>IFERROR(VLOOKUP($B$5:$B$199,'[2]6'!$B$5:$D$200,3,0),"")</f>
        <v/>
      </c>
      <c r="T62" s="8" t="str">
        <f>IFERROR(VLOOKUP($B$5:$B$199,'[2]6'!$B$5:$G$200,6,0),"")</f>
        <v/>
      </c>
      <c r="U62" s="8" t="str">
        <f t="shared" si="5"/>
        <v/>
      </c>
      <c r="V62" s="8">
        <f>IFERROR(VLOOKUP($B$5:$B$199,'[2]7'!$B$5:$D$200,3,0),"")</f>
        <v>20</v>
      </c>
      <c r="W62" s="8">
        <f>IFERROR(VLOOKUP($B$5:$B$199,'[2]7'!$B$5:$G$200,6,0),"")</f>
        <v>15500</v>
      </c>
      <c r="X62" s="8">
        <f t="shared" si="6"/>
        <v>310000</v>
      </c>
      <c r="Y62" s="8" t="str">
        <f>IFERROR(VLOOKUP($B$5:$B$199,'[2]8'!$B$5:$D$200,3,0),"")</f>
        <v/>
      </c>
      <c r="Z62" s="8" t="str">
        <f>IFERROR(VLOOKUP($B$5:$B$199,'[2]8'!$B$5:$G$200,6,0),"")</f>
        <v/>
      </c>
      <c r="AA62" s="8" t="str">
        <f t="shared" si="7"/>
        <v/>
      </c>
      <c r="AB62" s="8" t="str">
        <f>IFERROR(VLOOKUP($B$5:$B$199,'[2]9'!$B$5:$D$200,3,0),"")</f>
        <v/>
      </c>
      <c r="AC62" s="8" t="str">
        <f>IFERROR(VLOOKUP($B$5:$B$199,'[2]9'!$B$5:$G$200,6,0),"")</f>
        <v/>
      </c>
      <c r="AD62" s="8" t="str">
        <f t="shared" si="8"/>
        <v/>
      </c>
      <c r="AE62" s="8" t="str">
        <f>IFERROR(VLOOKUP($B$5:$B$199,'[2]10'!$B$5:$D$200,3,0),"")</f>
        <v/>
      </c>
      <c r="AF62" s="8" t="str">
        <f>IFERROR(VLOOKUP($B$5:$B$199,'[2]10'!$B$5:$G$200,6,0),"")</f>
        <v/>
      </c>
      <c r="AG62" s="8" t="str">
        <f t="shared" si="9"/>
        <v/>
      </c>
      <c r="AH62" s="8" t="str">
        <f>IFERROR(VLOOKUP($B$5:$B$199,'[2]11'!$B$5:$D$200,3,0),"")</f>
        <v/>
      </c>
      <c r="AI62" s="8" t="str">
        <f>IFERROR(VLOOKUP($B$5:$B$199,'[2]11'!$B$5:$G$200,6,0),"")</f>
        <v/>
      </c>
      <c r="AJ62" s="8" t="str">
        <f t="shared" si="10"/>
        <v/>
      </c>
      <c r="AK62" s="8" t="str">
        <f>IFERROR(VLOOKUP($B$5:$B$199,'[2]12'!$B$5:$D$200,3,0),"")</f>
        <v/>
      </c>
      <c r="AL62" s="8" t="str">
        <f>IFERROR(VLOOKUP($B$5:$B$199,'[2]12'!$B$5:$G$200,6,0),"")</f>
        <v/>
      </c>
      <c r="AM62" s="8" t="str">
        <f t="shared" si="11"/>
        <v/>
      </c>
      <c r="AN62" s="8" t="str">
        <f>IFERROR(VLOOKUP($B$5:$B$199,'[2]13'!$B$5:$D$200,3,0),"")</f>
        <v/>
      </c>
      <c r="AO62" s="8" t="str">
        <f>IFERROR(VLOOKUP($B$5:$B$199,'[2]13'!$B$5:$G$200,6,0),"")</f>
        <v/>
      </c>
      <c r="AP62" s="8" t="str">
        <f t="shared" si="12"/>
        <v/>
      </c>
      <c r="AQ62" s="8" t="str">
        <f>IFERROR(VLOOKUP($B$5:$B$199,'[2]14'!$B$5:$D$200,3,0),"")</f>
        <v/>
      </c>
      <c r="AR62" s="8" t="str">
        <f>IFERROR(VLOOKUP($B$5:$B$199,'[2]14'!$B$5:$G$200,6,0),"")</f>
        <v/>
      </c>
      <c r="AS62" s="8" t="str">
        <f t="shared" si="13"/>
        <v/>
      </c>
      <c r="AT62" s="8" t="str">
        <f>IFERROR(VLOOKUP($B$5:$B$199,'[2]15'!$B$5:$D$200,3,0),"")</f>
        <v/>
      </c>
      <c r="AU62" s="8" t="str">
        <f>IFERROR(VLOOKUP($B$5:$B$199,'[2]15'!$B$5:$G$200,6,0),"")</f>
        <v/>
      </c>
      <c r="AV62" s="8" t="str">
        <f t="shared" si="14"/>
        <v/>
      </c>
      <c r="AW62" s="8" t="str">
        <f>IFERROR(VLOOKUP($B$5:$B$199,'[2]16'!$B$5:$D$200,3,0),"")</f>
        <v/>
      </c>
      <c r="AX62" s="8" t="str">
        <f>IFERROR(VLOOKUP($B$5:$B$199,'[2]16'!$B$5:$G$200,6,0),"")</f>
        <v/>
      </c>
      <c r="AY62" s="8" t="str">
        <f t="shared" si="15"/>
        <v/>
      </c>
      <c r="AZ62" s="8" t="str">
        <f>IFERROR(VLOOKUP($B$5:$B$199,'[2]17'!$B$5:$D$200,3,0),"")</f>
        <v/>
      </c>
      <c r="BA62" s="8" t="str">
        <f>IFERROR(VLOOKUP($B$5:$B$199,'[2]17'!$B$5:$G$200,6,0),"")</f>
        <v/>
      </c>
      <c r="BB62" s="8" t="str">
        <f t="shared" si="16"/>
        <v/>
      </c>
      <c r="BC62" s="8" t="str">
        <f>IFERROR(VLOOKUP($B$5:$B$199,'[2]18'!$B$5:$D$200,3,0),"")</f>
        <v/>
      </c>
      <c r="BD62" s="8" t="str">
        <f>IFERROR(VLOOKUP($B$5:$B$199,'[2]18'!$B$5:$G$200,6,0),"")</f>
        <v/>
      </c>
      <c r="BE62" s="8" t="str">
        <f t="shared" si="17"/>
        <v/>
      </c>
      <c r="BF62" s="8" t="str">
        <f>IFERROR(VLOOKUP($B$5:$B$199,'[2]19'!$B$5:$D$200,3,0),"")</f>
        <v/>
      </c>
      <c r="BG62" s="8" t="str">
        <f>IFERROR(VLOOKUP($B$5:$B$199,'[2]19'!$B$5:$G$200,6,0),"")</f>
        <v/>
      </c>
      <c r="BH62" s="8" t="str">
        <f t="shared" si="18"/>
        <v/>
      </c>
      <c r="BI62" s="8" t="str">
        <f>IFERROR(VLOOKUP($B$5:$B$199,'[2]20'!$B$5:$D$200,3,0),"")</f>
        <v/>
      </c>
      <c r="BJ62" s="8" t="str">
        <f>IFERROR(VLOOKUP($B$5:$B$199,'[2]20'!$B$5:$G$200,6,0),"")</f>
        <v/>
      </c>
      <c r="BK62" s="8" t="str">
        <f t="shared" si="19"/>
        <v/>
      </c>
      <c r="BL62" s="8" t="str">
        <f>IFERROR(VLOOKUP($B$5:$B$199,'[2]21'!$B$5:$D$200,3,0),"")</f>
        <v/>
      </c>
      <c r="BM62" s="8" t="str">
        <f>IFERROR(VLOOKUP($B$5:$B$199,'[2]21'!$B$5:$G$200,6,0),"")</f>
        <v/>
      </c>
      <c r="BN62" s="8" t="str">
        <f t="shared" si="20"/>
        <v/>
      </c>
      <c r="BO62" s="8" t="str">
        <f>IFERROR(VLOOKUP($B$5:$B$199,'[2]22'!$B$5:$D$200,3,0),"")</f>
        <v/>
      </c>
      <c r="BP62" s="8" t="str">
        <f>IFERROR(VLOOKUP($B$5:$B$199,'[2]22'!$B$5:$G$200,6,0),"")</f>
        <v/>
      </c>
      <c r="BQ62" s="8" t="str">
        <f t="shared" si="21"/>
        <v/>
      </c>
      <c r="BR62" s="8" t="str">
        <f>IFERROR(VLOOKUP($B$5:$B$199,'[2]23'!$B$5:$D$200,3,0),"")</f>
        <v/>
      </c>
      <c r="BS62" s="8" t="str">
        <f>IFERROR(VLOOKUP($B$5:$B$199,'[2]23'!$B$5:$G$200,6,0),"")</f>
        <v/>
      </c>
      <c r="BT62" s="8" t="str">
        <f t="shared" si="22"/>
        <v/>
      </c>
      <c r="BU62" s="8" t="str">
        <f>IFERROR(VLOOKUP($B$5:$B$199,'[2]24'!$B$5:$D$200,3,0),"")</f>
        <v/>
      </c>
      <c r="BV62" s="8" t="str">
        <f>IFERROR(VLOOKUP($B$5:$B$199,'[2]24'!$B$5:$G$200,6,0),"")</f>
        <v/>
      </c>
      <c r="BW62" s="8" t="str">
        <f t="shared" si="23"/>
        <v/>
      </c>
      <c r="BX62" s="8" t="str">
        <f>IFERROR(VLOOKUP($B$5:$B$199,'[2]25'!$B$5:$D$200,3,0),"")</f>
        <v/>
      </c>
      <c r="BY62" s="8" t="str">
        <f>IFERROR(VLOOKUP($B$5:$B$199,'[2]25'!$B$5:$G$200,6,0),"")</f>
        <v/>
      </c>
      <c r="BZ62" s="8" t="str">
        <f t="shared" si="24"/>
        <v/>
      </c>
      <c r="CA62" s="8" t="str">
        <f>IFERROR(VLOOKUP($B$5:$B$199,'[2]26'!$B$5:$D$200,3,0),"")</f>
        <v/>
      </c>
      <c r="CB62" s="8" t="str">
        <f>IFERROR(VLOOKUP($B$5:$B$199,'[2]26'!$B$5:$G$200,6,0),"")</f>
        <v/>
      </c>
      <c r="CC62" s="8" t="str">
        <f t="shared" si="25"/>
        <v/>
      </c>
      <c r="CD62" s="8" t="str">
        <f>IFERROR(VLOOKUP($B$5:$B$199,'[2]27'!$B$5:$D$200,3,0),"")</f>
        <v/>
      </c>
      <c r="CE62" s="8" t="str">
        <f>IFERROR(VLOOKUP($B$5:$B$199,'[2]27'!$B$5:$G$200,6,0),"")</f>
        <v/>
      </c>
      <c r="CF62" s="8" t="str">
        <f t="shared" si="26"/>
        <v/>
      </c>
      <c r="CG62" s="8" t="str">
        <f>IFERROR(VLOOKUP($B$5:$B$199,'[2]28'!$B$5:$D$200,3,0),"")</f>
        <v/>
      </c>
      <c r="CH62" s="8" t="str">
        <f>IFERROR(VLOOKUP($B$5:$B$199,'[2]28'!$B$5:$G$200,6,0),"")</f>
        <v/>
      </c>
      <c r="CI62" s="8" t="str">
        <f t="shared" si="27"/>
        <v/>
      </c>
      <c r="CJ62" s="8" t="str">
        <f>IFERROR(VLOOKUP($B$5:$B$199,'[2]29'!$B$5:$D$200,3,0),"")</f>
        <v/>
      </c>
      <c r="CK62" s="8" t="str">
        <f>IFERROR(VLOOKUP($B$5:$B$199,'[2]29'!$B$5:$G$200,6,0),"")</f>
        <v/>
      </c>
      <c r="CL62" s="8" t="str">
        <f t="shared" si="28"/>
        <v/>
      </c>
      <c r="CM62" s="8" t="str">
        <f>IFERROR(VLOOKUP($B$5:$B$199,'[2]30'!$B$5:$D$200,3,0),"")</f>
        <v/>
      </c>
      <c r="CN62" s="8" t="str">
        <f>IFERROR(VLOOKUP($B$5:$B$199,'[2]30'!$B$5:$G$200,6,0),"")</f>
        <v/>
      </c>
      <c r="CO62" s="8" t="str">
        <f t="shared" si="29"/>
        <v/>
      </c>
      <c r="CP62" s="8" t="str">
        <f>IFERROR(VLOOKUP($B$5:$B$199,'[2]31'!$B$5:$D$200,3,0),"")</f>
        <v/>
      </c>
      <c r="CQ62" s="8" t="str">
        <f>IFERROR(VLOOKUP($B$5:$B$199,'[2]31'!$B$5:$G$200,6,0),"")</f>
        <v/>
      </c>
      <c r="CR62" s="8" t="str">
        <f t="shared" si="30"/>
        <v/>
      </c>
      <c r="CT62" s="3">
        <f t="shared" si="31"/>
        <v>30</v>
      </c>
      <c r="CU62" s="3">
        <f t="shared" si="32"/>
        <v>15500</v>
      </c>
      <c r="CV62" s="3">
        <f t="shared" si="33"/>
        <v>465000</v>
      </c>
      <c r="CX62">
        <f t="shared" si="34"/>
        <v>2</v>
      </c>
    </row>
    <row r="63" spans="2:102" x14ac:dyDescent="0.25">
      <c r="B63" s="7" t="s">
        <v>119</v>
      </c>
      <c r="C63" s="7" t="str">
        <f>VLOOKUP($B63,DBASE!$C$7:$D$403,2,0)</f>
        <v>YAKISOBA</v>
      </c>
      <c r="D63" s="8" t="str">
        <f>IFERROR(VLOOKUP($B$5:$B$199,'[2]1'!$B$5:$D$200,3,0),"")</f>
        <v/>
      </c>
      <c r="E63" s="8" t="str">
        <f>IFERROR(VLOOKUP($B$5:$B$199,'[2]1'!$B$5:$G$200,6,0),"")</f>
        <v/>
      </c>
      <c r="F63" s="8" t="str">
        <f t="shared" ref="F63:F64" si="35">IFERROR(E63*D63,"")</f>
        <v/>
      </c>
      <c r="G63" s="8" t="str">
        <f>IFERROR(VLOOKUP($B$5:$B$199,'[2]2'!$B$5:$D$200,3,0),"")</f>
        <v/>
      </c>
      <c r="H63" s="8" t="str">
        <f>IFERROR(VLOOKUP($B$5:$B$199,'[2]2'!$B$5:$G$200,6,0),"")</f>
        <v/>
      </c>
      <c r="I63" s="8" t="str">
        <f t="shared" ref="I63:I64" si="36">IFERROR(H63*G63,"")</f>
        <v/>
      </c>
      <c r="J63" s="8" t="str">
        <f>IFERROR(VLOOKUP($B$5:$B$199,'[2]3'!$B$5:$D$200,3,0),"")</f>
        <v/>
      </c>
      <c r="K63" s="8" t="str">
        <f>IFERROR(VLOOKUP($B$5:$B$199,'[2]3'!$B$5:$G$200,6,0),"")</f>
        <v/>
      </c>
      <c r="L63" s="8" t="str">
        <f t="shared" ref="L63:L64" si="37">IFERROR(K63*J63,"")</f>
        <v/>
      </c>
      <c r="M63" s="8" t="str">
        <f>IFERROR(VLOOKUP($B$5:$B$199,'[2]4'!$B$5:$D$200,3,0),"")</f>
        <v/>
      </c>
      <c r="N63" s="8" t="str">
        <f>IFERROR(VLOOKUP($B$5:$B$199,'[2]4'!$B$5:$G$200,6,0),"")</f>
        <v/>
      </c>
      <c r="O63" s="8" t="str">
        <f t="shared" ref="O63:O64" si="38">IFERROR(N63*M63,"")</f>
        <v/>
      </c>
      <c r="P63" s="8">
        <f>IFERROR(VLOOKUP($B$5:$B$199,'[2]5'!$B$5:$D$200,3,0),"")</f>
        <v>10</v>
      </c>
      <c r="Q63" s="8">
        <f>IFERROR(VLOOKUP($B$5:$B$199,'[2]5'!$B$5:$G$200,6,0),"")</f>
        <v>15500</v>
      </c>
      <c r="R63" s="8">
        <f t="shared" ref="R63:R64" si="39">IFERROR(Q63*P63,"")</f>
        <v>155000</v>
      </c>
      <c r="S63" s="8" t="str">
        <f>IFERROR(VLOOKUP($B$5:$B$199,'[2]6'!$B$5:$D$200,3,0),"")</f>
        <v/>
      </c>
      <c r="T63" s="8" t="str">
        <f>IFERROR(VLOOKUP($B$5:$B$199,'[2]6'!$B$5:$G$200,6,0),"")</f>
        <v/>
      </c>
      <c r="U63" s="8" t="str">
        <f t="shared" ref="U63:U64" si="40">IFERROR(T63*S63,"")</f>
        <v/>
      </c>
      <c r="V63" s="8">
        <f>IFERROR(VLOOKUP($B$5:$B$199,'[2]7'!$B$5:$D$200,3,0),"")</f>
        <v>20</v>
      </c>
      <c r="W63" s="8">
        <f>IFERROR(VLOOKUP($B$5:$B$199,'[2]7'!$B$5:$G$200,6,0),"")</f>
        <v>15500</v>
      </c>
      <c r="X63" s="8">
        <f t="shared" ref="X63:X64" si="41">IFERROR(W63*V63,"")</f>
        <v>310000</v>
      </c>
      <c r="Y63" s="8" t="str">
        <f>IFERROR(VLOOKUP($B$5:$B$199,'[2]8'!$B$5:$D$200,3,0),"")</f>
        <v/>
      </c>
      <c r="Z63" s="8" t="str">
        <f>IFERROR(VLOOKUP($B$5:$B$199,'[2]8'!$B$5:$G$200,6,0),"")</f>
        <v/>
      </c>
      <c r="AA63" s="8" t="str">
        <f t="shared" ref="AA63:AA64" si="42">IFERROR(Z63*Y63,"")</f>
        <v/>
      </c>
      <c r="AB63" s="8" t="str">
        <f>IFERROR(VLOOKUP($B$5:$B$199,'[2]9'!$B$5:$D$200,3,0),"")</f>
        <v/>
      </c>
      <c r="AC63" s="8" t="str">
        <f>IFERROR(VLOOKUP($B$5:$B$199,'[2]9'!$B$5:$G$200,6,0),"")</f>
        <v/>
      </c>
      <c r="AD63" s="8" t="str">
        <f t="shared" ref="AD63:AD64" si="43">IFERROR(AC63*AB63,"")</f>
        <v/>
      </c>
      <c r="AE63" s="8" t="str">
        <f>IFERROR(VLOOKUP($B$5:$B$199,'[2]10'!$B$5:$D$200,3,0),"")</f>
        <v/>
      </c>
      <c r="AF63" s="8" t="str">
        <f>IFERROR(VLOOKUP($B$5:$B$199,'[2]10'!$B$5:$G$200,6,0),"")</f>
        <v/>
      </c>
      <c r="AG63" s="8" t="str">
        <f t="shared" ref="AG63:AG64" si="44">IFERROR(AF63*AE63,"")</f>
        <v/>
      </c>
      <c r="AH63" s="8" t="str">
        <f>IFERROR(VLOOKUP($B$5:$B$199,'[2]11'!$B$5:$D$200,3,0),"")</f>
        <v/>
      </c>
      <c r="AI63" s="8" t="str">
        <f>IFERROR(VLOOKUP($B$5:$B$199,'[2]11'!$B$5:$G$200,6,0),"")</f>
        <v/>
      </c>
      <c r="AJ63" s="8" t="str">
        <f t="shared" ref="AJ63:AJ64" si="45">IFERROR(AI63*AH63,"")</f>
        <v/>
      </c>
      <c r="AK63" s="8" t="str">
        <f>IFERROR(VLOOKUP($B$5:$B$199,'[2]12'!$B$5:$D$200,3,0),"")</f>
        <v/>
      </c>
      <c r="AL63" s="8" t="str">
        <f>IFERROR(VLOOKUP($B$5:$B$199,'[2]12'!$B$5:$G$200,6,0),"")</f>
        <v/>
      </c>
      <c r="AM63" s="8" t="str">
        <f t="shared" ref="AM63:AM64" si="46">IFERROR(AL63*AK63,"")</f>
        <v/>
      </c>
      <c r="AN63" s="8" t="str">
        <f>IFERROR(VLOOKUP($B$5:$B$199,'[2]13'!$B$5:$D$200,3,0),"")</f>
        <v/>
      </c>
      <c r="AO63" s="8" t="str">
        <f>IFERROR(VLOOKUP($B$5:$B$199,'[2]13'!$B$5:$G$200,6,0),"")</f>
        <v/>
      </c>
      <c r="AP63" s="8" t="str">
        <f t="shared" ref="AP63:AP64" si="47">IFERROR(AO63*AN63,"")</f>
        <v/>
      </c>
      <c r="AQ63" s="8" t="str">
        <f>IFERROR(VLOOKUP($B$5:$B$199,'[2]14'!$B$5:$D$200,3,0),"")</f>
        <v/>
      </c>
      <c r="AR63" s="8" t="str">
        <f>IFERROR(VLOOKUP($B$5:$B$199,'[2]14'!$B$5:$G$200,6,0),"")</f>
        <v/>
      </c>
      <c r="AS63" s="8" t="str">
        <f t="shared" ref="AS63:AS64" si="48">IFERROR(AR63*AQ63,"")</f>
        <v/>
      </c>
      <c r="AT63" s="8" t="str">
        <f>IFERROR(VLOOKUP($B$5:$B$199,'[2]15'!$B$5:$D$200,3,0),"")</f>
        <v/>
      </c>
      <c r="AU63" s="8" t="str">
        <f>IFERROR(VLOOKUP($B$5:$B$199,'[2]15'!$B$5:$G$200,6,0),"")</f>
        <v/>
      </c>
      <c r="AV63" s="8" t="str">
        <f t="shared" ref="AV63:AV64" si="49">IFERROR(AU63*AT63,"")</f>
        <v/>
      </c>
      <c r="AW63" s="8" t="str">
        <f>IFERROR(VLOOKUP($B$5:$B$199,'[2]16'!$B$5:$D$200,3,0),"")</f>
        <v/>
      </c>
      <c r="AX63" s="8" t="str">
        <f>IFERROR(VLOOKUP($B$5:$B$199,'[2]16'!$B$5:$G$200,6,0),"")</f>
        <v/>
      </c>
      <c r="AY63" s="8" t="str">
        <f t="shared" ref="AY63:AY64" si="50">IFERROR(AX63*AW63,"")</f>
        <v/>
      </c>
      <c r="AZ63" s="8" t="str">
        <f>IFERROR(VLOOKUP($B$5:$B$199,'[2]17'!$B$5:$D$200,3,0),"")</f>
        <v/>
      </c>
      <c r="BA63" s="8" t="str">
        <f>IFERROR(VLOOKUP($B$5:$B$199,'[2]17'!$B$5:$G$200,6,0),"")</f>
        <v/>
      </c>
      <c r="BB63" s="8" t="str">
        <f t="shared" ref="BB63:BB64" si="51">IFERROR(BA63*AZ63,"")</f>
        <v/>
      </c>
      <c r="BC63" s="8" t="str">
        <f>IFERROR(VLOOKUP($B$5:$B$199,'[2]18'!$B$5:$D$200,3,0),"")</f>
        <v/>
      </c>
      <c r="BD63" s="8" t="str">
        <f>IFERROR(VLOOKUP($B$5:$B$199,'[2]18'!$B$5:$G$200,6,0),"")</f>
        <v/>
      </c>
      <c r="BE63" s="8" t="str">
        <f t="shared" ref="BE63:BE64" si="52">IFERROR(BD63*BC63,"")</f>
        <v/>
      </c>
      <c r="BF63" s="8" t="str">
        <f>IFERROR(VLOOKUP($B$5:$B$199,'[2]19'!$B$5:$D$200,3,0),"")</f>
        <v/>
      </c>
      <c r="BG63" s="8" t="str">
        <f>IFERROR(VLOOKUP($B$5:$B$199,'[2]19'!$B$5:$G$200,6,0),"")</f>
        <v/>
      </c>
      <c r="BH63" s="8" t="str">
        <f t="shared" ref="BH63:BH64" si="53">IFERROR(BG63*BF63,"")</f>
        <v/>
      </c>
      <c r="BI63" s="8" t="str">
        <f>IFERROR(VLOOKUP($B$5:$B$199,'[2]20'!$B$5:$D$200,3,0),"")</f>
        <v/>
      </c>
      <c r="BJ63" s="8" t="str">
        <f>IFERROR(VLOOKUP($B$5:$B$199,'[2]20'!$B$5:$G$200,6,0),"")</f>
        <v/>
      </c>
      <c r="BK63" s="8" t="str">
        <f t="shared" ref="BK63:BK64" si="54">IFERROR(BJ63*BI63,"")</f>
        <v/>
      </c>
      <c r="BL63" s="8" t="str">
        <f>IFERROR(VLOOKUP($B$5:$B$199,'[2]21'!$B$5:$D$200,3,0),"")</f>
        <v/>
      </c>
      <c r="BM63" s="8" t="str">
        <f>IFERROR(VLOOKUP($B$5:$B$199,'[2]21'!$B$5:$G$200,6,0),"")</f>
        <v/>
      </c>
      <c r="BN63" s="8" t="str">
        <f t="shared" ref="BN63:BN64" si="55">IFERROR(BM63*BL63,"")</f>
        <v/>
      </c>
      <c r="BO63" s="8" t="str">
        <f>IFERROR(VLOOKUP($B$5:$B$199,'[2]22'!$B$5:$D$200,3,0),"")</f>
        <v/>
      </c>
      <c r="BP63" s="8" t="str">
        <f>IFERROR(VLOOKUP($B$5:$B$199,'[2]22'!$B$5:$G$200,6,0),"")</f>
        <v/>
      </c>
      <c r="BQ63" s="8" t="str">
        <f t="shared" ref="BQ63:BQ64" si="56">IFERROR(BP63*BO63,"")</f>
        <v/>
      </c>
      <c r="BR63" s="8" t="str">
        <f>IFERROR(VLOOKUP($B$5:$B$199,'[2]23'!$B$5:$D$200,3,0),"")</f>
        <v/>
      </c>
      <c r="BS63" s="8" t="str">
        <f>IFERROR(VLOOKUP($B$5:$B$199,'[2]23'!$B$5:$G$200,6,0),"")</f>
        <v/>
      </c>
      <c r="BT63" s="8" t="str">
        <f t="shared" ref="BT63:BT64" si="57">IFERROR(BS63*BR63,"")</f>
        <v/>
      </c>
      <c r="BU63" s="8" t="str">
        <f>IFERROR(VLOOKUP($B$5:$B$199,'[2]24'!$B$5:$D$200,3,0),"")</f>
        <v/>
      </c>
      <c r="BV63" s="8" t="str">
        <f>IFERROR(VLOOKUP($B$5:$B$199,'[2]24'!$B$5:$G$200,6,0),"")</f>
        <v/>
      </c>
      <c r="BW63" s="8" t="str">
        <f t="shared" ref="BW63:BW64" si="58">IFERROR(BV63*BU63,"")</f>
        <v/>
      </c>
      <c r="BX63" s="8" t="str">
        <f>IFERROR(VLOOKUP($B$5:$B$199,'[2]25'!$B$5:$D$200,3,0),"")</f>
        <v/>
      </c>
      <c r="BY63" s="8" t="str">
        <f>IFERROR(VLOOKUP($B$5:$B$199,'[2]25'!$B$5:$G$200,6,0),"")</f>
        <v/>
      </c>
      <c r="BZ63" s="8" t="str">
        <f t="shared" ref="BZ63:BZ64" si="59">IFERROR(BY63*BX63,"")</f>
        <v/>
      </c>
      <c r="CA63" s="8" t="str">
        <f>IFERROR(VLOOKUP($B$5:$B$199,'[2]26'!$B$5:$D$200,3,0),"")</f>
        <v/>
      </c>
      <c r="CB63" s="8" t="str">
        <f>IFERROR(VLOOKUP($B$5:$B$199,'[2]26'!$B$5:$G$200,6,0),"")</f>
        <v/>
      </c>
      <c r="CC63" s="8" t="str">
        <f t="shared" ref="CC63:CC64" si="60">IFERROR(CB63*CA63,"")</f>
        <v/>
      </c>
      <c r="CD63" s="8" t="str">
        <f>IFERROR(VLOOKUP($B$5:$B$199,'[2]27'!$B$5:$D$200,3,0),"")</f>
        <v/>
      </c>
      <c r="CE63" s="8" t="str">
        <f>IFERROR(VLOOKUP($B$5:$B$199,'[2]27'!$B$5:$G$200,6,0),"")</f>
        <v/>
      </c>
      <c r="CF63" s="8" t="str">
        <f t="shared" ref="CF63:CF64" si="61">IFERROR(CE63*CD63,"")</f>
        <v/>
      </c>
      <c r="CG63" s="8" t="str">
        <f>IFERROR(VLOOKUP($B$5:$B$199,'[2]28'!$B$5:$D$200,3,0),"")</f>
        <v/>
      </c>
      <c r="CH63" s="8" t="str">
        <f>IFERROR(VLOOKUP($B$5:$B$199,'[2]28'!$B$5:$G$200,6,0),"")</f>
        <v/>
      </c>
      <c r="CI63" s="8" t="str">
        <f t="shared" ref="CI63:CI64" si="62">IFERROR(CH63*CG63,"")</f>
        <v/>
      </c>
      <c r="CJ63" s="8" t="str">
        <f>IFERROR(VLOOKUP($B$5:$B$199,'[2]29'!$B$5:$D$200,3,0),"")</f>
        <v/>
      </c>
      <c r="CK63" s="8" t="str">
        <f>IFERROR(VLOOKUP($B$5:$B$199,'[2]29'!$B$5:$G$200,6,0),"")</f>
        <v/>
      </c>
      <c r="CL63" s="8" t="str">
        <f t="shared" ref="CL63:CL64" si="63">IFERROR(CK63*CJ63,"")</f>
        <v/>
      </c>
      <c r="CM63" s="8" t="str">
        <f>IFERROR(VLOOKUP($B$5:$B$199,'[2]30'!$B$5:$D$200,3,0),"")</f>
        <v/>
      </c>
      <c r="CN63" s="8" t="str">
        <f>IFERROR(VLOOKUP($B$5:$B$199,'[2]30'!$B$5:$G$200,6,0),"")</f>
        <v/>
      </c>
      <c r="CO63" s="8" t="str">
        <f t="shared" ref="CO63:CO64" si="64">IFERROR(CN63*CM63,"")</f>
        <v/>
      </c>
      <c r="CP63" s="8" t="str">
        <f>IFERROR(VLOOKUP($B$5:$B$199,'[2]31'!$B$5:$D$200,3,0),"")</f>
        <v/>
      </c>
      <c r="CQ63" s="8" t="str">
        <f>IFERROR(VLOOKUP($B$5:$B$199,'[2]31'!$B$5:$G$200,6,0),"")</f>
        <v/>
      </c>
      <c r="CR63" s="8" t="str">
        <f t="shared" ref="CR63:CR64" si="65">IFERROR(CQ63*CP63,"")</f>
        <v/>
      </c>
      <c r="CT63" s="3">
        <f t="shared" si="31"/>
        <v>30</v>
      </c>
      <c r="CU63" s="3">
        <f t="shared" ref="CU63:CU64" si="66">IFERROR(SUMIF($D$4:$CR$4,CU$4,$D63:$CR63)/CX63,"")</f>
        <v>15500</v>
      </c>
      <c r="CV63" s="3">
        <f t="shared" ref="CV63:CV64" si="67">IFERROR(CT63*CU63,"")</f>
        <v>465000</v>
      </c>
      <c r="CX63">
        <f t="shared" ref="CX63:CX64" si="68">COUNT(E63,H63,K63,N63,Q63,T63,W63,Z63,AC63,AF63,AI63,AL63,AO63,AR63,AU63,AX63,BA63,BD63,BG63,BJ63,BM63,BP63,BS63,BV63,BY63,CB63,CE63,CH63,CK63,CN63,CQ63)</f>
        <v>2</v>
      </c>
    </row>
    <row r="64" spans="2:102" x14ac:dyDescent="0.25">
      <c r="B64" s="7" t="s">
        <v>112</v>
      </c>
      <c r="C64" s="7" t="str">
        <f>VLOOKUP($B64,DBASE!$C$7:$D$403,2,0)</f>
        <v>ASYIK</v>
      </c>
      <c r="D64" s="8" t="str">
        <f>IFERROR(VLOOKUP($B$5:$B$199,'[2]1'!$B$5:$D$200,3,0),"")</f>
        <v/>
      </c>
      <c r="E64" s="8" t="str">
        <f>IFERROR(VLOOKUP($B$5:$B$199,'[2]1'!$B$5:$G$200,6,0),"")</f>
        <v/>
      </c>
      <c r="F64" s="8" t="str">
        <f t="shared" si="35"/>
        <v/>
      </c>
      <c r="G64" s="8" t="str">
        <f>IFERROR(VLOOKUP($B$5:$B$199,'[2]2'!$B$5:$D$200,3,0),"")</f>
        <v/>
      </c>
      <c r="H64" s="8" t="str">
        <f>IFERROR(VLOOKUP($B$5:$B$199,'[2]2'!$B$5:$G$200,6,0),"")</f>
        <v/>
      </c>
      <c r="I64" s="8" t="str">
        <f t="shared" si="36"/>
        <v/>
      </c>
      <c r="J64" s="8" t="str">
        <f>IFERROR(VLOOKUP($B$5:$B$199,'[2]3'!$B$5:$D$200,3,0),"")</f>
        <v/>
      </c>
      <c r="K64" s="8" t="str">
        <f>IFERROR(VLOOKUP($B$5:$B$199,'[2]3'!$B$5:$G$200,6,0),"")</f>
        <v/>
      </c>
      <c r="L64" s="8" t="str">
        <f t="shared" si="37"/>
        <v/>
      </c>
      <c r="M64" s="8" t="str">
        <f>IFERROR(VLOOKUP($B$5:$B$199,'[2]4'!$B$5:$D$200,3,0),"")</f>
        <v/>
      </c>
      <c r="N64" s="8" t="str">
        <f>IFERROR(VLOOKUP($B$5:$B$199,'[2]4'!$B$5:$G$200,6,0),"")</f>
        <v/>
      </c>
      <c r="O64" s="8" t="str">
        <f t="shared" si="38"/>
        <v/>
      </c>
      <c r="P64" s="8">
        <f>IFERROR(VLOOKUP($B$5:$B$199,'[2]5'!$B$5:$D$200,3,0),"")</f>
        <v>10</v>
      </c>
      <c r="Q64" s="8">
        <f>IFERROR(VLOOKUP($B$5:$B$199,'[2]5'!$B$5:$G$200,6,0),"")</f>
        <v>23250</v>
      </c>
      <c r="R64" s="8">
        <f t="shared" si="39"/>
        <v>232500</v>
      </c>
      <c r="S64" s="8" t="str">
        <f>IFERROR(VLOOKUP($B$5:$B$199,'[2]6'!$B$5:$D$200,3,0),"")</f>
        <v/>
      </c>
      <c r="T64" s="8" t="str">
        <f>IFERROR(VLOOKUP($B$5:$B$199,'[2]6'!$B$5:$G$200,6,0),"")</f>
        <v/>
      </c>
      <c r="U64" s="8" t="str">
        <f t="shared" si="40"/>
        <v/>
      </c>
      <c r="V64" s="8" t="str">
        <f>IFERROR(VLOOKUP($B$5:$B$199,'[2]7'!$B$5:$D$200,3,0),"")</f>
        <v/>
      </c>
      <c r="W64" s="8" t="str">
        <f>IFERROR(VLOOKUP($B$5:$B$199,'[2]7'!$B$5:$G$200,6,0),"")</f>
        <v/>
      </c>
      <c r="X64" s="8" t="str">
        <f t="shared" si="41"/>
        <v/>
      </c>
      <c r="Y64" s="8" t="str">
        <f>IFERROR(VLOOKUP($B$5:$B$199,'[2]8'!$B$5:$D$200,3,0),"")</f>
        <v/>
      </c>
      <c r="Z64" s="8" t="str">
        <f>IFERROR(VLOOKUP($B$5:$B$199,'[2]8'!$B$5:$G$200,6,0),"")</f>
        <v/>
      </c>
      <c r="AA64" s="8" t="str">
        <f t="shared" si="42"/>
        <v/>
      </c>
      <c r="AB64" s="8" t="str">
        <f>IFERROR(VLOOKUP($B$5:$B$199,'[2]9'!$B$5:$D$200,3,0),"")</f>
        <v/>
      </c>
      <c r="AC64" s="8" t="str">
        <f>IFERROR(VLOOKUP($B$5:$B$199,'[2]9'!$B$5:$G$200,6,0),"")</f>
        <v/>
      </c>
      <c r="AD64" s="8" t="str">
        <f t="shared" si="43"/>
        <v/>
      </c>
      <c r="AE64" s="8" t="str">
        <f>IFERROR(VLOOKUP($B$5:$B$199,'[2]10'!$B$5:$D$200,3,0),"")</f>
        <v/>
      </c>
      <c r="AF64" s="8" t="str">
        <f>IFERROR(VLOOKUP($B$5:$B$199,'[2]10'!$B$5:$G$200,6,0),"")</f>
        <v/>
      </c>
      <c r="AG64" s="8" t="str">
        <f t="shared" si="44"/>
        <v/>
      </c>
      <c r="AH64" s="8" t="str">
        <f>IFERROR(VLOOKUP($B$5:$B$199,'[2]11'!$B$5:$D$200,3,0),"")</f>
        <v/>
      </c>
      <c r="AI64" s="8" t="str">
        <f>IFERROR(VLOOKUP($B$5:$B$199,'[2]11'!$B$5:$G$200,6,0),"")</f>
        <v/>
      </c>
      <c r="AJ64" s="8" t="str">
        <f t="shared" si="45"/>
        <v/>
      </c>
      <c r="AK64" s="8" t="str">
        <f>IFERROR(VLOOKUP($B$5:$B$199,'[2]12'!$B$5:$D$200,3,0),"")</f>
        <v/>
      </c>
      <c r="AL64" s="8" t="str">
        <f>IFERROR(VLOOKUP($B$5:$B$199,'[2]12'!$B$5:$G$200,6,0),"")</f>
        <v/>
      </c>
      <c r="AM64" s="8" t="str">
        <f t="shared" si="46"/>
        <v/>
      </c>
      <c r="AN64" s="8" t="str">
        <f>IFERROR(VLOOKUP($B$5:$B$199,'[2]13'!$B$5:$D$200,3,0),"")</f>
        <v/>
      </c>
      <c r="AO64" s="8" t="str">
        <f>IFERROR(VLOOKUP($B$5:$B$199,'[2]13'!$B$5:$G$200,6,0),"")</f>
        <v/>
      </c>
      <c r="AP64" s="8" t="str">
        <f t="shared" si="47"/>
        <v/>
      </c>
      <c r="AQ64" s="8" t="str">
        <f>IFERROR(VLOOKUP($B$5:$B$199,'[2]14'!$B$5:$D$200,3,0),"")</f>
        <v/>
      </c>
      <c r="AR64" s="8" t="str">
        <f>IFERROR(VLOOKUP($B$5:$B$199,'[2]14'!$B$5:$G$200,6,0),"")</f>
        <v/>
      </c>
      <c r="AS64" s="8" t="str">
        <f t="shared" si="48"/>
        <v/>
      </c>
      <c r="AT64" s="8" t="str">
        <f>IFERROR(VLOOKUP($B$5:$B$199,'[2]15'!$B$5:$D$200,3,0),"")</f>
        <v/>
      </c>
      <c r="AU64" s="8" t="str">
        <f>IFERROR(VLOOKUP($B$5:$B$199,'[2]15'!$B$5:$G$200,6,0),"")</f>
        <v/>
      </c>
      <c r="AV64" s="8" t="str">
        <f t="shared" si="49"/>
        <v/>
      </c>
      <c r="AW64" s="8" t="str">
        <f>IFERROR(VLOOKUP($B$5:$B$199,'[2]16'!$B$5:$D$200,3,0),"")</f>
        <v/>
      </c>
      <c r="AX64" s="8" t="str">
        <f>IFERROR(VLOOKUP($B$5:$B$199,'[2]16'!$B$5:$G$200,6,0),"")</f>
        <v/>
      </c>
      <c r="AY64" s="8" t="str">
        <f t="shared" si="50"/>
        <v/>
      </c>
      <c r="AZ64" s="8" t="str">
        <f>IFERROR(VLOOKUP($B$5:$B$199,'[2]17'!$B$5:$D$200,3,0),"")</f>
        <v/>
      </c>
      <c r="BA64" s="8" t="str">
        <f>IFERROR(VLOOKUP($B$5:$B$199,'[2]17'!$B$5:$G$200,6,0),"")</f>
        <v/>
      </c>
      <c r="BB64" s="8" t="str">
        <f t="shared" si="51"/>
        <v/>
      </c>
      <c r="BC64" s="8" t="str">
        <f>IFERROR(VLOOKUP($B$5:$B$199,'[2]18'!$B$5:$D$200,3,0),"")</f>
        <v/>
      </c>
      <c r="BD64" s="8" t="str">
        <f>IFERROR(VLOOKUP($B$5:$B$199,'[2]18'!$B$5:$G$200,6,0),"")</f>
        <v/>
      </c>
      <c r="BE64" s="8" t="str">
        <f t="shared" si="52"/>
        <v/>
      </c>
      <c r="BF64" s="8" t="str">
        <f>IFERROR(VLOOKUP($B$5:$B$199,'[2]19'!$B$5:$D$200,3,0),"")</f>
        <v/>
      </c>
      <c r="BG64" s="8" t="str">
        <f>IFERROR(VLOOKUP($B$5:$B$199,'[2]19'!$B$5:$G$200,6,0),"")</f>
        <v/>
      </c>
      <c r="BH64" s="8" t="str">
        <f t="shared" si="53"/>
        <v/>
      </c>
      <c r="BI64" s="8" t="str">
        <f>IFERROR(VLOOKUP($B$5:$B$199,'[2]20'!$B$5:$D$200,3,0),"")</f>
        <v/>
      </c>
      <c r="BJ64" s="8" t="str">
        <f>IFERROR(VLOOKUP($B$5:$B$199,'[2]20'!$B$5:$G$200,6,0),"")</f>
        <v/>
      </c>
      <c r="BK64" s="8" t="str">
        <f t="shared" si="54"/>
        <v/>
      </c>
      <c r="BL64" s="8" t="str">
        <f>IFERROR(VLOOKUP($B$5:$B$199,'[2]21'!$B$5:$D$200,3,0),"")</f>
        <v/>
      </c>
      <c r="BM64" s="8" t="str">
        <f>IFERROR(VLOOKUP($B$5:$B$199,'[2]21'!$B$5:$G$200,6,0),"")</f>
        <v/>
      </c>
      <c r="BN64" s="8" t="str">
        <f t="shared" si="55"/>
        <v/>
      </c>
      <c r="BO64" s="8" t="str">
        <f>IFERROR(VLOOKUP($B$5:$B$199,'[2]22'!$B$5:$D$200,3,0),"")</f>
        <v/>
      </c>
      <c r="BP64" s="8" t="str">
        <f>IFERROR(VLOOKUP($B$5:$B$199,'[2]22'!$B$5:$G$200,6,0),"")</f>
        <v/>
      </c>
      <c r="BQ64" s="8" t="str">
        <f t="shared" si="56"/>
        <v/>
      </c>
      <c r="BR64" s="8" t="str">
        <f>IFERROR(VLOOKUP($B$5:$B$199,'[2]23'!$B$5:$D$200,3,0),"")</f>
        <v/>
      </c>
      <c r="BS64" s="8" t="str">
        <f>IFERROR(VLOOKUP($B$5:$B$199,'[2]23'!$B$5:$G$200,6,0),"")</f>
        <v/>
      </c>
      <c r="BT64" s="8" t="str">
        <f t="shared" si="57"/>
        <v/>
      </c>
      <c r="BU64" s="8" t="str">
        <f>IFERROR(VLOOKUP($B$5:$B$199,'[2]24'!$B$5:$D$200,3,0),"")</f>
        <v/>
      </c>
      <c r="BV64" s="8" t="str">
        <f>IFERROR(VLOOKUP($B$5:$B$199,'[2]24'!$B$5:$G$200,6,0),"")</f>
        <v/>
      </c>
      <c r="BW64" s="8" t="str">
        <f t="shared" si="58"/>
        <v/>
      </c>
      <c r="BX64" s="8" t="str">
        <f>IFERROR(VLOOKUP($B$5:$B$199,'[2]25'!$B$5:$D$200,3,0),"")</f>
        <v/>
      </c>
      <c r="BY64" s="8" t="str">
        <f>IFERROR(VLOOKUP($B$5:$B$199,'[2]25'!$B$5:$G$200,6,0),"")</f>
        <v/>
      </c>
      <c r="BZ64" s="8" t="str">
        <f t="shared" si="59"/>
        <v/>
      </c>
      <c r="CA64" s="8" t="str">
        <f>IFERROR(VLOOKUP($B$5:$B$199,'[2]26'!$B$5:$D$200,3,0),"")</f>
        <v/>
      </c>
      <c r="CB64" s="8" t="str">
        <f>IFERROR(VLOOKUP($B$5:$B$199,'[2]26'!$B$5:$G$200,6,0),"")</f>
        <v/>
      </c>
      <c r="CC64" s="8" t="str">
        <f t="shared" si="60"/>
        <v/>
      </c>
      <c r="CD64" s="8" t="str">
        <f>IFERROR(VLOOKUP($B$5:$B$199,'[2]27'!$B$5:$D$200,3,0),"")</f>
        <v/>
      </c>
      <c r="CE64" s="8" t="str">
        <f>IFERROR(VLOOKUP($B$5:$B$199,'[2]27'!$B$5:$G$200,6,0),"")</f>
        <v/>
      </c>
      <c r="CF64" s="8" t="str">
        <f t="shared" si="61"/>
        <v/>
      </c>
      <c r="CG64" s="8" t="str">
        <f>IFERROR(VLOOKUP($B$5:$B$199,'[2]28'!$B$5:$D$200,3,0),"")</f>
        <v/>
      </c>
      <c r="CH64" s="8" t="str">
        <f>IFERROR(VLOOKUP($B$5:$B$199,'[2]28'!$B$5:$G$200,6,0),"")</f>
        <v/>
      </c>
      <c r="CI64" s="8" t="str">
        <f t="shared" si="62"/>
        <v/>
      </c>
      <c r="CJ64" s="8" t="str">
        <f>IFERROR(VLOOKUP($B$5:$B$199,'[2]29'!$B$5:$D$200,3,0),"")</f>
        <v/>
      </c>
      <c r="CK64" s="8" t="str">
        <f>IFERROR(VLOOKUP($B$5:$B$199,'[2]29'!$B$5:$G$200,6,0),"")</f>
        <v/>
      </c>
      <c r="CL64" s="8" t="str">
        <f t="shared" si="63"/>
        <v/>
      </c>
      <c r="CM64" s="8" t="str">
        <f>IFERROR(VLOOKUP($B$5:$B$199,'[2]30'!$B$5:$D$200,3,0),"")</f>
        <v/>
      </c>
      <c r="CN64" s="8" t="str">
        <f>IFERROR(VLOOKUP($B$5:$B$199,'[2]30'!$B$5:$G$200,6,0),"")</f>
        <v/>
      </c>
      <c r="CO64" s="8" t="str">
        <f t="shared" si="64"/>
        <v/>
      </c>
      <c r="CP64" s="8" t="str">
        <f>IFERROR(VLOOKUP($B$5:$B$199,'[2]31'!$B$5:$D$200,3,0),"")</f>
        <v/>
      </c>
      <c r="CQ64" s="8" t="str">
        <f>IFERROR(VLOOKUP($B$5:$B$199,'[2]31'!$B$5:$G$200,6,0),"")</f>
        <v/>
      </c>
      <c r="CR64" s="8" t="str">
        <f t="shared" si="65"/>
        <v/>
      </c>
      <c r="CT64" s="3">
        <f t="shared" si="31"/>
        <v>10</v>
      </c>
      <c r="CU64" s="3">
        <f t="shared" si="66"/>
        <v>23250</v>
      </c>
      <c r="CV64" s="3">
        <f t="shared" si="67"/>
        <v>232500</v>
      </c>
      <c r="CX64">
        <f t="shared" si="68"/>
        <v>1</v>
      </c>
    </row>
    <row r="65" spans="2:102" x14ac:dyDescent="0.25">
      <c r="B65" s="7"/>
      <c r="C65" s="7" t="e">
        <f>VLOOKUP($B65,DBASE!$C$7:$D$403,2,0)</f>
        <v>#N/A</v>
      </c>
      <c r="D65" s="8" t="str">
        <f>IFERROR(VLOOKUP($B$5:$B$199,'[2]1'!$B$5:$D$200,3,0),"")</f>
        <v/>
      </c>
      <c r="E65" s="8" t="str">
        <f>IFERROR(VLOOKUP($B$5:$B$199,'[2]1'!$B$5:$G$200,6,0),"")</f>
        <v/>
      </c>
      <c r="F65" s="8" t="str">
        <f t="shared" ref="F65:F68" si="69">IFERROR(E65*D65,"")</f>
        <v/>
      </c>
      <c r="G65" s="8" t="str">
        <f>IFERROR(VLOOKUP($B$5:$B$199,'[2]2'!$B$5:$D$200,3,0),"")</f>
        <v/>
      </c>
      <c r="H65" s="8" t="str">
        <f>IFERROR(VLOOKUP($B$5:$B$199,'[2]2'!$B$5:$G$200,6,0),"")</f>
        <v/>
      </c>
      <c r="I65" s="8" t="str">
        <f t="shared" ref="I65:I68" si="70">IFERROR(H65*G65,"")</f>
        <v/>
      </c>
      <c r="J65" s="8" t="str">
        <f>IFERROR(VLOOKUP($B$5:$B$199,'[2]3'!$B$5:$D$200,3,0),"")</f>
        <v/>
      </c>
      <c r="K65" s="8" t="str">
        <f>IFERROR(VLOOKUP($B$5:$B$199,'[2]3'!$B$5:$G$200,6,0),"")</f>
        <v/>
      </c>
      <c r="L65" s="8" t="str">
        <f t="shared" ref="L65:L68" si="71">IFERROR(K65*J65,"")</f>
        <v/>
      </c>
      <c r="M65" s="8" t="str">
        <f>IFERROR(VLOOKUP($B$5:$B$199,'[2]4'!$B$5:$D$200,3,0),"")</f>
        <v/>
      </c>
      <c r="N65" s="8" t="str">
        <f>IFERROR(VLOOKUP($B$5:$B$199,'[2]4'!$B$5:$G$200,6,0),"")</f>
        <v/>
      </c>
      <c r="O65" s="8" t="str">
        <f t="shared" ref="O65:O68" si="72">IFERROR(N65*M65,"")</f>
        <v/>
      </c>
      <c r="P65" s="8" t="str">
        <f>IFERROR(VLOOKUP($B$5:$B$199,'[2]5'!$B$5:$D$200,3,0),"")</f>
        <v/>
      </c>
      <c r="Q65" s="8" t="str">
        <f>IFERROR(VLOOKUP($B$5:$B$199,'[2]5'!$B$5:$G$200,6,0),"")</f>
        <v/>
      </c>
      <c r="R65" s="8" t="str">
        <f t="shared" ref="R65:R68" si="73">IFERROR(Q65*P65,"")</f>
        <v/>
      </c>
      <c r="S65" s="8" t="str">
        <f>IFERROR(VLOOKUP($B$5:$B$199,'[2]6'!$B$5:$D$200,3,0),"")</f>
        <v/>
      </c>
      <c r="T65" s="8" t="str">
        <f>IFERROR(VLOOKUP($B$5:$B$199,'[2]6'!$B$5:$G$200,6,0),"")</f>
        <v/>
      </c>
      <c r="U65" s="8" t="str">
        <f t="shared" ref="U65:U68" si="74">IFERROR(T65*S65,"")</f>
        <v/>
      </c>
      <c r="V65" s="8" t="str">
        <f>IFERROR(VLOOKUP($B$5:$B$199,'[2]7'!$B$5:$D$200,3,0),"")</f>
        <v/>
      </c>
      <c r="W65" s="8" t="str">
        <f>IFERROR(VLOOKUP($B$5:$B$199,'[2]7'!$B$5:$G$200,6,0),"")</f>
        <v/>
      </c>
      <c r="X65" s="8" t="str">
        <f t="shared" ref="X65:X68" si="75">IFERROR(W65*V65,"")</f>
        <v/>
      </c>
      <c r="Y65" s="8" t="str">
        <f>IFERROR(VLOOKUP($B$5:$B$199,'[2]8'!$B$5:$D$200,3,0),"")</f>
        <v/>
      </c>
      <c r="Z65" s="8" t="str">
        <f>IFERROR(VLOOKUP($B$5:$B$199,'[2]8'!$B$5:$G$200,6,0),"")</f>
        <v/>
      </c>
      <c r="AA65" s="8" t="str">
        <f t="shared" ref="AA65:AA68" si="76">IFERROR(Z65*Y65,"")</f>
        <v/>
      </c>
      <c r="AB65" s="8" t="str">
        <f>IFERROR(VLOOKUP($B$5:$B$199,'[2]9'!$B$5:$D$200,3,0),"")</f>
        <v/>
      </c>
      <c r="AC65" s="8" t="str">
        <f>IFERROR(VLOOKUP($B$5:$B$199,'[2]9'!$B$5:$G$200,6,0),"")</f>
        <v/>
      </c>
      <c r="AD65" s="8" t="str">
        <f t="shared" ref="AD65:AD68" si="77">IFERROR(AC65*AB65,"")</f>
        <v/>
      </c>
      <c r="AE65" s="8" t="str">
        <f>IFERROR(VLOOKUP($B$5:$B$199,'[2]10'!$B$5:$D$200,3,0),"")</f>
        <v/>
      </c>
      <c r="AF65" s="8" t="str">
        <f>IFERROR(VLOOKUP($B$5:$B$199,'[2]10'!$B$5:$G$200,6,0),"")</f>
        <v/>
      </c>
      <c r="AG65" s="8" t="str">
        <f t="shared" ref="AG65:AG68" si="78">IFERROR(AF65*AE65,"")</f>
        <v/>
      </c>
      <c r="AH65" s="8" t="str">
        <f>IFERROR(VLOOKUP($B$5:$B$199,'[2]11'!$B$5:$D$200,3,0),"")</f>
        <v/>
      </c>
      <c r="AI65" s="8" t="str">
        <f>IFERROR(VLOOKUP($B$5:$B$199,'[2]11'!$B$5:$G$200,6,0),"")</f>
        <v/>
      </c>
      <c r="AJ65" s="8" t="str">
        <f t="shared" ref="AJ65:AJ68" si="79">IFERROR(AI65*AH65,"")</f>
        <v/>
      </c>
      <c r="AK65" s="8" t="str">
        <f>IFERROR(VLOOKUP($B$5:$B$199,'[2]12'!$B$5:$D$200,3,0),"")</f>
        <v/>
      </c>
      <c r="AL65" s="8" t="str">
        <f>IFERROR(VLOOKUP($B$5:$B$199,'[2]12'!$B$5:$G$200,6,0),"")</f>
        <v/>
      </c>
      <c r="AM65" s="8" t="str">
        <f t="shared" ref="AM65:AM68" si="80">IFERROR(AL65*AK65,"")</f>
        <v/>
      </c>
      <c r="AN65" s="8" t="str">
        <f>IFERROR(VLOOKUP($B$5:$B$199,'[2]13'!$B$5:$D$200,3,0),"")</f>
        <v/>
      </c>
      <c r="AO65" s="8" t="str">
        <f>IFERROR(VLOOKUP($B$5:$B$199,'[2]13'!$B$5:$G$200,6,0),"")</f>
        <v/>
      </c>
      <c r="AP65" s="8" t="str">
        <f t="shared" ref="AP65:AP68" si="81">IFERROR(AO65*AN65,"")</f>
        <v/>
      </c>
      <c r="AQ65" s="8" t="str">
        <f>IFERROR(VLOOKUP($B$5:$B$199,'[2]14'!$B$5:$D$200,3,0),"")</f>
        <v/>
      </c>
      <c r="AR65" s="8" t="str">
        <f>IFERROR(VLOOKUP($B$5:$B$199,'[2]14'!$B$5:$G$200,6,0),"")</f>
        <v/>
      </c>
      <c r="AS65" s="8" t="str">
        <f t="shared" ref="AS65:AS68" si="82">IFERROR(AR65*AQ65,"")</f>
        <v/>
      </c>
      <c r="AT65" s="8" t="str">
        <f>IFERROR(VLOOKUP($B$5:$B$199,'[2]15'!$B$5:$D$200,3,0),"")</f>
        <v/>
      </c>
      <c r="AU65" s="8" t="str">
        <f>IFERROR(VLOOKUP($B$5:$B$199,'[2]15'!$B$5:$G$200,6,0),"")</f>
        <v/>
      </c>
      <c r="AV65" s="8" t="str">
        <f t="shared" ref="AV65:AV68" si="83">IFERROR(AU65*AT65,"")</f>
        <v/>
      </c>
      <c r="AW65" s="8" t="str">
        <f>IFERROR(VLOOKUP($B$5:$B$199,'[2]16'!$B$5:$D$200,3,0),"")</f>
        <v/>
      </c>
      <c r="AX65" s="8" t="str">
        <f>IFERROR(VLOOKUP($B$5:$B$199,'[2]16'!$B$5:$G$200,6,0),"")</f>
        <v/>
      </c>
      <c r="AY65" s="8" t="str">
        <f t="shared" ref="AY65:AY68" si="84">IFERROR(AX65*AW65,"")</f>
        <v/>
      </c>
      <c r="AZ65" s="8" t="str">
        <f>IFERROR(VLOOKUP($B$5:$B$199,'[2]17'!$B$5:$D$200,3,0),"")</f>
        <v/>
      </c>
      <c r="BA65" s="8" t="str">
        <f>IFERROR(VLOOKUP($B$5:$B$199,'[2]17'!$B$5:$G$200,6,0),"")</f>
        <v/>
      </c>
      <c r="BB65" s="8" t="str">
        <f t="shared" ref="BB65:BB68" si="85">IFERROR(BA65*AZ65,"")</f>
        <v/>
      </c>
      <c r="BC65" s="8" t="str">
        <f>IFERROR(VLOOKUP($B$5:$B$199,'[2]18'!$B$5:$D$200,3,0),"")</f>
        <v/>
      </c>
      <c r="BD65" s="8" t="str">
        <f>IFERROR(VLOOKUP($B$5:$B$199,'[2]18'!$B$5:$G$200,6,0),"")</f>
        <v/>
      </c>
      <c r="BE65" s="8" t="str">
        <f t="shared" ref="BE65:BE68" si="86">IFERROR(BD65*BC65,"")</f>
        <v/>
      </c>
      <c r="BF65" s="8" t="str">
        <f>IFERROR(VLOOKUP($B$5:$B$199,'[2]19'!$B$5:$D$200,3,0),"")</f>
        <v/>
      </c>
      <c r="BG65" s="8" t="str">
        <f>IFERROR(VLOOKUP($B$5:$B$199,'[2]19'!$B$5:$G$200,6,0),"")</f>
        <v/>
      </c>
      <c r="BH65" s="8" t="str">
        <f t="shared" ref="BH65:BH68" si="87">IFERROR(BG65*BF65,"")</f>
        <v/>
      </c>
      <c r="BI65" s="8" t="str">
        <f>IFERROR(VLOOKUP($B$5:$B$199,'[2]20'!$B$5:$D$200,3,0),"")</f>
        <v/>
      </c>
      <c r="BJ65" s="8" t="str">
        <f>IFERROR(VLOOKUP($B$5:$B$199,'[2]20'!$B$5:$G$200,6,0),"")</f>
        <v/>
      </c>
      <c r="BK65" s="8" t="str">
        <f t="shared" ref="BK65:BK68" si="88">IFERROR(BJ65*BI65,"")</f>
        <v/>
      </c>
      <c r="BL65" s="8" t="str">
        <f>IFERROR(VLOOKUP($B$5:$B$199,'[2]21'!$B$5:$D$200,3,0),"")</f>
        <v/>
      </c>
      <c r="BM65" s="8" t="str">
        <f>IFERROR(VLOOKUP($B$5:$B$199,'[2]21'!$B$5:$G$200,6,0),"")</f>
        <v/>
      </c>
      <c r="BN65" s="8" t="str">
        <f t="shared" ref="BN65:BN68" si="89">IFERROR(BM65*BL65,"")</f>
        <v/>
      </c>
      <c r="BO65" s="8" t="str">
        <f>IFERROR(VLOOKUP($B$5:$B$199,'[2]22'!$B$5:$D$200,3,0),"")</f>
        <v/>
      </c>
      <c r="BP65" s="8" t="str">
        <f>IFERROR(VLOOKUP($B$5:$B$199,'[2]22'!$B$5:$G$200,6,0),"")</f>
        <v/>
      </c>
      <c r="BQ65" s="8" t="str">
        <f t="shared" ref="BQ65:BQ68" si="90">IFERROR(BP65*BO65,"")</f>
        <v/>
      </c>
      <c r="BR65" s="8" t="str">
        <f>IFERROR(VLOOKUP($B$5:$B$199,'[2]23'!$B$5:$D$200,3,0),"")</f>
        <v/>
      </c>
      <c r="BS65" s="8" t="str">
        <f>IFERROR(VLOOKUP($B$5:$B$199,'[2]23'!$B$5:$G$200,6,0),"")</f>
        <v/>
      </c>
      <c r="BT65" s="8" t="str">
        <f t="shared" ref="BT65:BT68" si="91">IFERROR(BS65*BR65,"")</f>
        <v/>
      </c>
      <c r="BU65" s="8" t="str">
        <f>IFERROR(VLOOKUP($B$5:$B$199,'[2]24'!$B$5:$D$200,3,0),"")</f>
        <v/>
      </c>
      <c r="BV65" s="8" t="str">
        <f>IFERROR(VLOOKUP($B$5:$B$199,'[2]24'!$B$5:$G$200,6,0),"")</f>
        <v/>
      </c>
      <c r="BW65" s="8" t="str">
        <f t="shared" ref="BW65:BW68" si="92">IFERROR(BV65*BU65,"")</f>
        <v/>
      </c>
      <c r="BX65" s="8" t="str">
        <f>IFERROR(VLOOKUP($B$5:$B$199,'[2]25'!$B$5:$D$200,3,0),"")</f>
        <v/>
      </c>
      <c r="BY65" s="8" t="str">
        <f>IFERROR(VLOOKUP($B$5:$B$199,'[2]25'!$B$5:$G$200,6,0),"")</f>
        <v/>
      </c>
      <c r="BZ65" s="8" t="str">
        <f t="shared" ref="BZ65:BZ68" si="93">IFERROR(BY65*BX65,"")</f>
        <v/>
      </c>
      <c r="CA65" s="8" t="str">
        <f>IFERROR(VLOOKUP($B$5:$B$199,'[2]26'!$B$5:$D$200,3,0),"")</f>
        <v/>
      </c>
      <c r="CB65" s="8" t="str">
        <f>IFERROR(VLOOKUP($B$5:$B$199,'[2]26'!$B$5:$G$200,6,0),"")</f>
        <v/>
      </c>
      <c r="CC65" s="8" t="str">
        <f t="shared" ref="CC65:CC68" si="94">IFERROR(CB65*CA65,"")</f>
        <v/>
      </c>
      <c r="CD65" s="8" t="str">
        <f>IFERROR(VLOOKUP($B$5:$B$199,'[2]27'!$B$5:$D$200,3,0),"")</f>
        <v/>
      </c>
      <c r="CE65" s="8" t="str">
        <f>IFERROR(VLOOKUP($B$5:$B$199,'[2]27'!$B$5:$G$200,6,0),"")</f>
        <v/>
      </c>
      <c r="CF65" s="8" t="str">
        <f t="shared" ref="CF65:CF68" si="95">IFERROR(CE65*CD65,"")</f>
        <v/>
      </c>
      <c r="CG65" s="8" t="str">
        <f>IFERROR(VLOOKUP($B$5:$B$199,'[2]28'!$B$5:$D$200,3,0),"")</f>
        <v/>
      </c>
      <c r="CH65" s="8" t="str">
        <f>IFERROR(VLOOKUP($B$5:$B$199,'[2]28'!$B$5:$G$200,6,0),"")</f>
        <v/>
      </c>
      <c r="CI65" s="8" t="str">
        <f t="shared" ref="CI65:CI68" si="96">IFERROR(CH65*CG65,"")</f>
        <v/>
      </c>
      <c r="CJ65" s="8" t="str">
        <f>IFERROR(VLOOKUP($B$5:$B$199,'[2]29'!$B$5:$D$200,3,0),"")</f>
        <v/>
      </c>
      <c r="CK65" s="8" t="str">
        <f>IFERROR(VLOOKUP($B$5:$B$199,'[2]29'!$B$5:$G$200,6,0),"")</f>
        <v/>
      </c>
      <c r="CL65" s="8" t="str">
        <f t="shared" ref="CL65:CL68" si="97">IFERROR(CK65*CJ65,"")</f>
        <v/>
      </c>
      <c r="CM65" s="8" t="str">
        <f>IFERROR(VLOOKUP($B$5:$B$199,'[2]30'!$B$5:$D$200,3,0),"")</f>
        <v/>
      </c>
      <c r="CN65" s="8" t="str">
        <f>IFERROR(VLOOKUP($B$5:$B$199,'[2]30'!$B$5:$G$200,6,0),"")</f>
        <v/>
      </c>
      <c r="CO65" s="8" t="str">
        <f t="shared" ref="CO65:CO68" si="98">IFERROR(CN65*CM65,"")</f>
        <v/>
      </c>
      <c r="CP65" s="8" t="str">
        <f>IFERROR(VLOOKUP($B$5:$B$199,'[2]31'!$B$5:$D$200,3,0),"")</f>
        <v/>
      </c>
      <c r="CQ65" s="8" t="str">
        <f>IFERROR(VLOOKUP($B$5:$B$199,'[2]31'!$B$5:$G$200,6,0),"")</f>
        <v/>
      </c>
      <c r="CR65" s="8" t="str">
        <f t="shared" ref="CR65:CR68" si="99">IFERROR(CQ65*CP65,"")</f>
        <v/>
      </c>
      <c r="CT65" s="3">
        <f t="shared" si="31"/>
        <v>0</v>
      </c>
      <c r="CU65" s="3" t="str">
        <f t="shared" ref="CU65:CU68" si="100">IFERROR(SUMIF($D$4:$CR$4,CU$4,$D65:$CR65)/CX65,"")</f>
        <v/>
      </c>
      <c r="CV65" s="3" t="str">
        <f t="shared" ref="CV65:CV68" si="101">IFERROR(CT65*CU65,"")</f>
        <v/>
      </c>
      <c r="CX65">
        <f t="shared" ref="CX65:CX68" si="102">COUNT(E65,H65,K65,N65,Q65,T65,W65,Z65,AC65,AF65,AI65,AL65,AO65,AR65,AU65,AX65,BA65,BD65,BG65,BJ65,BM65,BP65,BS65,BV65,BY65,CB65,CE65,CH65,CK65,CN65,CQ65)</f>
        <v>0</v>
      </c>
    </row>
    <row r="66" spans="2:102" x14ac:dyDescent="0.25">
      <c r="B66" s="7" t="s">
        <v>140</v>
      </c>
      <c r="C66" s="7" t="str">
        <f>VLOOKUP($B66,DBASE!$C$7:$D$403,2,0)</f>
        <v>TORA BIKA DUO</v>
      </c>
      <c r="D66" s="8" t="str">
        <f>IFERROR(VLOOKUP($B$5:$B$199,'[2]1'!$B$5:$D$200,3,0),"")</f>
        <v/>
      </c>
      <c r="E66" s="8" t="str">
        <f>IFERROR(VLOOKUP($B$5:$B$199,'[2]1'!$B$5:$G$200,6,0),"")</f>
        <v/>
      </c>
      <c r="F66" s="8" t="str">
        <f t="shared" si="69"/>
        <v/>
      </c>
      <c r="G66" s="8" t="str">
        <f>IFERROR(VLOOKUP($B$5:$B$199,'[2]2'!$B$5:$D$200,3,0),"")</f>
        <v/>
      </c>
      <c r="H66" s="8" t="str">
        <f>IFERROR(VLOOKUP($B$5:$B$199,'[2]2'!$B$5:$G$200,6,0),"")</f>
        <v/>
      </c>
      <c r="I66" s="8" t="str">
        <f t="shared" si="70"/>
        <v/>
      </c>
      <c r="J66" s="8" t="str">
        <f>IFERROR(VLOOKUP($B$5:$B$199,'[2]3'!$B$5:$D$200,3,0),"")</f>
        <v/>
      </c>
      <c r="K66" s="8" t="str">
        <f>IFERROR(VLOOKUP($B$5:$B$199,'[2]3'!$B$5:$G$200,6,0),"")</f>
        <v/>
      </c>
      <c r="L66" s="8" t="str">
        <f t="shared" si="71"/>
        <v/>
      </c>
      <c r="M66" s="8" t="str">
        <f>IFERROR(VLOOKUP($B$5:$B$199,'[2]4'!$B$5:$D$200,3,0),"")</f>
        <v/>
      </c>
      <c r="N66" s="8" t="str">
        <f>IFERROR(VLOOKUP($B$5:$B$199,'[2]4'!$B$5:$G$200,6,0),"")</f>
        <v/>
      </c>
      <c r="O66" s="8" t="str">
        <f t="shared" si="72"/>
        <v/>
      </c>
      <c r="P66" s="8" t="str">
        <f>IFERROR(VLOOKUP($B$5:$B$199,'[2]5'!$B$5:$D$200,3,0),"")</f>
        <v/>
      </c>
      <c r="Q66" s="8" t="str">
        <f>IFERROR(VLOOKUP($B$5:$B$199,'[2]5'!$B$5:$G$200,6,0),"")</f>
        <v/>
      </c>
      <c r="R66" s="8" t="str">
        <f t="shared" si="73"/>
        <v/>
      </c>
      <c r="S66" s="8" t="str">
        <f>IFERROR(VLOOKUP($B$5:$B$199,'[2]6'!$B$5:$D$200,3,0),"")</f>
        <v/>
      </c>
      <c r="T66" s="8" t="str">
        <f>IFERROR(VLOOKUP($B$5:$B$199,'[2]6'!$B$5:$G$200,6,0),"")</f>
        <v/>
      </c>
      <c r="U66" s="8" t="str">
        <f t="shared" si="74"/>
        <v/>
      </c>
      <c r="V66" s="8" t="str">
        <f>IFERROR(VLOOKUP($B$5:$B$199,'[2]7'!$B$5:$D$200,3,0),"")</f>
        <v/>
      </c>
      <c r="W66" s="8" t="str">
        <f>IFERROR(VLOOKUP($B$5:$B$199,'[2]7'!$B$5:$G$200,6,0),"")</f>
        <v/>
      </c>
      <c r="X66" s="8" t="str">
        <f t="shared" si="75"/>
        <v/>
      </c>
      <c r="Y66" s="8" t="str">
        <f>IFERROR(VLOOKUP($B$5:$B$199,'[2]8'!$B$5:$D$200,3,0),"")</f>
        <v/>
      </c>
      <c r="Z66" s="8" t="str">
        <f>IFERROR(VLOOKUP($B$5:$B$199,'[2]8'!$B$5:$G$200,6,0),"")</f>
        <v/>
      </c>
      <c r="AA66" s="8" t="str">
        <f t="shared" si="76"/>
        <v/>
      </c>
      <c r="AB66" s="8">
        <f>IFERROR(VLOOKUP($B$5:$B$199,'[2]9'!$B$5:$D$200,3,0),"")</f>
        <v>10</v>
      </c>
      <c r="AC66" s="8">
        <f>IFERROR(VLOOKUP($B$5:$B$199,'[2]9'!$B$5:$G$200,6,0),"")</f>
        <v>92412</v>
      </c>
      <c r="AD66" s="8">
        <f t="shared" si="77"/>
        <v>924120</v>
      </c>
      <c r="AE66" s="8" t="str">
        <f>IFERROR(VLOOKUP($B$5:$B$199,'[2]10'!$B$5:$D$200,3,0),"")</f>
        <v/>
      </c>
      <c r="AF66" s="8" t="str">
        <f>IFERROR(VLOOKUP($B$5:$B$199,'[2]10'!$B$5:$G$200,6,0),"")</f>
        <v/>
      </c>
      <c r="AG66" s="8" t="str">
        <f t="shared" si="78"/>
        <v/>
      </c>
      <c r="AH66" s="8" t="str">
        <f>IFERROR(VLOOKUP($B$5:$B$199,'[2]11'!$B$5:$D$200,3,0),"")</f>
        <v/>
      </c>
      <c r="AI66" s="8" t="str">
        <f>IFERROR(VLOOKUP($B$5:$B$199,'[2]11'!$B$5:$G$200,6,0),"")</f>
        <v/>
      </c>
      <c r="AJ66" s="8" t="str">
        <f t="shared" si="79"/>
        <v/>
      </c>
      <c r="AK66" s="8" t="str">
        <f>IFERROR(VLOOKUP($B$5:$B$199,'[2]12'!$B$5:$D$200,3,0),"")</f>
        <v/>
      </c>
      <c r="AL66" s="8" t="str">
        <f>IFERROR(VLOOKUP($B$5:$B$199,'[2]12'!$B$5:$G$200,6,0),"")</f>
        <v/>
      </c>
      <c r="AM66" s="8" t="str">
        <f t="shared" si="80"/>
        <v/>
      </c>
      <c r="AN66" s="8" t="str">
        <f>IFERROR(VLOOKUP($B$5:$B$199,'[2]13'!$B$5:$D$200,3,0),"")</f>
        <v/>
      </c>
      <c r="AO66" s="8" t="str">
        <f>IFERROR(VLOOKUP($B$5:$B$199,'[2]13'!$B$5:$G$200,6,0),"")</f>
        <v/>
      </c>
      <c r="AP66" s="8" t="str">
        <f t="shared" si="81"/>
        <v/>
      </c>
      <c r="AQ66" s="8" t="str">
        <f>IFERROR(VLOOKUP($B$5:$B$199,'[2]14'!$B$5:$D$200,3,0),"")</f>
        <v/>
      </c>
      <c r="AR66" s="8" t="str">
        <f>IFERROR(VLOOKUP($B$5:$B$199,'[2]14'!$B$5:$G$200,6,0),"")</f>
        <v/>
      </c>
      <c r="AS66" s="8" t="str">
        <f t="shared" si="82"/>
        <v/>
      </c>
      <c r="AT66" s="8" t="str">
        <f>IFERROR(VLOOKUP($B$5:$B$199,'[2]15'!$B$5:$D$200,3,0),"")</f>
        <v/>
      </c>
      <c r="AU66" s="8" t="str">
        <f>IFERROR(VLOOKUP($B$5:$B$199,'[2]15'!$B$5:$G$200,6,0),"")</f>
        <v/>
      </c>
      <c r="AV66" s="8" t="str">
        <f t="shared" si="83"/>
        <v/>
      </c>
      <c r="AW66" s="8" t="str">
        <f>IFERROR(VLOOKUP($B$5:$B$199,'[2]16'!$B$5:$D$200,3,0),"")</f>
        <v/>
      </c>
      <c r="AX66" s="8" t="str">
        <f>IFERROR(VLOOKUP($B$5:$B$199,'[2]16'!$B$5:$G$200,6,0),"")</f>
        <v/>
      </c>
      <c r="AY66" s="8" t="str">
        <f t="shared" si="84"/>
        <v/>
      </c>
      <c r="AZ66" s="8" t="str">
        <f>IFERROR(VLOOKUP($B$5:$B$199,'[2]17'!$B$5:$D$200,3,0),"")</f>
        <v/>
      </c>
      <c r="BA66" s="8" t="str">
        <f>IFERROR(VLOOKUP($B$5:$B$199,'[2]17'!$B$5:$G$200,6,0),"")</f>
        <v/>
      </c>
      <c r="BB66" s="8" t="str">
        <f t="shared" si="85"/>
        <v/>
      </c>
      <c r="BC66" s="8" t="str">
        <f>IFERROR(VLOOKUP($B$5:$B$199,'[2]18'!$B$5:$D$200,3,0),"")</f>
        <v/>
      </c>
      <c r="BD66" s="8" t="str">
        <f>IFERROR(VLOOKUP($B$5:$B$199,'[2]18'!$B$5:$G$200,6,0),"")</f>
        <v/>
      </c>
      <c r="BE66" s="8" t="str">
        <f t="shared" si="86"/>
        <v/>
      </c>
      <c r="BF66" s="8" t="str">
        <f>IFERROR(VLOOKUP($B$5:$B$199,'[2]19'!$B$5:$D$200,3,0),"")</f>
        <v/>
      </c>
      <c r="BG66" s="8" t="str">
        <f>IFERROR(VLOOKUP($B$5:$B$199,'[2]19'!$B$5:$G$200,6,0),"")</f>
        <v/>
      </c>
      <c r="BH66" s="8" t="str">
        <f t="shared" si="87"/>
        <v/>
      </c>
      <c r="BI66" s="8" t="str">
        <f>IFERROR(VLOOKUP($B$5:$B$199,'[2]20'!$B$5:$D$200,3,0),"")</f>
        <v/>
      </c>
      <c r="BJ66" s="8" t="str">
        <f>IFERROR(VLOOKUP($B$5:$B$199,'[2]20'!$B$5:$G$200,6,0),"")</f>
        <v/>
      </c>
      <c r="BK66" s="8" t="str">
        <f t="shared" si="88"/>
        <v/>
      </c>
      <c r="BL66" s="8" t="str">
        <f>IFERROR(VLOOKUP($B$5:$B$199,'[2]21'!$B$5:$D$200,3,0),"")</f>
        <v/>
      </c>
      <c r="BM66" s="8" t="str">
        <f>IFERROR(VLOOKUP($B$5:$B$199,'[2]21'!$B$5:$G$200,6,0),"")</f>
        <v/>
      </c>
      <c r="BN66" s="8" t="str">
        <f t="shared" si="89"/>
        <v/>
      </c>
      <c r="BO66" s="8" t="str">
        <f>IFERROR(VLOOKUP($B$5:$B$199,'[2]22'!$B$5:$D$200,3,0),"")</f>
        <v/>
      </c>
      <c r="BP66" s="8" t="str">
        <f>IFERROR(VLOOKUP($B$5:$B$199,'[2]22'!$B$5:$G$200,6,0),"")</f>
        <v/>
      </c>
      <c r="BQ66" s="8" t="str">
        <f t="shared" si="90"/>
        <v/>
      </c>
      <c r="BR66" s="8" t="str">
        <f>IFERROR(VLOOKUP($B$5:$B$199,'[2]23'!$B$5:$D$200,3,0),"")</f>
        <v/>
      </c>
      <c r="BS66" s="8" t="str">
        <f>IFERROR(VLOOKUP($B$5:$B$199,'[2]23'!$B$5:$G$200,6,0),"")</f>
        <v/>
      </c>
      <c r="BT66" s="8" t="str">
        <f t="shared" si="91"/>
        <v/>
      </c>
      <c r="BU66" s="8" t="str">
        <f>IFERROR(VLOOKUP($B$5:$B$199,'[2]24'!$B$5:$D$200,3,0),"")</f>
        <v/>
      </c>
      <c r="BV66" s="8" t="str">
        <f>IFERROR(VLOOKUP($B$5:$B$199,'[2]24'!$B$5:$G$200,6,0),"")</f>
        <v/>
      </c>
      <c r="BW66" s="8" t="str">
        <f t="shared" si="92"/>
        <v/>
      </c>
      <c r="BX66" s="8" t="str">
        <f>IFERROR(VLOOKUP($B$5:$B$199,'[2]25'!$B$5:$D$200,3,0),"")</f>
        <v/>
      </c>
      <c r="BY66" s="8" t="str">
        <f>IFERROR(VLOOKUP($B$5:$B$199,'[2]25'!$B$5:$G$200,6,0),"")</f>
        <v/>
      </c>
      <c r="BZ66" s="8" t="str">
        <f t="shared" si="93"/>
        <v/>
      </c>
      <c r="CA66" s="8" t="str">
        <f>IFERROR(VLOOKUP($B$5:$B$199,'[2]26'!$B$5:$D$200,3,0),"")</f>
        <v/>
      </c>
      <c r="CB66" s="8" t="str">
        <f>IFERROR(VLOOKUP($B$5:$B$199,'[2]26'!$B$5:$G$200,6,0),"")</f>
        <v/>
      </c>
      <c r="CC66" s="8" t="str">
        <f t="shared" si="94"/>
        <v/>
      </c>
      <c r="CD66" s="8" t="str">
        <f>IFERROR(VLOOKUP($B$5:$B$199,'[2]27'!$B$5:$D$200,3,0),"")</f>
        <v/>
      </c>
      <c r="CE66" s="8" t="str">
        <f>IFERROR(VLOOKUP($B$5:$B$199,'[2]27'!$B$5:$G$200,6,0),"")</f>
        <v/>
      </c>
      <c r="CF66" s="8" t="str">
        <f t="shared" si="95"/>
        <v/>
      </c>
      <c r="CG66" s="8" t="str">
        <f>IFERROR(VLOOKUP($B$5:$B$199,'[2]28'!$B$5:$D$200,3,0),"")</f>
        <v/>
      </c>
      <c r="CH66" s="8" t="str">
        <f>IFERROR(VLOOKUP($B$5:$B$199,'[2]28'!$B$5:$G$200,6,0),"")</f>
        <v/>
      </c>
      <c r="CI66" s="8" t="str">
        <f t="shared" si="96"/>
        <v/>
      </c>
      <c r="CJ66" s="8" t="str">
        <f>IFERROR(VLOOKUP($B$5:$B$199,'[2]29'!$B$5:$D$200,3,0),"")</f>
        <v/>
      </c>
      <c r="CK66" s="8" t="str">
        <f>IFERROR(VLOOKUP($B$5:$B$199,'[2]29'!$B$5:$G$200,6,0),"")</f>
        <v/>
      </c>
      <c r="CL66" s="8" t="str">
        <f t="shared" si="97"/>
        <v/>
      </c>
      <c r="CM66" s="8" t="str">
        <f>IFERROR(VLOOKUP($B$5:$B$199,'[2]30'!$B$5:$D$200,3,0),"")</f>
        <v/>
      </c>
      <c r="CN66" s="8" t="str">
        <f>IFERROR(VLOOKUP($B$5:$B$199,'[2]30'!$B$5:$G$200,6,0),"")</f>
        <v/>
      </c>
      <c r="CO66" s="8" t="str">
        <f t="shared" si="98"/>
        <v/>
      </c>
      <c r="CP66" s="8" t="str">
        <f>IFERROR(VLOOKUP($B$5:$B$199,'[2]31'!$B$5:$D$200,3,0),"")</f>
        <v/>
      </c>
      <c r="CQ66" s="8" t="str">
        <f>IFERROR(VLOOKUP($B$5:$B$199,'[2]31'!$B$5:$G$200,6,0),"")</f>
        <v/>
      </c>
      <c r="CR66" s="8" t="str">
        <f t="shared" si="99"/>
        <v/>
      </c>
      <c r="CT66" s="3">
        <f t="shared" si="31"/>
        <v>10</v>
      </c>
      <c r="CU66" s="3">
        <f t="shared" si="100"/>
        <v>92412</v>
      </c>
      <c r="CV66" s="3">
        <f t="shared" si="101"/>
        <v>924120</v>
      </c>
      <c r="CX66">
        <f t="shared" si="102"/>
        <v>1</v>
      </c>
    </row>
    <row r="67" spans="2:102" x14ac:dyDescent="0.25">
      <c r="B67" s="7" t="s">
        <v>141</v>
      </c>
      <c r="C67" s="7" t="str">
        <f>VLOOKUP($B67,DBASE!$C$7:$D$403,2,0)</f>
        <v>TORA BIKA CREAMY</v>
      </c>
      <c r="D67" s="8" t="str">
        <f>IFERROR(VLOOKUP($B$5:$B$199,'[2]1'!$B$5:$D$200,3,0),"")</f>
        <v/>
      </c>
      <c r="E67" s="8" t="str">
        <f>IFERROR(VLOOKUP($B$5:$B$199,'[2]1'!$B$5:$G$200,6,0),"")</f>
        <v/>
      </c>
      <c r="F67" s="8" t="str">
        <f t="shared" si="69"/>
        <v/>
      </c>
      <c r="G67" s="8" t="str">
        <f>IFERROR(VLOOKUP($B$5:$B$199,'[2]2'!$B$5:$D$200,3,0),"")</f>
        <v/>
      </c>
      <c r="H67" s="8" t="str">
        <f>IFERROR(VLOOKUP($B$5:$B$199,'[2]2'!$B$5:$G$200,6,0),"")</f>
        <v/>
      </c>
      <c r="I67" s="8" t="str">
        <f t="shared" si="70"/>
        <v/>
      </c>
      <c r="J67" s="8" t="str">
        <f>IFERROR(VLOOKUP($B$5:$B$199,'[2]3'!$B$5:$D$200,3,0),"")</f>
        <v/>
      </c>
      <c r="K67" s="8" t="str">
        <f>IFERROR(VLOOKUP($B$5:$B$199,'[2]3'!$B$5:$G$200,6,0),"")</f>
        <v/>
      </c>
      <c r="L67" s="8" t="str">
        <f t="shared" si="71"/>
        <v/>
      </c>
      <c r="M67" s="8" t="str">
        <f>IFERROR(VLOOKUP($B$5:$B$199,'[2]4'!$B$5:$D$200,3,0),"")</f>
        <v/>
      </c>
      <c r="N67" s="8" t="str">
        <f>IFERROR(VLOOKUP($B$5:$B$199,'[2]4'!$B$5:$G$200,6,0),"")</f>
        <v/>
      </c>
      <c r="O67" s="8" t="str">
        <f t="shared" si="72"/>
        <v/>
      </c>
      <c r="P67" s="8" t="str">
        <f>IFERROR(VLOOKUP($B$5:$B$199,'[2]5'!$B$5:$D$200,3,0),"")</f>
        <v/>
      </c>
      <c r="Q67" s="8" t="str">
        <f>IFERROR(VLOOKUP($B$5:$B$199,'[2]5'!$B$5:$G$200,6,0),"")</f>
        <v/>
      </c>
      <c r="R67" s="8" t="str">
        <f t="shared" si="73"/>
        <v/>
      </c>
      <c r="S67" s="8" t="str">
        <f>IFERROR(VLOOKUP($B$5:$B$199,'[2]6'!$B$5:$D$200,3,0),"")</f>
        <v/>
      </c>
      <c r="T67" s="8" t="str">
        <f>IFERROR(VLOOKUP($B$5:$B$199,'[2]6'!$B$5:$G$200,6,0),"")</f>
        <v/>
      </c>
      <c r="U67" s="8" t="str">
        <f t="shared" si="74"/>
        <v/>
      </c>
      <c r="V67" s="8" t="str">
        <f>IFERROR(VLOOKUP($B$5:$B$199,'[2]7'!$B$5:$D$200,3,0),"")</f>
        <v/>
      </c>
      <c r="W67" s="8" t="str">
        <f>IFERROR(VLOOKUP($B$5:$B$199,'[2]7'!$B$5:$G$200,6,0),"")</f>
        <v/>
      </c>
      <c r="X67" s="8" t="str">
        <f t="shared" si="75"/>
        <v/>
      </c>
      <c r="Y67" s="8" t="str">
        <f>IFERROR(VLOOKUP($B$5:$B$199,'[2]8'!$B$5:$D$200,3,0),"")</f>
        <v/>
      </c>
      <c r="Z67" s="8" t="str">
        <f>IFERROR(VLOOKUP($B$5:$B$199,'[2]8'!$B$5:$G$200,6,0),"")</f>
        <v/>
      </c>
      <c r="AA67" s="8" t="str">
        <f t="shared" si="76"/>
        <v/>
      </c>
      <c r="AB67" s="8">
        <f>IFERROR(VLOOKUP($B$5:$B$199,'[2]9'!$B$5:$D$200,3,0),"")</f>
        <v>6</v>
      </c>
      <c r="AC67" s="8">
        <f>IFERROR(VLOOKUP($B$5:$B$199,'[2]9'!$B$5:$G$200,6,0),"")</f>
        <v>152650</v>
      </c>
      <c r="AD67" s="8">
        <f t="shared" si="77"/>
        <v>915900</v>
      </c>
      <c r="AE67" s="8" t="str">
        <f>IFERROR(VLOOKUP($B$5:$B$199,'[2]10'!$B$5:$D$200,3,0),"")</f>
        <v/>
      </c>
      <c r="AF67" s="8" t="str">
        <f>IFERROR(VLOOKUP($B$5:$B$199,'[2]10'!$B$5:$G$200,6,0),"")</f>
        <v/>
      </c>
      <c r="AG67" s="8" t="str">
        <f t="shared" si="78"/>
        <v/>
      </c>
      <c r="AH67" s="8" t="str">
        <f>IFERROR(VLOOKUP($B$5:$B$199,'[2]11'!$B$5:$D$200,3,0),"")</f>
        <v/>
      </c>
      <c r="AI67" s="8" t="str">
        <f>IFERROR(VLOOKUP($B$5:$B$199,'[2]11'!$B$5:$G$200,6,0),"")</f>
        <v/>
      </c>
      <c r="AJ67" s="8" t="str">
        <f t="shared" si="79"/>
        <v/>
      </c>
      <c r="AK67" s="8" t="str">
        <f>IFERROR(VLOOKUP($B$5:$B$199,'[2]12'!$B$5:$D$200,3,0),"")</f>
        <v/>
      </c>
      <c r="AL67" s="8" t="str">
        <f>IFERROR(VLOOKUP($B$5:$B$199,'[2]12'!$B$5:$G$200,6,0),"")</f>
        <v/>
      </c>
      <c r="AM67" s="8" t="str">
        <f t="shared" si="80"/>
        <v/>
      </c>
      <c r="AN67" s="8" t="str">
        <f>IFERROR(VLOOKUP($B$5:$B$199,'[2]13'!$B$5:$D$200,3,0),"")</f>
        <v/>
      </c>
      <c r="AO67" s="8" t="str">
        <f>IFERROR(VLOOKUP($B$5:$B$199,'[2]13'!$B$5:$G$200,6,0),"")</f>
        <v/>
      </c>
      <c r="AP67" s="8" t="str">
        <f t="shared" si="81"/>
        <v/>
      </c>
      <c r="AQ67" s="8" t="str">
        <f>IFERROR(VLOOKUP($B$5:$B$199,'[2]14'!$B$5:$D$200,3,0),"")</f>
        <v/>
      </c>
      <c r="AR67" s="8" t="str">
        <f>IFERROR(VLOOKUP($B$5:$B$199,'[2]14'!$B$5:$G$200,6,0),"")</f>
        <v/>
      </c>
      <c r="AS67" s="8" t="str">
        <f t="shared" si="82"/>
        <v/>
      </c>
      <c r="AT67" s="8" t="str">
        <f>IFERROR(VLOOKUP($B$5:$B$199,'[2]15'!$B$5:$D$200,3,0),"")</f>
        <v/>
      </c>
      <c r="AU67" s="8" t="str">
        <f>IFERROR(VLOOKUP($B$5:$B$199,'[2]15'!$B$5:$G$200,6,0),"")</f>
        <v/>
      </c>
      <c r="AV67" s="8" t="str">
        <f t="shared" si="83"/>
        <v/>
      </c>
      <c r="AW67" s="8" t="str">
        <f>IFERROR(VLOOKUP($B$5:$B$199,'[2]16'!$B$5:$D$200,3,0),"")</f>
        <v/>
      </c>
      <c r="AX67" s="8" t="str">
        <f>IFERROR(VLOOKUP($B$5:$B$199,'[2]16'!$B$5:$G$200,6,0),"")</f>
        <v/>
      </c>
      <c r="AY67" s="8" t="str">
        <f t="shared" si="84"/>
        <v/>
      </c>
      <c r="AZ67" s="8" t="str">
        <f>IFERROR(VLOOKUP($B$5:$B$199,'[2]17'!$B$5:$D$200,3,0),"")</f>
        <v/>
      </c>
      <c r="BA67" s="8" t="str">
        <f>IFERROR(VLOOKUP($B$5:$B$199,'[2]17'!$B$5:$G$200,6,0),"")</f>
        <v/>
      </c>
      <c r="BB67" s="8" t="str">
        <f t="shared" si="85"/>
        <v/>
      </c>
      <c r="BC67" s="8" t="str">
        <f>IFERROR(VLOOKUP($B$5:$B$199,'[2]18'!$B$5:$D$200,3,0),"")</f>
        <v/>
      </c>
      <c r="BD67" s="8" t="str">
        <f>IFERROR(VLOOKUP($B$5:$B$199,'[2]18'!$B$5:$G$200,6,0),"")</f>
        <v/>
      </c>
      <c r="BE67" s="8" t="str">
        <f t="shared" si="86"/>
        <v/>
      </c>
      <c r="BF67" s="8" t="str">
        <f>IFERROR(VLOOKUP($B$5:$B$199,'[2]19'!$B$5:$D$200,3,0),"")</f>
        <v/>
      </c>
      <c r="BG67" s="8" t="str">
        <f>IFERROR(VLOOKUP($B$5:$B$199,'[2]19'!$B$5:$G$200,6,0),"")</f>
        <v/>
      </c>
      <c r="BH67" s="8" t="str">
        <f t="shared" si="87"/>
        <v/>
      </c>
      <c r="BI67" s="8" t="str">
        <f>IFERROR(VLOOKUP($B$5:$B$199,'[2]20'!$B$5:$D$200,3,0),"")</f>
        <v/>
      </c>
      <c r="BJ67" s="8" t="str">
        <f>IFERROR(VLOOKUP($B$5:$B$199,'[2]20'!$B$5:$G$200,6,0),"")</f>
        <v/>
      </c>
      <c r="BK67" s="8" t="str">
        <f t="shared" si="88"/>
        <v/>
      </c>
      <c r="BL67" s="8" t="str">
        <f>IFERROR(VLOOKUP($B$5:$B$199,'[2]21'!$B$5:$D$200,3,0),"")</f>
        <v/>
      </c>
      <c r="BM67" s="8" t="str">
        <f>IFERROR(VLOOKUP($B$5:$B$199,'[2]21'!$B$5:$G$200,6,0),"")</f>
        <v/>
      </c>
      <c r="BN67" s="8" t="str">
        <f t="shared" si="89"/>
        <v/>
      </c>
      <c r="BO67" s="8" t="str">
        <f>IFERROR(VLOOKUP($B$5:$B$199,'[2]22'!$B$5:$D$200,3,0),"")</f>
        <v/>
      </c>
      <c r="BP67" s="8" t="str">
        <f>IFERROR(VLOOKUP($B$5:$B$199,'[2]22'!$B$5:$G$200,6,0),"")</f>
        <v/>
      </c>
      <c r="BQ67" s="8" t="str">
        <f t="shared" si="90"/>
        <v/>
      </c>
      <c r="BR67" s="8" t="str">
        <f>IFERROR(VLOOKUP($B$5:$B$199,'[2]23'!$B$5:$D$200,3,0),"")</f>
        <v/>
      </c>
      <c r="BS67" s="8" t="str">
        <f>IFERROR(VLOOKUP($B$5:$B$199,'[2]23'!$B$5:$G$200,6,0),"")</f>
        <v/>
      </c>
      <c r="BT67" s="8" t="str">
        <f t="shared" si="91"/>
        <v/>
      </c>
      <c r="BU67" s="8" t="str">
        <f>IFERROR(VLOOKUP($B$5:$B$199,'[2]24'!$B$5:$D$200,3,0),"")</f>
        <v/>
      </c>
      <c r="BV67" s="8" t="str">
        <f>IFERROR(VLOOKUP($B$5:$B$199,'[2]24'!$B$5:$G$200,6,0),"")</f>
        <v/>
      </c>
      <c r="BW67" s="8" t="str">
        <f t="shared" si="92"/>
        <v/>
      </c>
      <c r="BX67" s="8" t="str">
        <f>IFERROR(VLOOKUP($B$5:$B$199,'[2]25'!$B$5:$D$200,3,0),"")</f>
        <v/>
      </c>
      <c r="BY67" s="8" t="str">
        <f>IFERROR(VLOOKUP($B$5:$B$199,'[2]25'!$B$5:$G$200,6,0),"")</f>
        <v/>
      </c>
      <c r="BZ67" s="8" t="str">
        <f t="shared" si="93"/>
        <v/>
      </c>
      <c r="CA67" s="8" t="str">
        <f>IFERROR(VLOOKUP($B$5:$B$199,'[2]26'!$B$5:$D$200,3,0),"")</f>
        <v/>
      </c>
      <c r="CB67" s="8" t="str">
        <f>IFERROR(VLOOKUP($B$5:$B$199,'[2]26'!$B$5:$G$200,6,0),"")</f>
        <v/>
      </c>
      <c r="CC67" s="8" t="str">
        <f t="shared" si="94"/>
        <v/>
      </c>
      <c r="CD67" s="8" t="str">
        <f>IFERROR(VLOOKUP($B$5:$B$199,'[2]27'!$B$5:$D$200,3,0),"")</f>
        <v/>
      </c>
      <c r="CE67" s="8" t="str">
        <f>IFERROR(VLOOKUP($B$5:$B$199,'[2]27'!$B$5:$G$200,6,0),"")</f>
        <v/>
      </c>
      <c r="CF67" s="8" t="str">
        <f t="shared" si="95"/>
        <v/>
      </c>
      <c r="CG67" s="8" t="str">
        <f>IFERROR(VLOOKUP($B$5:$B$199,'[2]28'!$B$5:$D$200,3,0),"")</f>
        <v/>
      </c>
      <c r="CH67" s="8" t="str">
        <f>IFERROR(VLOOKUP($B$5:$B$199,'[2]28'!$B$5:$G$200,6,0),"")</f>
        <v/>
      </c>
      <c r="CI67" s="8" t="str">
        <f t="shared" si="96"/>
        <v/>
      </c>
      <c r="CJ67" s="8" t="str">
        <f>IFERROR(VLOOKUP($B$5:$B$199,'[2]29'!$B$5:$D$200,3,0),"")</f>
        <v/>
      </c>
      <c r="CK67" s="8" t="str">
        <f>IFERROR(VLOOKUP($B$5:$B$199,'[2]29'!$B$5:$G$200,6,0),"")</f>
        <v/>
      </c>
      <c r="CL67" s="8" t="str">
        <f t="shared" si="97"/>
        <v/>
      </c>
      <c r="CM67" s="8" t="str">
        <f>IFERROR(VLOOKUP($B$5:$B$199,'[2]30'!$B$5:$D$200,3,0),"")</f>
        <v/>
      </c>
      <c r="CN67" s="8" t="str">
        <f>IFERROR(VLOOKUP($B$5:$B$199,'[2]30'!$B$5:$G$200,6,0),"")</f>
        <v/>
      </c>
      <c r="CO67" s="8" t="str">
        <f t="shared" si="98"/>
        <v/>
      </c>
      <c r="CP67" s="8" t="str">
        <f>IFERROR(VLOOKUP($B$5:$B$199,'[2]31'!$B$5:$D$200,3,0),"")</f>
        <v/>
      </c>
      <c r="CQ67" s="8" t="str">
        <f>IFERROR(VLOOKUP($B$5:$B$199,'[2]31'!$B$5:$G$200,6,0),"")</f>
        <v/>
      </c>
      <c r="CR67" s="8" t="str">
        <f t="shared" si="99"/>
        <v/>
      </c>
      <c r="CT67" s="3">
        <f t="shared" si="31"/>
        <v>6</v>
      </c>
      <c r="CU67" s="3">
        <f t="shared" si="100"/>
        <v>152650</v>
      </c>
      <c r="CV67" s="3">
        <f t="shared" si="101"/>
        <v>915900</v>
      </c>
      <c r="CX67">
        <f t="shared" si="102"/>
        <v>1</v>
      </c>
    </row>
    <row r="68" spans="2:102" x14ac:dyDescent="0.25">
      <c r="B68" s="7" t="s">
        <v>142</v>
      </c>
      <c r="C68" s="7" t="str">
        <f>VLOOKUP($B68,DBASE!$C$7:$D$403,2,0)</f>
        <v>TORA BIKA SUSU</v>
      </c>
      <c r="D68" s="8" t="str">
        <f>IFERROR(VLOOKUP($B$5:$B$199,'[2]1'!$B$5:$D$200,3,0),"")</f>
        <v/>
      </c>
      <c r="E68" s="8" t="str">
        <f>IFERROR(VLOOKUP($B$5:$B$199,'[2]1'!$B$5:$G$200,6,0),"")</f>
        <v/>
      </c>
      <c r="F68" s="8" t="str">
        <f t="shared" si="69"/>
        <v/>
      </c>
      <c r="G68" s="8" t="str">
        <f>IFERROR(VLOOKUP($B$5:$B$199,'[2]2'!$B$5:$D$200,3,0),"")</f>
        <v/>
      </c>
      <c r="H68" s="8" t="str">
        <f>IFERROR(VLOOKUP($B$5:$B$199,'[2]2'!$B$5:$G$200,6,0),"")</f>
        <v/>
      </c>
      <c r="I68" s="8" t="str">
        <f t="shared" si="70"/>
        <v/>
      </c>
      <c r="J68" s="8" t="str">
        <f>IFERROR(VLOOKUP($B$5:$B$199,'[2]3'!$B$5:$D$200,3,0),"")</f>
        <v/>
      </c>
      <c r="K68" s="8" t="str">
        <f>IFERROR(VLOOKUP($B$5:$B$199,'[2]3'!$B$5:$G$200,6,0),"")</f>
        <v/>
      </c>
      <c r="L68" s="8" t="str">
        <f t="shared" si="71"/>
        <v/>
      </c>
      <c r="M68" s="8" t="str">
        <f>IFERROR(VLOOKUP($B$5:$B$199,'[2]4'!$B$5:$D$200,3,0),"")</f>
        <v/>
      </c>
      <c r="N68" s="8" t="str">
        <f>IFERROR(VLOOKUP($B$5:$B$199,'[2]4'!$B$5:$G$200,6,0),"")</f>
        <v/>
      </c>
      <c r="O68" s="8" t="str">
        <f t="shared" si="72"/>
        <v/>
      </c>
      <c r="P68" s="8" t="str">
        <f>IFERROR(VLOOKUP($B$5:$B$199,'[2]5'!$B$5:$D$200,3,0),"")</f>
        <v/>
      </c>
      <c r="Q68" s="8" t="str">
        <f>IFERROR(VLOOKUP($B$5:$B$199,'[2]5'!$B$5:$G$200,6,0),"")</f>
        <v/>
      </c>
      <c r="R68" s="8" t="str">
        <f t="shared" si="73"/>
        <v/>
      </c>
      <c r="S68" s="8" t="str">
        <f>IFERROR(VLOOKUP($B$5:$B$199,'[2]6'!$B$5:$D$200,3,0),"")</f>
        <v/>
      </c>
      <c r="T68" s="8" t="str">
        <f>IFERROR(VLOOKUP($B$5:$B$199,'[2]6'!$B$5:$G$200,6,0),"")</f>
        <v/>
      </c>
      <c r="U68" s="8" t="str">
        <f t="shared" si="74"/>
        <v/>
      </c>
      <c r="V68" s="8" t="str">
        <f>IFERROR(VLOOKUP($B$5:$B$199,'[2]7'!$B$5:$D$200,3,0),"")</f>
        <v/>
      </c>
      <c r="W68" s="8" t="str">
        <f>IFERROR(VLOOKUP($B$5:$B$199,'[2]7'!$B$5:$G$200,6,0),"")</f>
        <v/>
      </c>
      <c r="X68" s="8" t="str">
        <f t="shared" si="75"/>
        <v/>
      </c>
      <c r="Y68" s="8" t="str">
        <f>IFERROR(VLOOKUP($B$5:$B$199,'[2]8'!$B$5:$D$200,3,0),"")</f>
        <v/>
      </c>
      <c r="Z68" s="8" t="str">
        <f>IFERROR(VLOOKUP($B$5:$B$199,'[2]8'!$B$5:$G$200,6,0),"")</f>
        <v/>
      </c>
      <c r="AA68" s="8" t="str">
        <f t="shared" si="76"/>
        <v/>
      </c>
      <c r="AB68" s="8">
        <f>IFERROR(VLOOKUP($B$5:$B$199,'[2]9'!$B$5:$D$200,3,0),"")</f>
        <v>10</v>
      </c>
      <c r="AC68" s="8">
        <f>IFERROR(VLOOKUP($B$5:$B$199,'[2]9'!$B$5:$G$200,6,0),"")</f>
        <v>101793</v>
      </c>
      <c r="AD68" s="8">
        <f t="shared" si="77"/>
        <v>1017930</v>
      </c>
      <c r="AE68" s="8" t="str">
        <f>IFERROR(VLOOKUP($B$5:$B$199,'[2]10'!$B$5:$D$200,3,0),"")</f>
        <v/>
      </c>
      <c r="AF68" s="8" t="str">
        <f>IFERROR(VLOOKUP($B$5:$B$199,'[2]10'!$B$5:$G$200,6,0),"")</f>
        <v/>
      </c>
      <c r="AG68" s="8" t="str">
        <f t="shared" si="78"/>
        <v/>
      </c>
      <c r="AH68" s="8" t="str">
        <f>IFERROR(VLOOKUP($B$5:$B$199,'[2]11'!$B$5:$D$200,3,0),"")</f>
        <v/>
      </c>
      <c r="AI68" s="8" t="str">
        <f>IFERROR(VLOOKUP($B$5:$B$199,'[2]11'!$B$5:$G$200,6,0),"")</f>
        <v/>
      </c>
      <c r="AJ68" s="8" t="str">
        <f t="shared" si="79"/>
        <v/>
      </c>
      <c r="AK68" s="8" t="str">
        <f>IFERROR(VLOOKUP($B$5:$B$199,'[2]12'!$B$5:$D$200,3,0),"")</f>
        <v/>
      </c>
      <c r="AL68" s="8" t="str">
        <f>IFERROR(VLOOKUP($B$5:$B$199,'[2]12'!$B$5:$G$200,6,0),"")</f>
        <v/>
      </c>
      <c r="AM68" s="8" t="str">
        <f t="shared" si="80"/>
        <v/>
      </c>
      <c r="AN68" s="8" t="str">
        <f>IFERROR(VLOOKUP($B$5:$B$199,'[2]13'!$B$5:$D$200,3,0),"")</f>
        <v/>
      </c>
      <c r="AO68" s="8" t="str">
        <f>IFERROR(VLOOKUP($B$5:$B$199,'[2]13'!$B$5:$G$200,6,0),"")</f>
        <v/>
      </c>
      <c r="AP68" s="8" t="str">
        <f t="shared" si="81"/>
        <v/>
      </c>
      <c r="AQ68" s="8" t="str">
        <f>IFERROR(VLOOKUP($B$5:$B$199,'[2]14'!$B$5:$D$200,3,0),"")</f>
        <v/>
      </c>
      <c r="AR68" s="8" t="str">
        <f>IFERROR(VLOOKUP($B$5:$B$199,'[2]14'!$B$5:$G$200,6,0),"")</f>
        <v/>
      </c>
      <c r="AS68" s="8" t="str">
        <f t="shared" si="82"/>
        <v/>
      </c>
      <c r="AT68" s="8" t="str">
        <f>IFERROR(VLOOKUP($B$5:$B$199,'[2]15'!$B$5:$D$200,3,0),"")</f>
        <v/>
      </c>
      <c r="AU68" s="8" t="str">
        <f>IFERROR(VLOOKUP($B$5:$B$199,'[2]15'!$B$5:$G$200,6,0),"")</f>
        <v/>
      </c>
      <c r="AV68" s="8" t="str">
        <f t="shared" si="83"/>
        <v/>
      </c>
      <c r="AW68" s="8" t="str">
        <f>IFERROR(VLOOKUP($B$5:$B$199,'[2]16'!$B$5:$D$200,3,0),"")</f>
        <v/>
      </c>
      <c r="AX68" s="8" t="str">
        <f>IFERROR(VLOOKUP($B$5:$B$199,'[2]16'!$B$5:$G$200,6,0),"")</f>
        <v/>
      </c>
      <c r="AY68" s="8" t="str">
        <f t="shared" si="84"/>
        <v/>
      </c>
      <c r="AZ68" s="8" t="str">
        <f>IFERROR(VLOOKUP($B$5:$B$199,'[2]17'!$B$5:$D$200,3,0),"")</f>
        <v/>
      </c>
      <c r="BA68" s="8" t="str">
        <f>IFERROR(VLOOKUP($B$5:$B$199,'[2]17'!$B$5:$G$200,6,0),"")</f>
        <v/>
      </c>
      <c r="BB68" s="8" t="str">
        <f t="shared" si="85"/>
        <v/>
      </c>
      <c r="BC68" s="8" t="str">
        <f>IFERROR(VLOOKUP($B$5:$B$199,'[2]18'!$B$5:$D$200,3,0),"")</f>
        <v/>
      </c>
      <c r="BD68" s="8" t="str">
        <f>IFERROR(VLOOKUP($B$5:$B$199,'[2]18'!$B$5:$G$200,6,0),"")</f>
        <v/>
      </c>
      <c r="BE68" s="8" t="str">
        <f t="shared" si="86"/>
        <v/>
      </c>
      <c r="BF68" s="8" t="str">
        <f>IFERROR(VLOOKUP($B$5:$B$199,'[2]19'!$B$5:$D$200,3,0),"")</f>
        <v/>
      </c>
      <c r="BG68" s="8" t="str">
        <f>IFERROR(VLOOKUP($B$5:$B$199,'[2]19'!$B$5:$G$200,6,0),"")</f>
        <v/>
      </c>
      <c r="BH68" s="8" t="str">
        <f t="shared" si="87"/>
        <v/>
      </c>
      <c r="BI68" s="8" t="str">
        <f>IFERROR(VLOOKUP($B$5:$B$199,'[2]20'!$B$5:$D$200,3,0),"")</f>
        <v/>
      </c>
      <c r="BJ68" s="8" t="str">
        <f>IFERROR(VLOOKUP($B$5:$B$199,'[2]20'!$B$5:$G$200,6,0),"")</f>
        <v/>
      </c>
      <c r="BK68" s="8" t="str">
        <f t="shared" si="88"/>
        <v/>
      </c>
      <c r="BL68" s="8" t="str">
        <f>IFERROR(VLOOKUP($B$5:$B$199,'[2]21'!$B$5:$D$200,3,0),"")</f>
        <v/>
      </c>
      <c r="BM68" s="8" t="str">
        <f>IFERROR(VLOOKUP($B$5:$B$199,'[2]21'!$B$5:$G$200,6,0),"")</f>
        <v/>
      </c>
      <c r="BN68" s="8" t="str">
        <f t="shared" si="89"/>
        <v/>
      </c>
      <c r="BO68" s="8" t="str">
        <f>IFERROR(VLOOKUP($B$5:$B$199,'[2]22'!$B$5:$D$200,3,0),"")</f>
        <v/>
      </c>
      <c r="BP68" s="8" t="str">
        <f>IFERROR(VLOOKUP($B$5:$B$199,'[2]22'!$B$5:$G$200,6,0),"")</f>
        <v/>
      </c>
      <c r="BQ68" s="8" t="str">
        <f t="shared" si="90"/>
        <v/>
      </c>
      <c r="BR68" s="8" t="str">
        <f>IFERROR(VLOOKUP($B$5:$B$199,'[2]23'!$B$5:$D$200,3,0),"")</f>
        <v/>
      </c>
      <c r="BS68" s="8" t="str">
        <f>IFERROR(VLOOKUP($B$5:$B$199,'[2]23'!$B$5:$G$200,6,0),"")</f>
        <v/>
      </c>
      <c r="BT68" s="8" t="str">
        <f t="shared" si="91"/>
        <v/>
      </c>
      <c r="BU68" s="8" t="str">
        <f>IFERROR(VLOOKUP($B$5:$B$199,'[2]24'!$B$5:$D$200,3,0),"")</f>
        <v/>
      </c>
      <c r="BV68" s="8" t="str">
        <f>IFERROR(VLOOKUP($B$5:$B$199,'[2]24'!$B$5:$G$200,6,0),"")</f>
        <v/>
      </c>
      <c r="BW68" s="8" t="str">
        <f t="shared" si="92"/>
        <v/>
      </c>
      <c r="BX68" s="8" t="str">
        <f>IFERROR(VLOOKUP($B$5:$B$199,'[2]25'!$B$5:$D$200,3,0),"")</f>
        <v/>
      </c>
      <c r="BY68" s="8" t="str">
        <f>IFERROR(VLOOKUP($B$5:$B$199,'[2]25'!$B$5:$G$200,6,0),"")</f>
        <v/>
      </c>
      <c r="BZ68" s="8" t="str">
        <f t="shared" si="93"/>
        <v/>
      </c>
      <c r="CA68" s="8" t="str">
        <f>IFERROR(VLOOKUP($B$5:$B$199,'[2]26'!$B$5:$D$200,3,0),"")</f>
        <v/>
      </c>
      <c r="CB68" s="8" t="str">
        <f>IFERROR(VLOOKUP($B$5:$B$199,'[2]26'!$B$5:$G$200,6,0),"")</f>
        <v/>
      </c>
      <c r="CC68" s="8" t="str">
        <f t="shared" si="94"/>
        <v/>
      </c>
      <c r="CD68" s="8" t="str">
        <f>IFERROR(VLOOKUP($B$5:$B$199,'[2]27'!$B$5:$D$200,3,0),"")</f>
        <v/>
      </c>
      <c r="CE68" s="8" t="str">
        <f>IFERROR(VLOOKUP($B$5:$B$199,'[2]27'!$B$5:$G$200,6,0),"")</f>
        <v/>
      </c>
      <c r="CF68" s="8" t="str">
        <f t="shared" si="95"/>
        <v/>
      </c>
      <c r="CG68" s="8" t="str">
        <f>IFERROR(VLOOKUP($B$5:$B$199,'[2]28'!$B$5:$D$200,3,0),"")</f>
        <v/>
      </c>
      <c r="CH68" s="8" t="str">
        <f>IFERROR(VLOOKUP($B$5:$B$199,'[2]28'!$B$5:$G$200,6,0),"")</f>
        <v/>
      </c>
      <c r="CI68" s="8" t="str">
        <f t="shared" si="96"/>
        <v/>
      </c>
      <c r="CJ68" s="8" t="str">
        <f>IFERROR(VLOOKUP($B$5:$B$199,'[2]29'!$B$5:$D$200,3,0),"")</f>
        <v/>
      </c>
      <c r="CK68" s="8" t="str">
        <f>IFERROR(VLOOKUP($B$5:$B$199,'[2]29'!$B$5:$G$200,6,0),"")</f>
        <v/>
      </c>
      <c r="CL68" s="8" t="str">
        <f t="shared" si="97"/>
        <v/>
      </c>
      <c r="CM68" s="8" t="str">
        <f>IFERROR(VLOOKUP($B$5:$B$199,'[2]30'!$B$5:$D$200,3,0),"")</f>
        <v/>
      </c>
      <c r="CN68" s="8" t="str">
        <f>IFERROR(VLOOKUP($B$5:$B$199,'[2]30'!$B$5:$G$200,6,0),"")</f>
        <v/>
      </c>
      <c r="CO68" s="8" t="str">
        <f t="shared" si="98"/>
        <v/>
      </c>
      <c r="CP68" s="8" t="str">
        <f>IFERROR(VLOOKUP($B$5:$B$199,'[2]31'!$B$5:$D$200,3,0),"")</f>
        <v/>
      </c>
      <c r="CQ68" s="8" t="str">
        <f>IFERROR(VLOOKUP($B$5:$B$199,'[2]31'!$B$5:$G$200,6,0),"")</f>
        <v/>
      </c>
      <c r="CR68" s="8" t="str">
        <f t="shared" si="99"/>
        <v/>
      </c>
      <c r="CT68" s="3">
        <f t="shared" si="31"/>
        <v>10</v>
      </c>
      <c r="CU68" s="3">
        <f t="shared" si="100"/>
        <v>101793</v>
      </c>
      <c r="CV68" s="3">
        <f t="shared" si="101"/>
        <v>1017930</v>
      </c>
      <c r="CX68">
        <f t="shared" si="102"/>
        <v>1</v>
      </c>
    </row>
    <row r="69" spans="2:102" x14ac:dyDescent="0.25">
      <c r="C69" t="str">
        <f>IF($B69="","",VLOOKUP($B69,[3]DBASE!$C$5:$D$8,2,0))</f>
        <v/>
      </c>
      <c r="D69" s="3"/>
      <c r="E69" s="3"/>
      <c r="F69" s="3"/>
    </row>
    <row r="70" spans="2:102" x14ac:dyDescent="0.25">
      <c r="C70" t="str">
        <f>IF($B70="","",VLOOKUP($B70,[3]DBASE!$C$5:$D$8,2,0))</f>
        <v/>
      </c>
      <c r="D70" s="3"/>
      <c r="E70" s="3"/>
      <c r="F70" s="3"/>
    </row>
    <row r="71" spans="2:102" x14ac:dyDescent="0.25">
      <c r="C71" t="str">
        <f>IF($B71="","",VLOOKUP($B71,[3]DBASE!$C$5:$D$8,2,0))</f>
        <v/>
      </c>
      <c r="D71" s="3"/>
      <c r="E71" s="3"/>
      <c r="F71" s="3"/>
    </row>
    <row r="72" spans="2:102" x14ac:dyDescent="0.25">
      <c r="C72" t="str">
        <f>IF($B72="","",VLOOKUP($B72,[3]DBASE!$C$5:$D$8,2,0))</f>
        <v/>
      </c>
      <c r="D72" s="3"/>
      <c r="E72" s="3"/>
      <c r="F72" s="3"/>
    </row>
    <row r="73" spans="2:102" x14ac:dyDescent="0.25">
      <c r="C73" t="str">
        <f>IF($B73="","",VLOOKUP($B73,[3]DBASE!$C$5:$D$8,2,0))</f>
        <v/>
      </c>
      <c r="D73" s="3"/>
      <c r="E73" s="3"/>
      <c r="F73" s="3"/>
    </row>
    <row r="74" spans="2:102" x14ac:dyDescent="0.25">
      <c r="C74" t="str">
        <f>IF($B74="","",VLOOKUP($B74,[3]DBASE!$C$5:$D$8,2,0))</f>
        <v/>
      </c>
      <c r="D74" s="3"/>
      <c r="E74" s="3"/>
      <c r="F74" s="3"/>
    </row>
    <row r="75" spans="2:102" x14ac:dyDescent="0.25">
      <c r="C75" t="str">
        <f>IF($B75="","",VLOOKUP($B75,[3]DBASE!$C$5:$D$8,2,0))</f>
        <v/>
      </c>
      <c r="D75" s="3"/>
      <c r="E75" s="3"/>
      <c r="F75" s="3"/>
    </row>
    <row r="76" spans="2:102" x14ac:dyDescent="0.25">
      <c r="C76" t="str">
        <f>IF($B76="","",VLOOKUP($B76,[3]DBASE!$C$5:$D$8,2,0))</f>
        <v/>
      </c>
      <c r="D76" s="3"/>
      <c r="E76" s="3"/>
      <c r="F76" s="3"/>
    </row>
    <row r="77" spans="2:102" x14ac:dyDescent="0.25">
      <c r="C77" t="str">
        <f>IF($B77="","",VLOOKUP($B77,[3]DBASE!$C$5:$D$8,2,0))</f>
        <v/>
      </c>
      <c r="D77" s="3"/>
      <c r="E77" s="3"/>
      <c r="F77" s="3"/>
    </row>
    <row r="78" spans="2:102" x14ac:dyDescent="0.25">
      <c r="C78" t="str">
        <f>IF($B78="","",VLOOKUP($B78,[3]DBASE!$C$5:$D$8,2,0))</f>
        <v/>
      </c>
      <c r="D78" s="3"/>
      <c r="E78" s="3"/>
      <c r="F78" s="3"/>
    </row>
    <row r="79" spans="2:102" x14ac:dyDescent="0.25">
      <c r="C79" t="str">
        <f>IF($B79="","",VLOOKUP($B79,[3]DBASE!$C$5:$D$8,2,0))</f>
        <v/>
      </c>
      <c r="D79" s="3"/>
      <c r="E79" s="3"/>
      <c r="F79" s="3"/>
    </row>
    <row r="80" spans="2:102" x14ac:dyDescent="0.25">
      <c r="C80" t="str">
        <f>IF($B80="","",VLOOKUP($B80,[3]DBASE!$C$5:$D$8,2,0))</f>
        <v/>
      </c>
      <c r="D80" s="3"/>
      <c r="E80" s="3"/>
      <c r="F80" s="3"/>
    </row>
    <row r="81" spans="3:6" x14ac:dyDescent="0.25">
      <c r="C81" t="str">
        <f>IF($B81="","",VLOOKUP($B81,[3]DBASE!$C$5:$D$8,2,0))</f>
        <v/>
      </c>
      <c r="D81" s="3"/>
      <c r="E81" s="3"/>
      <c r="F81" s="3"/>
    </row>
    <row r="82" spans="3:6" x14ac:dyDescent="0.25">
      <c r="C82" t="str">
        <f>IF($B82="","",VLOOKUP($B82,[3]DBASE!$C$5:$D$8,2,0))</f>
        <v/>
      </c>
      <c r="D82" s="3"/>
      <c r="E82" s="3"/>
      <c r="F82" s="3"/>
    </row>
    <row r="83" spans="3:6" x14ac:dyDescent="0.25">
      <c r="C83" t="str">
        <f>IF($B83="","",VLOOKUP($B83,[3]DBASE!$C$5:$D$8,2,0))</f>
        <v/>
      </c>
      <c r="D83" s="3"/>
      <c r="E83" s="3"/>
      <c r="F83" s="3"/>
    </row>
    <row r="84" spans="3:6" x14ac:dyDescent="0.25">
      <c r="C84" t="str">
        <f>IF($B84="","",VLOOKUP($B84,[3]DBASE!$C$5:$D$8,2,0))</f>
        <v/>
      </c>
      <c r="D84" s="3"/>
      <c r="E84" s="3"/>
      <c r="F84" s="3"/>
    </row>
    <row r="85" spans="3:6" x14ac:dyDescent="0.25">
      <c r="C85" t="str">
        <f>IF($B85="","",VLOOKUP($B85,[3]DBASE!$C$5:$D$8,2,0))</f>
        <v/>
      </c>
      <c r="D85" s="3"/>
      <c r="E85" s="3"/>
      <c r="F85" s="3"/>
    </row>
    <row r="86" spans="3:6" x14ac:dyDescent="0.25">
      <c r="C86" t="str">
        <f>IF($B86="","",VLOOKUP($B86,[3]DBASE!$C$5:$D$8,2,0))</f>
        <v/>
      </c>
      <c r="D86" s="3"/>
      <c r="E86" s="3"/>
      <c r="F86" s="3"/>
    </row>
    <row r="87" spans="3:6" x14ac:dyDescent="0.25">
      <c r="C87" t="str">
        <f>IF($B87="","",VLOOKUP($B87,[3]DBASE!$C$5:$D$8,2,0))</f>
        <v/>
      </c>
      <c r="D87" s="3"/>
      <c r="E87" s="3"/>
      <c r="F87" s="3"/>
    </row>
    <row r="88" spans="3:6" x14ac:dyDescent="0.25">
      <c r="C88" t="str">
        <f>IF($B88="","",VLOOKUP($B88,[3]DBASE!$C$5:$D$8,2,0))</f>
        <v/>
      </c>
      <c r="D88" s="3"/>
      <c r="E88" s="3"/>
      <c r="F88" s="3"/>
    </row>
    <row r="89" spans="3:6" x14ac:dyDescent="0.25">
      <c r="C89" t="str">
        <f>IF($B89="","",VLOOKUP($B89,[3]DBASE!$C$5:$D$8,2,0))</f>
        <v/>
      </c>
      <c r="D89" s="3"/>
      <c r="E89" s="3"/>
      <c r="F89" s="3"/>
    </row>
    <row r="90" spans="3:6" x14ac:dyDescent="0.25">
      <c r="C90" t="str">
        <f>IF($B90="","",VLOOKUP($B90,[3]DBASE!$C$5:$D$8,2,0))</f>
        <v/>
      </c>
      <c r="D90" s="3"/>
      <c r="E90" s="3"/>
      <c r="F90" s="3"/>
    </row>
    <row r="91" spans="3:6" x14ac:dyDescent="0.25">
      <c r="C91" t="str">
        <f>IF($B91="","",VLOOKUP($B91,[3]DBASE!$C$5:$D$8,2,0))</f>
        <v/>
      </c>
      <c r="D91" s="3"/>
      <c r="E91" s="3"/>
      <c r="F91" s="3"/>
    </row>
    <row r="92" spans="3:6" x14ac:dyDescent="0.25">
      <c r="C92" t="str">
        <f>IF($B92="","",VLOOKUP($B92,[3]DBASE!$C$5:$D$8,2,0))</f>
        <v/>
      </c>
      <c r="D92" s="3"/>
      <c r="E92" s="3"/>
      <c r="F92" s="3"/>
    </row>
    <row r="93" spans="3:6" x14ac:dyDescent="0.25">
      <c r="C93" t="str">
        <f>IF($B93="","",VLOOKUP($B93,[3]DBASE!$C$5:$D$8,2,0))</f>
        <v/>
      </c>
      <c r="D93" s="3"/>
      <c r="E93" s="3"/>
      <c r="F93" s="3"/>
    </row>
    <row r="94" spans="3:6" x14ac:dyDescent="0.25">
      <c r="C94" t="str">
        <f>IF($B94="","",VLOOKUP($B94,[3]DBASE!$C$5:$D$8,2,0))</f>
        <v/>
      </c>
      <c r="D94" s="3"/>
      <c r="E94" s="3"/>
      <c r="F94" s="3"/>
    </row>
    <row r="95" spans="3:6" x14ac:dyDescent="0.25">
      <c r="C95" t="str">
        <f>IF($B95="","",VLOOKUP($B95,[3]DBASE!$C$5:$D$8,2,0))</f>
        <v/>
      </c>
      <c r="D95" s="3"/>
      <c r="E95" s="3"/>
      <c r="F95" s="3"/>
    </row>
    <row r="96" spans="3:6" x14ac:dyDescent="0.25">
      <c r="C96" t="str">
        <f>IF($B96="","",VLOOKUP($B96,[3]DBASE!$C$5:$D$8,2,0))</f>
        <v/>
      </c>
      <c r="D96" s="3"/>
      <c r="E96" s="3"/>
      <c r="F96" s="3"/>
    </row>
    <row r="97" spans="3:6" x14ac:dyDescent="0.25">
      <c r="C97" t="str">
        <f>IF($B97="","",VLOOKUP($B97,[3]DBASE!$C$5:$D$8,2,0))</f>
        <v/>
      </c>
      <c r="D97" s="3"/>
      <c r="E97" s="3"/>
      <c r="F97" s="3"/>
    </row>
    <row r="98" spans="3:6" x14ac:dyDescent="0.25">
      <c r="C98" t="str">
        <f>IF($B98="","",VLOOKUP($B98,[3]DBASE!$C$5:$D$8,2,0))</f>
        <v/>
      </c>
      <c r="D98" s="3"/>
      <c r="E98" s="3"/>
      <c r="F98" s="3"/>
    </row>
    <row r="99" spans="3:6" x14ac:dyDescent="0.25">
      <c r="C99" t="str">
        <f>IF($B99="","",VLOOKUP($B99,[3]DBASE!$C$5:$D$8,2,0))</f>
        <v/>
      </c>
      <c r="D99" s="3"/>
      <c r="E99" s="3"/>
      <c r="F99" s="3"/>
    </row>
    <row r="100" spans="3:6" x14ac:dyDescent="0.25">
      <c r="D100" s="3"/>
      <c r="E100" s="3"/>
      <c r="F100" s="3"/>
    </row>
    <row r="101" spans="3:6" x14ac:dyDescent="0.25">
      <c r="D101" s="3"/>
      <c r="E101" s="3"/>
      <c r="F101" s="3"/>
    </row>
    <row r="102" spans="3:6" x14ac:dyDescent="0.25">
      <c r="D102" s="3"/>
      <c r="E102" s="3"/>
      <c r="F102" s="3"/>
    </row>
    <row r="103" spans="3:6" x14ac:dyDescent="0.25">
      <c r="D103" s="3"/>
      <c r="E103" s="3"/>
      <c r="F103" s="3"/>
    </row>
    <row r="104" spans="3:6" x14ac:dyDescent="0.25">
      <c r="D104" s="3"/>
      <c r="E104" s="3"/>
      <c r="F1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X72"/>
  <sheetViews>
    <sheetView showGridLines="0" workbookViewId="0">
      <selection activeCell="C7" sqref="C7:C8"/>
    </sheetView>
  </sheetViews>
  <sheetFormatPr defaultRowHeight="15" x14ac:dyDescent="0.25"/>
  <cols>
    <col min="1" max="1" width="1.28515625" style="9" customWidth="1"/>
    <col min="2" max="2" width="1.140625" style="9" customWidth="1"/>
    <col min="3" max="3" width="11" style="9" customWidth="1"/>
    <col min="4" max="4" width="33.85546875" style="9" bestFit="1" customWidth="1"/>
    <col min="5" max="5" width="9.140625" style="9"/>
    <col min="6" max="6" width="10.5703125" style="9" bestFit="1" customWidth="1"/>
    <col min="7" max="7" width="2.7109375" style="9" customWidth="1"/>
    <col min="8" max="8" width="10.42578125" style="9" customWidth="1"/>
    <col min="9" max="9" width="2.7109375" style="9" customWidth="1"/>
    <col min="10" max="18" width="15.5703125" style="9" hidden="1" customWidth="1"/>
    <col min="19" max="27" width="15.5703125" style="9" customWidth="1"/>
    <col min="28" max="16384" width="9.140625" style="9"/>
  </cols>
  <sheetData>
    <row r="1" spans="3:102" ht="5.25" customHeight="1" x14ac:dyDescent="0.25"/>
    <row r="2" spans="3:102" x14ac:dyDescent="0.25">
      <c r="C2" s="9" t="s">
        <v>79</v>
      </c>
    </row>
    <row r="3" spans="3:102" ht="6" customHeight="1" x14ac:dyDescent="0.25"/>
    <row r="4" spans="3:102" x14ac:dyDescent="0.25">
      <c r="C4" s="9" t="s">
        <v>80</v>
      </c>
      <c r="D4" s="9" t="s">
        <v>81</v>
      </c>
    </row>
    <row r="5" spans="3:102" ht="4.5" customHeight="1" x14ac:dyDescent="0.25"/>
    <row r="6" spans="3:102" ht="10.5" customHeight="1" x14ac:dyDescent="0.25"/>
    <row r="7" spans="3:102" ht="15.75" customHeight="1" x14ac:dyDescent="0.25">
      <c r="C7" s="21" t="s">
        <v>1</v>
      </c>
      <c r="D7" s="21" t="s">
        <v>2</v>
      </c>
      <c r="E7" s="22" t="s">
        <v>24</v>
      </c>
      <c r="F7" s="23"/>
      <c r="J7" s="10">
        <v>42370</v>
      </c>
      <c r="K7" s="11"/>
      <c r="L7" s="12"/>
      <c r="M7" s="10">
        <v>42371</v>
      </c>
      <c r="N7" s="11"/>
      <c r="O7" s="12"/>
      <c r="P7" s="10">
        <v>42372</v>
      </c>
      <c r="Q7" s="11"/>
      <c r="R7" s="12"/>
      <c r="S7" s="10">
        <v>42373</v>
      </c>
      <c r="T7" s="11"/>
      <c r="U7" s="12"/>
      <c r="V7" s="10">
        <v>42374</v>
      </c>
      <c r="W7" s="11"/>
      <c r="X7" s="12"/>
      <c r="Y7" s="10">
        <v>42375</v>
      </c>
      <c r="Z7" s="11"/>
      <c r="AA7" s="12"/>
      <c r="AB7" s="10">
        <v>42376</v>
      </c>
      <c r="AC7" s="11"/>
      <c r="AD7" s="12"/>
      <c r="AE7" s="10">
        <v>42377</v>
      </c>
      <c r="AF7" s="11"/>
      <c r="AG7" s="12"/>
      <c r="AH7" s="10">
        <v>42378</v>
      </c>
      <c r="AI7" s="11"/>
      <c r="AJ7" s="12"/>
      <c r="AK7" s="10">
        <v>42379</v>
      </c>
      <c r="AL7" s="11"/>
      <c r="AM7" s="12"/>
      <c r="AN7" s="10">
        <v>42380</v>
      </c>
      <c r="AO7" s="11"/>
      <c r="AP7" s="12"/>
      <c r="AQ7" s="10">
        <v>42381</v>
      </c>
      <c r="AR7" s="11"/>
      <c r="AS7" s="12"/>
      <c r="AT7" s="10">
        <v>42382</v>
      </c>
      <c r="AU7" s="11"/>
      <c r="AV7" s="12"/>
      <c r="AW7" s="10">
        <v>42383</v>
      </c>
      <c r="AX7" s="11"/>
      <c r="AY7" s="12"/>
      <c r="AZ7" s="10">
        <v>42384</v>
      </c>
      <c r="BA7" s="11"/>
      <c r="BB7" s="12"/>
      <c r="BC7" s="10">
        <v>42385</v>
      </c>
      <c r="BD7" s="11"/>
      <c r="BE7" s="12"/>
      <c r="BF7" s="10">
        <v>42386</v>
      </c>
      <c r="BG7" s="11"/>
      <c r="BH7" s="12"/>
      <c r="BI7" s="10">
        <v>42387</v>
      </c>
      <c r="BJ7" s="11"/>
      <c r="BK7" s="12"/>
      <c r="BL7" s="10">
        <v>42388</v>
      </c>
      <c r="BM7" s="11"/>
      <c r="BN7" s="12"/>
      <c r="BO7" s="10">
        <v>42389</v>
      </c>
      <c r="BP7" s="11"/>
      <c r="BQ7" s="12"/>
      <c r="BR7" s="10">
        <v>42390</v>
      </c>
      <c r="BS7" s="11"/>
      <c r="BT7" s="12"/>
      <c r="BU7" s="10">
        <v>42391</v>
      </c>
      <c r="BV7" s="11"/>
      <c r="BW7" s="12"/>
      <c r="BX7" s="10">
        <v>42392</v>
      </c>
      <c r="BY7" s="11"/>
      <c r="BZ7" s="12"/>
      <c r="CA7" s="10">
        <v>42393</v>
      </c>
      <c r="CB7" s="11"/>
      <c r="CC7" s="12"/>
      <c r="CD7" s="10">
        <v>42394</v>
      </c>
      <c r="CE7" s="11"/>
      <c r="CF7" s="12"/>
      <c r="CG7" s="10">
        <v>42395</v>
      </c>
      <c r="CH7" s="11"/>
      <c r="CI7" s="12"/>
      <c r="CJ7" s="10">
        <v>42396</v>
      </c>
      <c r="CK7" s="11"/>
      <c r="CL7" s="12"/>
      <c r="CM7" s="10">
        <v>42397</v>
      </c>
      <c r="CN7" s="11"/>
      <c r="CO7" s="12"/>
      <c r="CP7" s="10">
        <v>42398</v>
      </c>
      <c r="CQ7" s="11"/>
      <c r="CR7" s="12"/>
      <c r="CS7" s="10">
        <v>42399</v>
      </c>
      <c r="CT7" s="11"/>
      <c r="CU7" s="12"/>
      <c r="CV7" s="10">
        <v>42400</v>
      </c>
      <c r="CW7" s="11"/>
      <c r="CX7" s="11"/>
    </row>
    <row r="8" spans="3:102" x14ac:dyDescent="0.25">
      <c r="C8" s="21"/>
      <c r="D8" s="21"/>
      <c r="E8" s="13" t="s">
        <v>25</v>
      </c>
      <c r="F8" s="13" t="s">
        <v>26</v>
      </c>
      <c r="H8" s="14" t="s">
        <v>27</v>
      </c>
      <c r="J8" s="13" t="s">
        <v>25</v>
      </c>
      <c r="K8" s="13" t="s">
        <v>26</v>
      </c>
      <c r="L8" s="13" t="s">
        <v>27</v>
      </c>
      <c r="M8" s="13" t="s">
        <v>25</v>
      </c>
      <c r="N8" s="13" t="s">
        <v>26</v>
      </c>
      <c r="O8" s="13" t="s">
        <v>27</v>
      </c>
      <c r="P8" s="13" t="s">
        <v>25</v>
      </c>
      <c r="Q8" s="13" t="s">
        <v>26</v>
      </c>
      <c r="R8" s="13" t="s">
        <v>27</v>
      </c>
      <c r="S8" s="13" t="s">
        <v>25</v>
      </c>
      <c r="T8" s="13" t="s">
        <v>26</v>
      </c>
      <c r="U8" s="13" t="s">
        <v>27</v>
      </c>
      <c r="V8" s="13" t="s">
        <v>25</v>
      </c>
      <c r="W8" s="13" t="s">
        <v>26</v>
      </c>
      <c r="X8" s="13" t="s">
        <v>27</v>
      </c>
      <c r="Y8" s="13" t="s">
        <v>25</v>
      </c>
      <c r="Z8" s="13" t="s">
        <v>26</v>
      </c>
      <c r="AA8" s="13" t="s">
        <v>27</v>
      </c>
      <c r="AB8" s="13" t="s">
        <v>25</v>
      </c>
      <c r="AC8" s="13" t="s">
        <v>26</v>
      </c>
      <c r="AD8" s="13" t="s">
        <v>27</v>
      </c>
      <c r="AE8" s="13" t="s">
        <v>25</v>
      </c>
      <c r="AF8" s="13" t="s">
        <v>26</v>
      </c>
      <c r="AG8" s="13" t="s">
        <v>27</v>
      </c>
      <c r="AH8" s="13" t="s">
        <v>25</v>
      </c>
      <c r="AI8" s="13" t="s">
        <v>26</v>
      </c>
      <c r="AJ8" s="13" t="s">
        <v>27</v>
      </c>
      <c r="AK8" s="13" t="s">
        <v>25</v>
      </c>
      <c r="AL8" s="13" t="s">
        <v>26</v>
      </c>
      <c r="AM8" s="13" t="s">
        <v>27</v>
      </c>
      <c r="AN8" s="13" t="s">
        <v>25</v>
      </c>
      <c r="AO8" s="13" t="s">
        <v>26</v>
      </c>
      <c r="AP8" s="13" t="s">
        <v>27</v>
      </c>
      <c r="AQ8" s="13" t="s">
        <v>25</v>
      </c>
      <c r="AR8" s="13" t="s">
        <v>26</v>
      </c>
      <c r="AS8" s="13" t="s">
        <v>27</v>
      </c>
      <c r="AT8" s="13" t="s">
        <v>25</v>
      </c>
      <c r="AU8" s="13" t="s">
        <v>26</v>
      </c>
      <c r="AV8" s="13" t="s">
        <v>27</v>
      </c>
      <c r="AW8" s="13" t="s">
        <v>25</v>
      </c>
      <c r="AX8" s="13" t="s">
        <v>26</v>
      </c>
      <c r="AY8" s="13" t="s">
        <v>27</v>
      </c>
      <c r="AZ8" s="13" t="s">
        <v>25</v>
      </c>
      <c r="BA8" s="13" t="s">
        <v>26</v>
      </c>
      <c r="BB8" s="13" t="s">
        <v>27</v>
      </c>
      <c r="BC8" s="13" t="s">
        <v>25</v>
      </c>
      <c r="BD8" s="13" t="s">
        <v>26</v>
      </c>
      <c r="BE8" s="13" t="s">
        <v>27</v>
      </c>
      <c r="BF8" s="13" t="s">
        <v>25</v>
      </c>
      <c r="BG8" s="13" t="s">
        <v>26</v>
      </c>
      <c r="BH8" s="13" t="s">
        <v>27</v>
      </c>
      <c r="BI8" s="13" t="s">
        <v>25</v>
      </c>
      <c r="BJ8" s="13" t="s">
        <v>26</v>
      </c>
      <c r="BK8" s="13" t="s">
        <v>27</v>
      </c>
      <c r="BL8" s="13" t="s">
        <v>25</v>
      </c>
      <c r="BM8" s="13" t="s">
        <v>26</v>
      </c>
      <c r="BN8" s="13" t="s">
        <v>27</v>
      </c>
      <c r="BO8" s="13" t="s">
        <v>25</v>
      </c>
      <c r="BP8" s="13" t="s">
        <v>26</v>
      </c>
      <c r="BQ8" s="13" t="s">
        <v>27</v>
      </c>
      <c r="BR8" s="13" t="s">
        <v>25</v>
      </c>
      <c r="BS8" s="13" t="s">
        <v>26</v>
      </c>
      <c r="BT8" s="13" t="s">
        <v>27</v>
      </c>
      <c r="BU8" s="13" t="s">
        <v>25</v>
      </c>
      <c r="BV8" s="13" t="s">
        <v>26</v>
      </c>
      <c r="BW8" s="13" t="s">
        <v>27</v>
      </c>
      <c r="BX8" s="13" t="s">
        <v>25</v>
      </c>
      <c r="BY8" s="13" t="s">
        <v>26</v>
      </c>
      <c r="BZ8" s="13" t="s">
        <v>27</v>
      </c>
      <c r="CA8" s="13" t="s">
        <v>25</v>
      </c>
      <c r="CB8" s="13" t="s">
        <v>26</v>
      </c>
      <c r="CC8" s="13" t="s">
        <v>27</v>
      </c>
      <c r="CD8" s="13" t="s">
        <v>25</v>
      </c>
      <c r="CE8" s="13" t="s">
        <v>26</v>
      </c>
      <c r="CF8" s="13" t="s">
        <v>27</v>
      </c>
      <c r="CG8" s="13" t="s">
        <v>25</v>
      </c>
      <c r="CH8" s="13" t="s">
        <v>26</v>
      </c>
      <c r="CI8" s="13" t="s">
        <v>27</v>
      </c>
      <c r="CJ8" s="13" t="s">
        <v>25</v>
      </c>
      <c r="CK8" s="13" t="s">
        <v>26</v>
      </c>
      <c r="CL8" s="13" t="s">
        <v>27</v>
      </c>
      <c r="CM8" s="13" t="s">
        <v>25</v>
      </c>
      <c r="CN8" s="13" t="s">
        <v>26</v>
      </c>
      <c r="CO8" s="13" t="s">
        <v>27</v>
      </c>
      <c r="CP8" s="13" t="s">
        <v>25</v>
      </c>
      <c r="CQ8" s="13" t="s">
        <v>26</v>
      </c>
      <c r="CR8" s="13" t="s">
        <v>27</v>
      </c>
      <c r="CS8" s="13" t="s">
        <v>25</v>
      </c>
      <c r="CT8" s="13" t="s">
        <v>26</v>
      </c>
      <c r="CU8" s="13" t="s">
        <v>27</v>
      </c>
      <c r="CV8" s="13" t="s">
        <v>25</v>
      </c>
      <c r="CW8" s="13" t="s">
        <v>26</v>
      </c>
      <c r="CX8" s="13" t="s">
        <v>27</v>
      </c>
    </row>
    <row r="9" spans="3:102" x14ac:dyDescent="0.25">
      <c r="C9" s="7" t="s">
        <v>9</v>
      </c>
      <c r="D9" s="5" t="str">
        <f>IFERROR(VLOOKUP(C9,DBASE!$C$7:$D$207,2,0),"")</f>
        <v>NABATI WAFER KEJU 8GR</v>
      </c>
      <c r="E9" s="15">
        <f>SUMIF($J$8:$BP$8,E$8,$J9:$BP9)</f>
        <v>33</v>
      </c>
      <c r="F9" s="15">
        <f>SUMIF($J$8:$BP$8,F$8,$J9:$BP9)</f>
        <v>2564358.56</v>
      </c>
      <c r="H9" s="15">
        <f>SUMIF($J$8:$BP$8,H$8,$J9:$BP9)</f>
        <v>89295.237927843817</v>
      </c>
      <c r="J9" s="15">
        <f>IFERROR(VLOOKUP($C9,[4]REKAP!$B$9:$D$200,3,0),"")</f>
        <v>0</v>
      </c>
      <c r="K9" s="15">
        <f>IFERROR(VLOOKUP($C9,[4]REKAP!$B$9:$E$200,4,0),"")</f>
        <v>0</v>
      </c>
      <c r="L9" s="15">
        <f>IFERROR(VLOOKUP($C9,[4]REKAP!$B$9:$G$200,6,0),"")</f>
        <v>0</v>
      </c>
      <c r="M9" s="15">
        <f>IFERROR(VLOOKUP($C9,[5]REKAP!$B$9:$D$200,3,0),"")</f>
        <v>0</v>
      </c>
      <c r="N9" s="15">
        <f>IFERROR(VLOOKUP($C9,[5]REKAP!$B$9:$E$200,4,0),"")</f>
        <v>0</v>
      </c>
      <c r="O9" s="15">
        <f>IFERROR(VLOOKUP($C9,[5]REKAP!$B$9:$G$200,6,0),"")</f>
        <v>0</v>
      </c>
      <c r="P9" s="15">
        <f>IFERROR(VLOOKUP($C9,[6]REKAP!$B$9:$D$200,3,0),"")</f>
        <v>0</v>
      </c>
      <c r="Q9" s="15">
        <f>IFERROR(VLOOKUP($C9,[6]REKAP!$B$9:$E$200,4,0),"")</f>
        <v>0</v>
      </c>
      <c r="R9" s="15">
        <f>IFERROR(VLOOKUP($C9,[6]REKAP!$B$9:$G$200,6,0),"")</f>
        <v>0</v>
      </c>
      <c r="S9" s="15">
        <f>IFERROR(VLOOKUP($C9,[7]REKAP!$B$9:$D$200,3,0),"")</f>
        <v>9</v>
      </c>
      <c r="T9" s="15">
        <f>IFERROR(VLOOKUP($C9,[7]REKAP!$B$9:$E$200,4,0),"")</f>
        <v>700200</v>
      </c>
      <c r="U9" s="15">
        <f>IFERROR(VLOOKUP($C9,[7]REKAP!$B$9:$G$200,6,0),"")</f>
        <v>25116.675538537689</v>
      </c>
      <c r="V9" s="15">
        <f>IFERROR(VLOOKUP($C9,[8]REKAP!$B$9:$D$200,3,0),"")</f>
        <v>5</v>
      </c>
      <c r="W9" s="15">
        <f>IFERROR(VLOOKUP($C9,[8]REKAP!$B$9:$E$200,4,0),"")</f>
        <v>392500</v>
      </c>
      <c r="X9" s="15">
        <f>IFERROR(VLOOKUP($C9,[8]REKAP!$B$9:$G$200,6,0),"")</f>
        <v>17453.708632520938</v>
      </c>
      <c r="Y9" s="15">
        <f>IFERROR(VLOOKUP($C9,[9]REKAP!$B$9:$D$200,3,0),"")</f>
        <v>6</v>
      </c>
      <c r="Z9" s="15">
        <f>IFERROR(VLOOKUP($C9,[9]REKAP!$B$9:$E$200,4,0),"")</f>
        <v>470500</v>
      </c>
      <c r="AA9" s="15">
        <f>IFERROR(VLOOKUP($C9,[9]REKAP!$B$9:$G$200,6,0),"")</f>
        <v>20444.450359025126</v>
      </c>
      <c r="AB9" s="15">
        <f>IFERROR(VLOOKUP($C9,[10]REKAP!$B$9:$D$200,3,0),"")</f>
        <v>4</v>
      </c>
      <c r="AC9" s="15">
        <f>IFERROR(VLOOKUP($C9,[10]REKAP!$B$9:$E$200,4,0),"")</f>
        <v>312000</v>
      </c>
      <c r="AD9" s="15">
        <f>IFERROR(VLOOKUP($C9,[10]REKAP!$B$9:$G$200,6,0),"")</f>
        <v>12037.490276233875</v>
      </c>
      <c r="AE9" s="15" t="str">
        <f>IFERROR(VLOOKUP($C9,[11]REKAP!$B$9:$D$199,3,0),"")</f>
        <v/>
      </c>
      <c r="AF9" s="15" t="str">
        <f>IFERROR(VLOOKUP($C9,[11]REKAP!$B$9:$E$199,4,0),"")</f>
        <v/>
      </c>
      <c r="AG9" s="15" t="str">
        <f>IFERROR(VLOOKUP($C9,[11]REKAP!$B$9:$G$199,6,0),"")</f>
        <v/>
      </c>
      <c r="AH9" s="15">
        <f>IFERROR(VLOOKUP($C9,[12]REKAP!$B$9:$D$200,3,0),"")</f>
        <v>9</v>
      </c>
      <c r="AI9" s="15">
        <f>IFERROR(VLOOKUP($C9,[12]REKAP!$B$9:$E$200,4,0),"")</f>
        <v>689158.55999999994</v>
      </c>
      <c r="AJ9" s="15">
        <f>IFERROR(VLOOKUP($C9,[12]REKAP!$B$9:$G$200,6,0),"")</f>
        <v>14242.913121526188</v>
      </c>
      <c r="AK9" s="15">
        <f>IFERROR(VLOOKUP($C9,[13]REKAP!$B$9:$D$200,3,0),"")</f>
        <v>0</v>
      </c>
      <c r="AL9" s="15">
        <f>IFERROR(VLOOKUP($C9,[13]REKAP!$B$9:$E$200,4,0),"")</f>
        <v>0</v>
      </c>
      <c r="AM9" s="15">
        <f>IFERROR(VLOOKUP($C9,[13]REKAP!$B$9:$G$200,6,0),"")</f>
        <v>0</v>
      </c>
      <c r="AN9" s="15">
        <f>IFERROR(VLOOKUP($C9,[14]REKAP!$B$9:$D$200,3,0),"")</f>
        <v>0</v>
      </c>
      <c r="AO9" s="15">
        <f>IFERROR(VLOOKUP($C9,[14]REKAP!$B$9:$E$200,4,0),"")</f>
        <v>0</v>
      </c>
      <c r="AP9" s="15">
        <f>IFERROR(VLOOKUP($C9,[14]REKAP!$B$9:$G$200,6,0),"")</f>
        <v>0</v>
      </c>
      <c r="AQ9" s="15">
        <f>IFERROR(VLOOKUP($C9,[15]REKAP!$B$9:$D$200,3,0),"")</f>
        <v>0</v>
      </c>
      <c r="AR9" s="15">
        <f>IFERROR(VLOOKUP($C9,[15]REKAP!$B$9:$E$200,4,0),"")</f>
        <v>0</v>
      </c>
      <c r="AS9" s="15">
        <f>IFERROR(VLOOKUP($C9,[15]REKAP!$B$9:$G$200,6,0),"")</f>
        <v>0</v>
      </c>
      <c r="AT9" s="15">
        <f>IFERROR(VLOOKUP($C9,[16]REKAP!$B$9:$D$200,3,0),"")</f>
        <v>0</v>
      </c>
      <c r="AU9" s="15">
        <f>IFERROR(VLOOKUP($C9,[16]REKAP!$B$9:$E$200,4,0),"")</f>
        <v>0</v>
      </c>
      <c r="AV9" s="15">
        <f>IFERROR(VLOOKUP($C9,[16]REKAP!$B$9:$G$200,6,0),"")</f>
        <v>0</v>
      </c>
      <c r="AW9" s="15">
        <f>IFERROR(VLOOKUP($C9,[17]REKAP!$B$9:$D$200,3,0),"")</f>
        <v>0</v>
      </c>
      <c r="AX9" s="15">
        <f>IFERROR(VLOOKUP($C9,[17]REKAP!$B$9:$E$200,4,0),"")</f>
        <v>0</v>
      </c>
      <c r="AY9" s="15">
        <f>IFERROR(VLOOKUP($C9,[17]REKAP!$B$9:$G$200,6,0),"")</f>
        <v>0</v>
      </c>
      <c r="AZ9" s="15">
        <f>IFERROR(VLOOKUP($C9,[18]REKAP!$B$9:$D$200,3,0),"")</f>
        <v>0</v>
      </c>
      <c r="BA9" s="15">
        <f>IFERROR(VLOOKUP($C9,[18]REKAP!$B$9:$E$200,4,0),"")</f>
        <v>0</v>
      </c>
      <c r="BB9" s="15">
        <f>IFERROR(VLOOKUP($C9,[18]REKAP!$B$9:$G$200,6,0),"")</f>
        <v>0</v>
      </c>
      <c r="BC9" s="15">
        <f>IFERROR(VLOOKUP($C9,[19]REKAP!$B$9:$D$200,3,0),"")</f>
        <v>0</v>
      </c>
      <c r="BD9" s="15">
        <f>IFERROR(VLOOKUP($C9,[19]REKAP!$B$9:$E$200,4,0),"")</f>
        <v>0</v>
      </c>
      <c r="BE9" s="15">
        <f>IFERROR(VLOOKUP($C9,[19]REKAP!$B$9:$G$200,6,0),"")</f>
        <v>0</v>
      </c>
      <c r="BF9" s="15">
        <f>IFERROR(VLOOKUP($C9,[20]REKAP!$B$9:$D$200,3,0),"")</f>
        <v>0</v>
      </c>
      <c r="BG9" s="15">
        <f>IFERROR(VLOOKUP($C9,[20]REKAP!$B$9:$E$200,4,0),"")</f>
        <v>0</v>
      </c>
      <c r="BH9" s="15">
        <f>IFERROR(VLOOKUP($C9,[20]REKAP!$B$9:$G$200,6,0),"")</f>
        <v>0</v>
      </c>
      <c r="BI9" s="15">
        <f>IFERROR(VLOOKUP($C9,[21]REKAP!$B$9:$D$200,3,0),"")</f>
        <v>0</v>
      </c>
      <c r="BJ9" s="15">
        <f>IFERROR(VLOOKUP($C9,[21]REKAP!$B$9:$E$200,4,0),"")</f>
        <v>0</v>
      </c>
      <c r="BK9" s="15">
        <f>IFERROR(VLOOKUP($C9,[21]REKAP!$B$9:$G$200,6,0),"")</f>
        <v>0</v>
      </c>
      <c r="BL9" s="15">
        <f>IFERROR(VLOOKUP($C9,[22]REKAP!$B$9:$D$200,3,0),"")</f>
        <v>0</v>
      </c>
      <c r="BM9" s="15">
        <f>IFERROR(VLOOKUP($C9,[22]REKAP!$B$9:$E$200,4,0),"")</f>
        <v>0</v>
      </c>
      <c r="BN9" s="15">
        <f>IFERROR(VLOOKUP($C9,[22]REKAP!$B$9:$G$200,6,0),"")</f>
        <v>0</v>
      </c>
      <c r="BO9" s="15">
        <f>IFERROR(VLOOKUP($C9,[23]REKAP!$B$9:$D$200,3,0),"")</f>
        <v>0</v>
      </c>
      <c r="BP9" s="15">
        <f>IFERROR(VLOOKUP($C9,[23]REKAP!$B$9:$E$200,4,0),"")</f>
        <v>0</v>
      </c>
      <c r="BQ9" s="15">
        <f>IFERROR(VLOOKUP($C9,[23]REKAP!$B$9:$G$200,6,0),"")</f>
        <v>0</v>
      </c>
      <c r="BR9" s="15">
        <f>IFERROR(VLOOKUP($C9,[24]REKAP!$B$9:$D$200,3,0),"")</f>
        <v>0</v>
      </c>
      <c r="BS9" s="15">
        <f>IFERROR(VLOOKUP($C9,[24]REKAP!$B$9:$E$200,4,0),"")</f>
        <v>0</v>
      </c>
      <c r="BT9" s="15">
        <f>IFERROR(VLOOKUP($C9,[24]REKAP!$B$9:$G$200,6,0),"")</f>
        <v>0</v>
      </c>
      <c r="BU9" s="15">
        <f>IFERROR(VLOOKUP($C9,[25]REKAP!$B$9:$D$200,3,0),"")</f>
        <v>0</v>
      </c>
      <c r="BV9" s="15">
        <f>IFERROR(VLOOKUP($C9,[25]REKAP!$B$9:$E$200,4,0),"")</f>
        <v>0</v>
      </c>
      <c r="BW9" s="15">
        <f>IFERROR(VLOOKUP($C9,[25]REKAP!$B$9:$G$200,6,0),"")</f>
        <v>0</v>
      </c>
      <c r="BX9" s="15">
        <f>IFERROR(VLOOKUP($C9,[26]REKAP!$B$9:$D$200,3,0),"")</f>
        <v>0</v>
      </c>
      <c r="BY9" s="15">
        <f>IFERROR(VLOOKUP($C9,[26]REKAP!$B$9:$E$200,4,0),"")</f>
        <v>0</v>
      </c>
      <c r="BZ9" s="15">
        <f>IFERROR(VLOOKUP($C9,[26]REKAP!$B$9:$G$200,6,0),"")</f>
        <v>0</v>
      </c>
      <c r="CA9" s="15">
        <f>IFERROR(VLOOKUP($C9,[27]REKAP!$B$9:$D$200,3,0),"")</f>
        <v>0</v>
      </c>
      <c r="CB9" s="15">
        <f>IFERROR(VLOOKUP($C9,[27]REKAP!$B$9:$E$200,4,0),"")</f>
        <v>0</v>
      </c>
      <c r="CC9" s="15">
        <f>IFERROR(VLOOKUP($C9,[27]REKAP!$B$9:$G$200,6,0),"")</f>
        <v>0</v>
      </c>
      <c r="CD9" s="15">
        <f>IFERROR(VLOOKUP($C9,[28]REKAP!$B$9:$D$200,3,0),"")</f>
        <v>0</v>
      </c>
      <c r="CE9" s="15">
        <f>IFERROR(VLOOKUP($C9,[28]REKAP!$B$9:$E$200,4,0),"")</f>
        <v>0</v>
      </c>
      <c r="CF9" s="15">
        <f>IFERROR(VLOOKUP($C9,[28]REKAP!$B$9:$G$200,6,0),"")</f>
        <v>0</v>
      </c>
      <c r="CG9" s="15">
        <f>IFERROR(VLOOKUP($C9,[29]REKAP!$B$9:$D$200,3,0),"")</f>
        <v>0</v>
      </c>
      <c r="CH9" s="15">
        <f>IFERROR(VLOOKUP($C9,[29]REKAP!$B$9:$E$200,4,0),"")</f>
        <v>0</v>
      </c>
      <c r="CI9" s="15">
        <f>IFERROR(VLOOKUP($C9,[29]REKAP!$B$9:$G$200,6,0),"")</f>
        <v>0</v>
      </c>
      <c r="CJ9" s="15">
        <f>IFERROR(VLOOKUP($C9,[30]REKAP!$B$9:$D$200,3,0),"")</f>
        <v>0</v>
      </c>
      <c r="CK9" s="15">
        <f>IFERROR(VLOOKUP($C9,[30]REKAP!$B$9:$E$200,4,0),"")</f>
        <v>0</v>
      </c>
      <c r="CL9" s="15">
        <f>IFERROR(VLOOKUP($C9,[30]REKAP!$B$9:$G$200,6,0),"")</f>
        <v>0</v>
      </c>
      <c r="CM9" s="15">
        <f>IFERROR(VLOOKUP($C9,[31]REKAP!$B$9:$D$200,3,0),"")</f>
        <v>0</v>
      </c>
      <c r="CN9" s="15">
        <f>IFERROR(VLOOKUP($C9,[31]REKAP!$B$9:$E$200,4,0),"")</f>
        <v>0</v>
      </c>
      <c r="CO9" s="15">
        <f>IFERROR(VLOOKUP($C9,[31]REKAP!$B$9:$G$200,6,0),"")</f>
        <v>0</v>
      </c>
      <c r="CP9" s="15">
        <f>IFERROR(VLOOKUP($C9,[32]REKAP!$B$9:$D$200,3,0),"")</f>
        <v>0</v>
      </c>
      <c r="CQ9" s="15">
        <f>IFERROR(VLOOKUP($C9,[32]REKAP!$B$9:$E$200,4,0),"")</f>
        <v>0</v>
      </c>
      <c r="CR9" s="15">
        <f>IFERROR(VLOOKUP($C9,[32]REKAP!$B$9:$G$200,6,0),"")</f>
        <v>0</v>
      </c>
      <c r="CS9" s="15">
        <f>IFERROR(VLOOKUP($C9,[33]REKAP!$B$9:$D$200,3,0),"")</f>
        <v>0</v>
      </c>
      <c r="CT9" s="15">
        <f>IFERROR(VLOOKUP($C9,[33]REKAP!$B$9:$E$200,4,0),"")</f>
        <v>0</v>
      </c>
      <c r="CU9" s="15">
        <f>IFERROR(VLOOKUP($C9,[33]REKAP!$B$9:$G$200,6,0),"")</f>
        <v>0</v>
      </c>
      <c r="CV9" s="15">
        <f>IFERROR(VLOOKUP($C9,[34]REKAP!$B$9:$D$200,3,0),"")</f>
        <v>0</v>
      </c>
      <c r="CW9" s="15">
        <f>IFERROR(VLOOKUP($C9,[34]REKAP!$B$9:$E$200,4,0),"")</f>
        <v>0</v>
      </c>
      <c r="CX9" s="15">
        <f>IFERROR(VLOOKUP($C9,[34]REKAP!$B$9:$G$200,6,0),"")</f>
        <v>0</v>
      </c>
    </row>
    <row r="10" spans="3:102" x14ac:dyDescent="0.25">
      <c r="C10" s="7" t="s">
        <v>10</v>
      </c>
      <c r="D10" s="5" t="str">
        <f>IFERROR(VLOOKUP(C10,DBASE!$C$7:$D$207,2,0),"")</f>
        <v>NABATI WAFER COKLAT 8GR</v>
      </c>
      <c r="E10" s="15">
        <f t="shared" ref="E10:H25" si="0">SUMIF($J$8:$BP$8,E$8,$J10:$BP10)</f>
        <v>13</v>
      </c>
      <c r="F10" s="15">
        <f t="shared" si="0"/>
        <v>1006015.28</v>
      </c>
      <c r="H10" s="15">
        <f t="shared" si="0"/>
        <v>33309.719947880003</v>
      </c>
      <c r="J10" s="15">
        <f>IFERROR(VLOOKUP($C10,[4]REKAP!$B$9:$D$200,3,0),"")</f>
        <v>0</v>
      </c>
      <c r="K10" s="15">
        <f>IFERROR(VLOOKUP($C10,[4]REKAP!$B$9:$E$200,4,0),"")</f>
        <v>0</v>
      </c>
      <c r="L10" s="15">
        <f>IFERROR(VLOOKUP($C10,[4]REKAP!$B$9:$G$200,6,0),"")</f>
        <v>0</v>
      </c>
      <c r="M10" s="15">
        <f>IFERROR(VLOOKUP($C10,[5]REKAP!$B$9:$D$200,3,0),"")</f>
        <v>0</v>
      </c>
      <c r="N10" s="15">
        <f>IFERROR(VLOOKUP($C10,[5]REKAP!$B$9:$E$200,4,0),"")</f>
        <v>0</v>
      </c>
      <c r="O10" s="15">
        <f>IFERROR(VLOOKUP($C10,[5]REKAP!$B$9:$G$200,6,0),"")</f>
        <v>0</v>
      </c>
      <c r="P10" s="15">
        <f>IFERROR(VLOOKUP($C10,[6]REKAP!$B$9:$D$200,3,0),"")</f>
        <v>0</v>
      </c>
      <c r="Q10" s="15">
        <f>IFERROR(VLOOKUP($C10,[6]REKAP!$B$9:$E$200,4,0),"")</f>
        <v>0</v>
      </c>
      <c r="R10" s="15">
        <f>IFERROR(VLOOKUP($C10,[6]REKAP!$B$9:$G$200,6,0),"")</f>
        <v>0</v>
      </c>
      <c r="S10" s="15">
        <f>IFERROR(VLOOKUP($C10,[7]REKAP!$B$9:$D$200,3,0),"")</f>
        <v>3</v>
      </c>
      <c r="T10" s="15">
        <f>IFERROR(VLOOKUP($C10,[7]REKAP!$B$9:$E$200,4,0),"")</f>
        <v>232800</v>
      </c>
      <c r="U10" s="15">
        <f>IFERROR(VLOOKUP($C10,[7]REKAP!$B$9:$G$200,6,0),"")</f>
        <v>8415.5999099873879</v>
      </c>
      <c r="V10" s="15">
        <f>IFERROR(VLOOKUP($C10,[8]REKAP!$B$9:$D$200,3,0),"")</f>
        <v>2</v>
      </c>
      <c r="W10" s="15">
        <f>IFERROR(VLOOKUP($C10,[8]REKAP!$B$9:$E$200,4,0),"")</f>
        <v>157000</v>
      </c>
      <c r="X10" s="15">
        <f>IFERROR(VLOOKUP($C10,[8]REKAP!$B$9:$G$200,6,0),"")</f>
        <v>7410.399939991592</v>
      </c>
      <c r="Y10" s="15">
        <f>IFERROR(VLOOKUP($C10,[9]REKAP!$B$9:$D$200,3,0),"")</f>
        <v>0</v>
      </c>
      <c r="Z10" s="15">
        <f>IFERROR(VLOOKUP($C10,[9]REKAP!$B$9:$E$200,4,0),"")</f>
        <v>0</v>
      </c>
      <c r="AA10" s="15">
        <f>IFERROR(VLOOKUP($C10,[9]REKAP!$B$9:$G$200,6,0),"")</f>
        <v>0</v>
      </c>
      <c r="AB10" s="15">
        <f>IFERROR(VLOOKUP($C10,[10]REKAP!$B$9:$D$200,3,0),"")</f>
        <v>1</v>
      </c>
      <c r="AC10" s="15">
        <f>IFERROR(VLOOKUP($C10,[10]REKAP!$B$9:$E$200,4,0),"")</f>
        <v>78000</v>
      </c>
      <c r="AD10" s="15">
        <f>IFERROR(VLOOKUP($C10,[10]REKAP!$B$9:$G$200,6,0),"")</f>
        <v>3158.5550122376299</v>
      </c>
      <c r="AE10" s="15">
        <f>IFERROR(VLOOKUP($C10,[11]REKAP!$B$9:$D$199,3,0),"")</f>
        <v>1</v>
      </c>
      <c r="AF10" s="15">
        <f>IFERROR(VLOOKUP($C10,[11]REKAP!$B$9:$E$199,4,0),"")</f>
        <v>76824</v>
      </c>
      <c r="AG10" s="15">
        <f>IFERROR(VLOOKUP($C10,[11]REKAP!$B$9:$G$199,6,0),"")</f>
        <v>1982.5550122376299</v>
      </c>
      <c r="AH10" s="15">
        <f>IFERROR(VLOOKUP($C10,[12]REKAP!$B$9:$D$200,3,0),"")</f>
        <v>6</v>
      </c>
      <c r="AI10" s="15">
        <f>IFERROR(VLOOKUP($C10,[12]REKAP!$B$9:$E$200,4,0),"")</f>
        <v>461391.27999999997</v>
      </c>
      <c r="AJ10" s="15">
        <f>IFERROR(VLOOKUP($C10,[12]REKAP!$B$9:$G$200,6,0),"")</f>
        <v>12342.610073425763</v>
      </c>
      <c r="AK10" s="15">
        <f>IFERROR(VLOOKUP($C10,[13]REKAP!$B$9:$D$200,3,0),"")</f>
        <v>0</v>
      </c>
      <c r="AL10" s="15">
        <f>IFERROR(VLOOKUP($C10,[13]REKAP!$B$9:$E$200,4,0),"")</f>
        <v>0</v>
      </c>
      <c r="AM10" s="15">
        <f>IFERROR(VLOOKUP($C10,[13]REKAP!$B$9:$G$200,6,0),"")</f>
        <v>0</v>
      </c>
      <c r="AN10" s="15">
        <f>IFERROR(VLOOKUP($C10,[14]REKAP!$B$9:$D$200,3,0),"")</f>
        <v>0</v>
      </c>
      <c r="AO10" s="15">
        <f>IFERROR(VLOOKUP($C10,[14]REKAP!$B$9:$E$200,4,0),"")</f>
        <v>0</v>
      </c>
      <c r="AP10" s="15">
        <f>IFERROR(VLOOKUP($C10,[14]REKAP!$B$9:$G$200,6,0),"")</f>
        <v>0</v>
      </c>
      <c r="AQ10" s="15">
        <f>IFERROR(VLOOKUP($C10,[15]REKAP!$B$9:$D$200,3,0),"")</f>
        <v>0</v>
      </c>
      <c r="AR10" s="15">
        <f>IFERROR(VLOOKUP($C10,[15]REKAP!$B$9:$E$200,4,0),"")</f>
        <v>0</v>
      </c>
      <c r="AS10" s="15">
        <f>IFERROR(VLOOKUP($C10,[15]REKAP!$B$9:$G$200,6,0),"")</f>
        <v>0</v>
      </c>
      <c r="AT10" s="15">
        <f>IFERROR(VLOOKUP($C10,[16]REKAP!$B$9:$D$200,3,0),"")</f>
        <v>0</v>
      </c>
      <c r="AU10" s="15">
        <f>IFERROR(VLOOKUP($C10,[16]REKAP!$B$9:$E$200,4,0),"")</f>
        <v>0</v>
      </c>
      <c r="AV10" s="15">
        <f>IFERROR(VLOOKUP($C10,[16]REKAP!$B$9:$G$200,6,0),"")</f>
        <v>0</v>
      </c>
      <c r="AW10" s="15">
        <f>IFERROR(VLOOKUP($C10,[17]REKAP!$B$9:$D$200,3,0),"")</f>
        <v>0</v>
      </c>
      <c r="AX10" s="15">
        <f>IFERROR(VLOOKUP($C10,[17]REKAP!$B$9:$E$200,4,0),"")</f>
        <v>0</v>
      </c>
      <c r="AY10" s="15">
        <f>IFERROR(VLOOKUP($C10,[17]REKAP!$B$9:$G$200,6,0),"")</f>
        <v>0</v>
      </c>
      <c r="AZ10" s="15">
        <f>IFERROR(VLOOKUP($C10,[18]REKAP!$B$9:$D$200,3,0),"")</f>
        <v>0</v>
      </c>
      <c r="BA10" s="15">
        <f>IFERROR(VLOOKUP($C10,[18]REKAP!$B$9:$E$200,4,0),"")</f>
        <v>0</v>
      </c>
      <c r="BB10" s="15">
        <f>IFERROR(VLOOKUP($C10,[18]REKAP!$B$9:$G$200,6,0),"")</f>
        <v>0</v>
      </c>
      <c r="BC10" s="15">
        <f>IFERROR(VLOOKUP($C10,[19]REKAP!$B$9:$D$200,3,0),"")</f>
        <v>0</v>
      </c>
      <c r="BD10" s="15">
        <f>IFERROR(VLOOKUP($C10,[19]REKAP!$B$9:$E$200,4,0),"")</f>
        <v>0</v>
      </c>
      <c r="BE10" s="15">
        <f>IFERROR(VLOOKUP($C10,[19]REKAP!$B$9:$G$200,6,0),"")</f>
        <v>0</v>
      </c>
      <c r="BF10" s="15">
        <f>IFERROR(VLOOKUP($C10,[20]REKAP!$B$9:$D$200,3,0),"")</f>
        <v>0</v>
      </c>
      <c r="BG10" s="15">
        <f>IFERROR(VLOOKUP($C10,[20]REKAP!$B$9:$E$200,4,0),"")</f>
        <v>0</v>
      </c>
      <c r="BH10" s="15">
        <f>IFERROR(VLOOKUP($C10,[20]REKAP!$B$9:$G$200,6,0),"")</f>
        <v>0</v>
      </c>
      <c r="BI10" s="15">
        <f>IFERROR(VLOOKUP($C10,[21]REKAP!$B$9:$D$200,3,0),"")</f>
        <v>0</v>
      </c>
      <c r="BJ10" s="15">
        <f>IFERROR(VLOOKUP($C10,[21]REKAP!$B$9:$E$200,4,0),"")</f>
        <v>0</v>
      </c>
      <c r="BK10" s="15">
        <f>IFERROR(VLOOKUP($C10,[21]REKAP!$B$9:$G$200,6,0),"")</f>
        <v>0</v>
      </c>
      <c r="BL10" s="15">
        <f>IFERROR(VLOOKUP($C10,[22]REKAP!$B$9:$D$200,3,0),"")</f>
        <v>0</v>
      </c>
      <c r="BM10" s="15">
        <f>IFERROR(VLOOKUP($C10,[22]REKAP!$B$9:$E$200,4,0),"")</f>
        <v>0</v>
      </c>
      <c r="BN10" s="15">
        <f>IFERROR(VLOOKUP($C10,[22]REKAP!$B$9:$G$200,6,0),"")</f>
        <v>0</v>
      </c>
      <c r="BO10" s="15">
        <f>IFERROR(VLOOKUP($C10,[23]REKAP!$B$9:$D$200,3,0),"")</f>
        <v>0</v>
      </c>
      <c r="BP10" s="15">
        <f>IFERROR(VLOOKUP($C10,[23]REKAP!$B$9:$E$200,4,0),"")</f>
        <v>0</v>
      </c>
      <c r="BQ10" s="15">
        <f>IFERROR(VLOOKUP($C10,[23]REKAP!$B$9:$G$200,6,0),"")</f>
        <v>0</v>
      </c>
      <c r="BR10" s="15">
        <f>IFERROR(VLOOKUP($C10,[24]REKAP!$B$9:$D$200,3,0),"")</f>
        <v>0</v>
      </c>
      <c r="BS10" s="15">
        <f>IFERROR(VLOOKUP($C10,[24]REKAP!$B$9:$E$200,4,0),"")</f>
        <v>0</v>
      </c>
      <c r="BT10" s="15">
        <f>IFERROR(VLOOKUP($C10,[24]REKAP!$B$9:$G$200,6,0),"")</f>
        <v>0</v>
      </c>
      <c r="BU10" s="15">
        <f>IFERROR(VLOOKUP($C10,[25]REKAP!$B$9:$D$200,3,0),"")</f>
        <v>0</v>
      </c>
      <c r="BV10" s="15">
        <f>IFERROR(VLOOKUP($C10,[25]REKAP!$B$9:$E$200,4,0),"")</f>
        <v>0</v>
      </c>
      <c r="BW10" s="15">
        <f>IFERROR(VLOOKUP($C10,[25]REKAP!$B$9:$G$200,6,0),"")</f>
        <v>0</v>
      </c>
      <c r="BX10" s="15">
        <f>IFERROR(VLOOKUP($C10,[26]REKAP!$B$9:$D$200,3,0),"")</f>
        <v>0</v>
      </c>
      <c r="BY10" s="15">
        <f>IFERROR(VLOOKUP($C10,[26]REKAP!$B$9:$E$200,4,0),"")</f>
        <v>0</v>
      </c>
      <c r="BZ10" s="15">
        <f>IFERROR(VLOOKUP($C10,[26]REKAP!$B$9:$G$200,6,0),"")</f>
        <v>0</v>
      </c>
      <c r="CA10" s="15">
        <f>IFERROR(VLOOKUP($C10,[27]REKAP!$B$9:$D$200,3,0),"")</f>
        <v>0</v>
      </c>
      <c r="CB10" s="15">
        <f>IFERROR(VLOOKUP($C10,[27]REKAP!$B$9:$E$200,4,0),"")</f>
        <v>0</v>
      </c>
      <c r="CC10" s="15">
        <f>IFERROR(VLOOKUP($C10,[27]REKAP!$B$9:$G$200,6,0),"")</f>
        <v>0</v>
      </c>
      <c r="CD10" s="15">
        <f>IFERROR(VLOOKUP($C10,[28]REKAP!$B$9:$D$200,3,0),"")</f>
        <v>0</v>
      </c>
      <c r="CE10" s="15">
        <f>IFERROR(VLOOKUP($C10,[28]REKAP!$B$9:$E$200,4,0),"")</f>
        <v>0</v>
      </c>
      <c r="CF10" s="15">
        <f>IFERROR(VLOOKUP($C10,[28]REKAP!$B$9:$G$200,6,0),"")</f>
        <v>0</v>
      </c>
      <c r="CG10" s="15">
        <f>IFERROR(VLOOKUP($C10,[29]REKAP!$B$9:$D$200,3,0),"")</f>
        <v>0</v>
      </c>
      <c r="CH10" s="15">
        <f>IFERROR(VLOOKUP($C10,[29]REKAP!$B$9:$E$200,4,0),"")</f>
        <v>0</v>
      </c>
      <c r="CI10" s="15">
        <f>IFERROR(VLOOKUP($C10,[29]REKAP!$B$9:$G$200,6,0),"")</f>
        <v>0</v>
      </c>
      <c r="CJ10" s="15">
        <f>IFERROR(VLOOKUP($C10,[30]REKAP!$B$9:$D$200,3,0),"")</f>
        <v>0</v>
      </c>
      <c r="CK10" s="15">
        <f>IFERROR(VLOOKUP($C10,[30]REKAP!$B$9:$E$200,4,0),"")</f>
        <v>0</v>
      </c>
      <c r="CL10" s="15">
        <f>IFERROR(VLOOKUP($C10,[30]REKAP!$B$9:$G$200,6,0),"")</f>
        <v>0</v>
      </c>
      <c r="CM10" s="15">
        <f>IFERROR(VLOOKUP($C10,[31]REKAP!$B$9:$D$200,3,0),"")</f>
        <v>0</v>
      </c>
      <c r="CN10" s="15">
        <f>IFERROR(VLOOKUP($C10,[31]REKAP!$B$9:$E$200,4,0),"")</f>
        <v>0</v>
      </c>
      <c r="CO10" s="15">
        <f>IFERROR(VLOOKUP($C10,[31]REKAP!$B$9:$G$200,6,0),"")</f>
        <v>0</v>
      </c>
      <c r="CP10" s="15">
        <f>IFERROR(VLOOKUP($C10,[32]REKAP!$B$9:$D$200,3,0),"")</f>
        <v>0</v>
      </c>
      <c r="CQ10" s="15">
        <f>IFERROR(VLOOKUP($C10,[32]REKAP!$B$9:$E$200,4,0),"")</f>
        <v>0</v>
      </c>
      <c r="CR10" s="15">
        <f>IFERROR(VLOOKUP($C10,[32]REKAP!$B$9:$G$200,6,0),"")</f>
        <v>0</v>
      </c>
      <c r="CS10" s="15">
        <f>IFERROR(VLOOKUP($C10,[33]REKAP!$B$9:$D$200,3,0),"")</f>
        <v>0</v>
      </c>
      <c r="CT10" s="15">
        <f>IFERROR(VLOOKUP($C10,[33]REKAP!$B$9:$E$200,4,0),"")</f>
        <v>0</v>
      </c>
      <c r="CU10" s="15">
        <f>IFERROR(VLOOKUP($C10,[33]REKAP!$B$9:$G$200,6,0),"")</f>
        <v>0</v>
      </c>
      <c r="CV10" s="15">
        <f>IFERROR(VLOOKUP($C10,[34]REKAP!$B$9:$D$200,3,0),"")</f>
        <v>0</v>
      </c>
      <c r="CW10" s="15">
        <f>IFERROR(VLOOKUP($C10,[34]REKAP!$B$9:$E$200,4,0),"")</f>
        <v>0</v>
      </c>
      <c r="CX10" s="15">
        <f>IFERROR(VLOOKUP($C10,[34]REKAP!$B$9:$G$200,6,0),"")</f>
        <v>0</v>
      </c>
    </row>
    <row r="11" spans="3:102" x14ac:dyDescent="0.25">
      <c r="C11" s="7" t="s">
        <v>52</v>
      </c>
      <c r="D11" s="5" t="str">
        <f>IFERROR(VLOOKUP(C11,DBASE!$C$7:$D$207,2,0),"")</f>
        <v>NABATI WAFER KEJU 19GR</v>
      </c>
      <c r="E11" s="15">
        <f t="shared" si="0"/>
        <v>0</v>
      </c>
      <c r="F11" s="15">
        <f t="shared" si="0"/>
        <v>0</v>
      </c>
      <c r="H11" s="15">
        <f t="shared" si="0"/>
        <v>0</v>
      </c>
      <c r="J11" s="15">
        <f>IFERROR(VLOOKUP($C11,[4]REKAP!$B$9:$D$200,3,0),"")</f>
        <v>0</v>
      </c>
      <c r="K11" s="15">
        <f>IFERROR(VLOOKUP($C11,[4]REKAP!$B$9:$E$200,4,0),"")</f>
        <v>0</v>
      </c>
      <c r="L11" s="15">
        <f>IFERROR(VLOOKUP($C11,[4]REKAP!$B$9:$G$200,6,0),"")</f>
        <v>0</v>
      </c>
      <c r="M11" s="15" t="str">
        <f>IFERROR(VLOOKUP($C11,[5]REKAP!$B$9:$D$200,3,0),"")</f>
        <v/>
      </c>
      <c r="N11" s="15" t="str">
        <f>IFERROR(VLOOKUP($C11,[5]REKAP!$B$9:$E$200,4,0),"")</f>
        <v/>
      </c>
      <c r="O11" s="15" t="str">
        <f>IFERROR(VLOOKUP($C11,[5]REKAP!$B$9:$G$200,6,0),"")</f>
        <v/>
      </c>
      <c r="P11" s="15" t="str">
        <f>IFERROR(VLOOKUP($C11,[6]REKAP!$B$9:$D$200,3,0),"")</f>
        <v/>
      </c>
      <c r="Q11" s="15" t="str">
        <f>IFERROR(VLOOKUP($C11,[6]REKAP!$B$9:$E$200,4,0),"")</f>
        <v/>
      </c>
      <c r="R11" s="15" t="str">
        <f>IFERROR(VLOOKUP($C11,[6]REKAP!$B$9:$G$200,6,0),"")</f>
        <v/>
      </c>
      <c r="S11" s="15">
        <f>IFERROR(VLOOKUP($C11,[7]REKAP!$B$9:$D$200,3,0),"")</f>
        <v>0</v>
      </c>
      <c r="T11" s="15">
        <f>IFERROR(VLOOKUP($C11,[7]REKAP!$B$9:$E$200,4,0),"")</f>
        <v>0</v>
      </c>
      <c r="U11" s="15">
        <f>IFERROR(VLOOKUP($C11,[7]REKAP!$B$9:$G$200,6,0),"")</f>
        <v>0</v>
      </c>
      <c r="V11" s="15">
        <f>IFERROR(VLOOKUP($C11,[8]REKAP!$B$9:$D$200,3,0),"")</f>
        <v>0</v>
      </c>
      <c r="W11" s="15">
        <f>IFERROR(VLOOKUP($C11,[8]REKAP!$B$9:$E$200,4,0),"")</f>
        <v>0</v>
      </c>
      <c r="X11" s="15">
        <f>IFERROR(VLOOKUP($C11,[8]REKAP!$B$9:$G$200,6,0),"")</f>
        <v>0</v>
      </c>
      <c r="Y11" s="15">
        <f>IFERROR(VLOOKUP($C11,[9]REKAP!$B$9:$D$200,3,0),"")</f>
        <v>0</v>
      </c>
      <c r="Z11" s="15">
        <f>IFERROR(VLOOKUP($C11,[9]REKAP!$B$9:$E$200,4,0),"")</f>
        <v>0</v>
      </c>
      <c r="AA11" s="15">
        <f>IFERROR(VLOOKUP($C11,[9]REKAP!$B$9:$G$200,6,0),"")</f>
        <v>0</v>
      </c>
      <c r="AB11" s="15">
        <f>IFERROR(VLOOKUP($C11,[10]REKAP!$B$9:$D$200,3,0),"")</f>
        <v>0</v>
      </c>
      <c r="AC11" s="15">
        <f>IFERROR(VLOOKUP($C11,[10]REKAP!$B$9:$E$200,4,0),"")</f>
        <v>0</v>
      </c>
      <c r="AD11" s="15">
        <f>IFERROR(VLOOKUP($C11,[10]REKAP!$B$9:$G$200,6,0),"")</f>
        <v>0</v>
      </c>
      <c r="AE11" s="15">
        <f>IFERROR(VLOOKUP($C11,[11]REKAP!$B$9:$D$199,3,0),"")</f>
        <v>0</v>
      </c>
      <c r="AF11" s="15">
        <f>IFERROR(VLOOKUP($C11,[11]REKAP!$B$9:$E$199,4,0),"")</f>
        <v>0</v>
      </c>
      <c r="AG11" s="15">
        <f>IFERROR(VLOOKUP($C11,[11]REKAP!$B$9:$G$199,6,0),"")</f>
        <v>0</v>
      </c>
      <c r="AH11" s="15">
        <f>IFERROR(VLOOKUP($C11,[12]REKAP!$B$9:$D$200,3,0),"")</f>
        <v>0</v>
      </c>
      <c r="AI11" s="15">
        <f>IFERROR(VLOOKUP($C11,[12]REKAP!$B$9:$E$200,4,0),"")</f>
        <v>0</v>
      </c>
      <c r="AJ11" s="15">
        <f>IFERROR(VLOOKUP($C11,[12]REKAP!$B$9:$G$200,6,0),"")</f>
        <v>0</v>
      </c>
      <c r="AK11" s="15">
        <f>IFERROR(VLOOKUP($C11,[13]REKAP!$B$9:$D$200,3,0),"")</f>
        <v>0</v>
      </c>
      <c r="AL11" s="15">
        <f>IFERROR(VLOOKUP($C11,[13]REKAP!$B$9:$E$200,4,0),"")</f>
        <v>0</v>
      </c>
      <c r="AM11" s="15">
        <f>IFERROR(VLOOKUP($C11,[13]REKAP!$B$9:$G$200,6,0),"")</f>
        <v>0</v>
      </c>
      <c r="AN11" s="15">
        <f>IFERROR(VLOOKUP($C11,[14]REKAP!$B$9:$D$200,3,0),"")</f>
        <v>0</v>
      </c>
      <c r="AO11" s="15">
        <f>IFERROR(VLOOKUP($C11,[14]REKAP!$B$9:$E$200,4,0),"")</f>
        <v>0</v>
      </c>
      <c r="AP11" s="15">
        <f>IFERROR(VLOOKUP($C11,[14]REKAP!$B$9:$G$200,6,0),"")</f>
        <v>0</v>
      </c>
      <c r="AQ11" s="15">
        <f>IFERROR(VLOOKUP($C11,[15]REKAP!$B$9:$D$200,3,0),"")</f>
        <v>0</v>
      </c>
      <c r="AR11" s="15">
        <f>IFERROR(VLOOKUP($C11,[15]REKAP!$B$9:$E$200,4,0),"")</f>
        <v>0</v>
      </c>
      <c r="AS11" s="15">
        <f>IFERROR(VLOOKUP($C11,[15]REKAP!$B$9:$G$200,6,0),"")</f>
        <v>0</v>
      </c>
      <c r="AT11" s="15">
        <f>IFERROR(VLOOKUP($C11,[16]REKAP!$B$9:$D$200,3,0),"")</f>
        <v>0</v>
      </c>
      <c r="AU11" s="15">
        <f>IFERROR(VLOOKUP($C11,[16]REKAP!$B$9:$E$200,4,0),"")</f>
        <v>0</v>
      </c>
      <c r="AV11" s="15">
        <f>IFERROR(VLOOKUP($C11,[16]REKAP!$B$9:$G$200,6,0),"")</f>
        <v>0</v>
      </c>
      <c r="AW11" s="15">
        <f>IFERROR(VLOOKUP($C11,[17]REKAP!$B$9:$D$200,3,0),"")</f>
        <v>0</v>
      </c>
      <c r="AX11" s="15">
        <f>IFERROR(VLOOKUP($C11,[17]REKAP!$B$9:$E$200,4,0),"")</f>
        <v>0</v>
      </c>
      <c r="AY11" s="15">
        <f>IFERROR(VLOOKUP($C11,[17]REKAP!$B$9:$G$200,6,0),"")</f>
        <v>0</v>
      </c>
      <c r="AZ11" s="15" t="str">
        <f>IFERROR(VLOOKUP($C11,[18]REKAP!$B$9:$D$200,3,0),"")</f>
        <v/>
      </c>
      <c r="BA11" s="15" t="str">
        <f>IFERROR(VLOOKUP($C11,[18]REKAP!$B$9:$E$200,4,0),"")</f>
        <v/>
      </c>
      <c r="BB11" s="15" t="str">
        <f>IFERROR(VLOOKUP($C11,[18]REKAP!$B$9:$G$200,6,0),"")</f>
        <v/>
      </c>
      <c r="BC11" s="15" t="str">
        <f>IFERROR(VLOOKUP($C11,[19]REKAP!$B$9:$D$200,3,0),"")</f>
        <v/>
      </c>
      <c r="BD11" s="15" t="str">
        <f>IFERROR(VLOOKUP($C11,[19]REKAP!$B$9:$E$200,4,0),"")</f>
        <v/>
      </c>
      <c r="BE11" s="15" t="str">
        <f>IFERROR(VLOOKUP($C11,[19]REKAP!$B$9:$G$200,6,0),"")</f>
        <v/>
      </c>
      <c r="BF11" s="15" t="str">
        <f>IFERROR(VLOOKUP($C11,[20]REKAP!$B$9:$D$200,3,0),"")</f>
        <v/>
      </c>
      <c r="BG11" s="15" t="str">
        <f>IFERROR(VLOOKUP($C11,[20]REKAP!$B$9:$E$200,4,0),"")</f>
        <v/>
      </c>
      <c r="BH11" s="15" t="str">
        <f>IFERROR(VLOOKUP($C11,[20]REKAP!$B$9:$G$200,6,0),"")</f>
        <v/>
      </c>
      <c r="BI11" s="15" t="str">
        <f>IFERROR(VLOOKUP($C11,[21]REKAP!$B$9:$D$200,3,0),"")</f>
        <v/>
      </c>
      <c r="BJ11" s="15" t="str">
        <f>IFERROR(VLOOKUP($C11,[21]REKAP!$B$9:$E$200,4,0),"")</f>
        <v/>
      </c>
      <c r="BK11" s="15" t="str">
        <f>IFERROR(VLOOKUP($C11,[21]REKAP!$B$9:$G$200,6,0),"")</f>
        <v/>
      </c>
      <c r="BL11" s="15" t="str">
        <f>IFERROR(VLOOKUP($C11,[22]REKAP!$B$9:$D$200,3,0),"")</f>
        <v/>
      </c>
      <c r="BM11" s="15" t="str">
        <f>IFERROR(VLOOKUP($C11,[22]REKAP!$B$9:$E$200,4,0),"")</f>
        <v/>
      </c>
      <c r="BN11" s="15" t="str">
        <f>IFERROR(VLOOKUP($C11,[22]REKAP!$B$9:$G$200,6,0),"")</f>
        <v/>
      </c>
      <c r="BO11" s="15" t="str">
        <f>IFERROR(VLOOKUP($C11,[23]REKAP!$B$9:$D$200,3,0),"")</f>
        <v/>
      </c>
      <c r="BP11" s="15" t="str">
        <f>IFERROR(VLOOKUP($C11,[23]REKAP!$B$9:$E$200,4,0),"")</f>
        <v/>
      </c>
      <c r="BQ11" s="15" t="str">
        <f>IFERROR(VLOOKUP($C11,[23]REKAP!$B$9:$G$200,6,0),"")</f>
        <v/>
      </c>
      <c r="BR11" s="15" t="str">
        <f>IFERROR(VLOOKUP($C11,[24]REKAP!$B$9:$D$200,3,0),"")</f>
        <v/>
      </c>
      <c r="BS11" s="15" t="str">
        <f>IFERROR(VLOOKUP($C11,[24]REKAP!$B$9:$E$200,4,0),"")</f>
        <v/>
      </c>
      <c r="BT11" s="15" t="str">
        <f>IFERROR(VLOOKUP($C11,[24]REKAP!$B$9:$G$200,6,0),"")</f>
        <v/>
      </c>
      <c r="BU11" s="15" t="str">
        <f>IFERROR(VLOOKUP($C11,[25]REKAP!$B$9:$D$200,3,0),"")</f>
        <v/>
      </c>
      <c r="BV11" s="15" t="str">
        <f>IFERROR(VLOOKUP($C11,[25]REKAP!$B$9:$E$200,4,0),"")</f>
        <v/>
      </c>
      <c r="BW11" s="15" t="str">
        <f>IFERROR(VLOOKUP($C11,[25]REKAP!$B$9:$G$200,6,0),"")</f>
        <v/>
      </c>
      <c r="BX11" s="15" t="str">
        <f>IFERROR(VLOOKUP($C11,[26]REKAP!$B$9:$D$200,3,0),"")</f>
        <v/>
      </c>
      <c r="BY11" s="15" t="str">
        <f>IFERROR(VLOOKUP($C11,[26]REKAP!$B$9:$E$200,4,0),"")</f>
        <v/>
      </c>
      <c r="BZ11" s="15" t="str">
        <f>IFERROR(VLOOKUP($C11,[26]REKAP!$B$9:$G$200,6,0),"")</f>
        <v/>
      </c>
      <c r="CA11" s="15" t="str">
        <f>IFERROR(VLOOKUP($C11,[27]REKAP!$B$9:$D$200,3,0),"")</f>
        <v/>
      </c>
      <c r="CB11" s="15" t="str">
        <f>IFERROR(VLOOKUP($C11,[27]REKAP!$B$9:$E$200,4,0),"")</f>
        <v/>
      </c>
      <c r="CC11" s="15" t="str">
        <f>IFERROR(VLOOKUP($C11,[27]REKAP!$B$9:$G$200,6,0),"")</f>
        <v/>
      </c>
      <c r="CD11" s="15" t="str">
        <f>IFERROR(VLOOKUP($C11,[28]REKAP!$B$9:$D$200,3,0),"")</f>
        <v/>
      </c>
      <c r="CE11" s="15" t="str">
        <f>IFERROR(VLOOKUP($C11,[28]REKAP!$B$9:$E$200,4,0),"")</f>
        <v/>
      </c>
      <c r="CF11" s="15" t="str">
        <f>IFERROR(VLOOKUP($C11,[28]REKAP!$B$9:$G$200,6,0),"")</f>
        <v/>
      </c>
      <c r="CG11" s="15" t="str">
        <f>IFERROR(VLOOKUP($C11,[29]REKAP!$B$9:$D$200,3,0),"")</f>
        <v/>
      </c>
      <c r="CH11" s="15" t="str">
        <f>IFERROR(VLOOKUP($C11,[29]REKAP!$B$9:$E$200,4,0),"")</f>
        <v/>
      </c>
      <c r="CI11" s="15" t="str">
        <f>IFERROR(VLOOKUP($C11,[29]REKAP!$B$9:$G$200,6,0),"")</f>
        <v/>
      </c>
      <c r="CJ11" s="15" t="str">
        <f>IFERROR(VLOOKUP($C11,[30]REKAP!$B$9:$D$200,3,0),"")</f>
        <v/>
      </c>
      <c r="CK11" s="15" t="str">
        <f>IFERROR(VLOOKUP($C11,[30]REKAP!$B$9:$E$200,4,0),"")</f>
        <v/>
      </c>
      <c r="CL11" s="15" t="str">
        <f>IFERROR(VLOOKUP($C11,[30]REKAP!$B$9:$G$200,6,0),"")</f>
        <v/>
      </c>
      <c r="CM11" s="15" t="str">
        <f>IFERROR(VLOOKUP($C11,[31]REKAP!$B$9:$D$200,3,0),"")</f>
        <v/>
      </c>
      <c r="CN11" s="15" t="str">
        <f>IFERROR(VLOOKUP($C11,[31]REKAP!$B$9:$E$200,4,0),"")</f>
        <v/>
      </c>
      <c r="CO11" s="15" t="str">
        <f>IFERROR(VLOOKUP($C11,[31]REKAP!$B$9:$G$200,6,0),"")</f>
        <v/>
      </c>
      <c r="CP11" s="15" t="str">
        <f>IFERROR(VLOOKUP($C11,[32]REKAP!$B$9:$D$200,3,0),"")</f>
        <v/>
      </c>
      <c r="CQ11" s="15" t="str">
        <f>IFERROR(VLOOKUP($C11,[32]REKAP!$B$9:$E$200,4,0),"")</f>
        <v/>
      </c>
      <c r="CR11" s="15" t="str">
        <f>IFERROR(VLOOKUP($C11,[32]REKAP!$B$9:$G$200,6,0),"")</f>
        <v/>
      </c>
      <c r="CS11" s="15" t="str">
        <f>IFERROR(VLOOKUP($C11,[33]REKAP!$B$9:$D$200,3,0),"")</f>
        <v/>
      </c>
      <c r="CT11" s="15" t="str">
        <f>IFERROR(VLOOKUP($C11,[33]REKAP!$B$9:$E$200,4,0),"")</f>
        <v/>
      </c>
      <c r="CU11" s="15" t="str">
        <f>IFERROR(VLOOKUP($C11,[33]REKAP!$B$9:$G$200,6,0),"")</f>
        <v/>
      </c>
      <c r="CV11" s="15" t="str">
        <f>IFERROR(VLOOKUP($C11,[34]REKAP!$B$9:$D$200,3,0),"")</f>
        <v/>
      </c>
      <c r="CW11" s="15" t="str">
        <f>IFERROR(VLOOKUP($C11,[34]REKAP!$B$9:$E$200,4,0),"")</f>
        <v/>
      </c>
      <c r="CX11" s="15" t="str">
        <f>IFERROR(VLOOKUP($C11,[34]REKAP!$B$9:$G$200,6,0),"")</f>
        <v/>
      </c>
    </row>
    <row r="12" spans="3:102" x14ac:dyDescent="0.25">
      <c r="C12" s="7" t="s">
        <v>53</v>
      </c>
      <c r="D12" s="5" t="str">
        <f>IFERROR(VLOOKUP(C12,DBASE!$C$7:$D$207,2,0),"")</f>
        <v>NABATI WAFER COKLAT 19GR</v>
      </c>
      <c r="E12" s="15">
        <f t="shared" si="0"/>
        <v>1</v>
      </c>
      <c r="F12" s="15">
        <f t="shared" si="0"/>
        <v>90650</v>
      </c>
      <c r="H12" s="15">
        <f t="shared" si="0"/>
        <v>4301.5501142857102</v>
      </c>
      <c r="J12" s="15">
        <f>IFERROR(VLOOKUP($C12,[4]REKAP!$B$9:$D$200,3,0),"")</f>
        <v>0</v>
      </c>
      <c r="K12" s="15">
        <f>IFERROR(VLOOKUP($C12,[4]REKAP!$B$9:$E$200,4,0),"")</f>
        <v>0</v>
      </c>
      <c r="L12" s="15">
        <f>IFERROR(VLOOKUP($C12,[4]REKAP!$B$9:$G$200,6,0),"")</f>
        <v>0</v>
      </c>
      <c r="M12" s="15" t="str">
        <f>IFERROR(VLOOKUP($C12,[5]REKAP!$B$9:$D$200,3,0),"")</f>
        <v/>
      </c>
      <c r="N12" s="15" t="str">
        <f>IFERROR(VLOOKUP($C12,[5]REKAP!$B$9:$E$200,4,0),"")</f>
        <v/>
      </c>
      <c r="O12" s="15" t="str">
        <f>IFERROR(VLOOKUP($C12,[5]REKAP!$B$9:$G$200,6,0),"")</f>
        <v/>
      </c>
      <c r="P12" s="15" t="str">
        <f>IFERROR(VLOOKUP($C12,[6]REKAP!$B$9:$D$200,3,0),"")</f>
        <v/>
      </c>
      <c r="Q12" s="15" t="str">
        <f>IFERROR(VLOOKUP($C12,[6]REKAP!$B$9:$E$200,4,0),"")</f>
        <v/>
      </c>
      <c r="R12" s="15" t="str">
        <f>IFERROR(VLOOKUP($C12,[6]REKAP!$B$9:$G$200,6,0),"")</f>
        <v/>
      </c>
      <c r="S12" s="15">
        <f>IFERROR(VLOOKUP($C12,[7]REKAP!$B$9:$D$200,3,0),"")</f>
        <v>0</v>
      </c>
      <c r="T12" s="15">
        <f>IFERROR(VLOOKUP($C12,[7]REKAP!$B$9:$E$200,4,0),"")</f>
        <v>0</v>
      </c>
      <c r="U12" s="15">
        <f>IFERROR(VLOOKUP($C12,[7]REKAP!$B$9:$G$200,6,0),"")</f>
        <v>0</v>
      </c>
      <c r="V12" s="15">
        <f>IFERROR(VLOOKUP($C12,[8]REKAP!$B$9:$D$200,3,0),"")</f>
        <v>0</v>
      </c>
      <c r="W12" s="15">
        <f>IFERROR(VLOOKUP($C12,[8]REKAP!$B$9:$E$200,4,0),"")</f>
        <v>0</v>
      </c>
      <c r="X12" s="15">
        <f>IFERROR(VLOOKUP($C12,[8]REKAP!$B$9:$G$200,6,0),"")</f>
        <v>0</v>
      </c>
      <c r="Y12" s="15">
        <f>IFERROR(VLOOKUP($C12,[9]REKAP!$B$9:$D$200,3,0),"")</f>
        <v>0</v>
      </c>
      <c r="Z12" s="15">
        <f>IFERROR(VLOOKUP($C12,[9]REKAP!$B$9:$E$200,4,0),"")</f>
        <v>0</v>
      </c>
      <c r="AA12" s="15">
        <f>IFERROR(VLOOKUP($C12,[9]REKAP!$B$9:$G$200,6,0),"")</f>
        <v>0</v>
      </c>
      <c r="AB12" s="15">
        <f>IFERROR(VLOOKUP($C12,[10]REKAP!$B$9:$D$200,3,0),"")</f>
        <v>0</v>
      </c>
      <c r="AC12" s="15">
        <f>IFERROR(VLOOKUP($C12,[10]REKAP!$B$9:$E$200,4,0),"")</f>
        <v>0</v>
      </c>
      <c r="AD12" s="15">
        <f>IFERROR(VLOOKUP($C12,[10]REKAP!$B$9:$G$200,6,0),"")</f>
        <v>0</v>
      </c>
      <c r="AE12" s="15">
        <f>IFERROR(VLOOKUP($C12,[11]REKAP!$B$9:$D$199,3,0),"")</f>
        <v>0</v>
      </c>
      <c r="AF12" s="15">
        <f>IFERROR(VLOOKUP($C12,[11]REKAP!$B$9:$E$199,4,0),"")</f>
        <v>0</v>
      </c>
      <c r="AG12" s="15">
        <f>IFERROR(VLOOKUP($C12,[11]REKAP!$B$9:$G$199,6,0),"")</f>
        <v>0</v>
      </c>
      <c r="AH12" s="15">
        <f>IFERROR(VLOOKUP($C12,[12]REKAP!$B$9:$D$200,3,0),"")</f>
        <v>1</v>
      </c>
      <c r="AI12" s="15">
        <f>IFERROR(VLOOKUP($C12,[12]REKAP!$B$9:$E$200,4,0),"")</f>
        <v>90650</v>
      </c>
      <c r="AJ12" s="15">
        <f>IFERROR(VLOOKUP($C12,[12]REKAP!$B$9:$G$200,6,0),"")</f>
        <v>4301.5501142857102</v>
      </c>
      <c r="AK12" s="15">
        <f>IFERROR(VLOOKUP($C12,[13]REKAP!$B$9:$D$200,3,0),"")</f>
        <v>0</v>
      </c>
      <c r="AL12" s="15">
        <f>IFERROR(VLOOKUP($C12,[13]REKAP!$B$9:$E$200,4,0),"")</f>
        <v>0</v>
      </c>
      <c r="AM12" s="15">
        <f>IFERROR(VLOOKUP($C12,[13]REKAP!$B$9:$G$200,6,0),"")</f>
        <v>0</v>
      </c>
      <c r="AN12" s="15">
        <f>IFERROR(VLOOKUP($C12,[14]REKAP!$B$9:$D$200,3,0),"")</f>
        <v>0</v>
      </c>
      <c r="AO12" s="15">
        <f>IFERROR(VLOOKUP($C12,[14]REKAP!$B$9:$E$200,4,0),"")</f>
        <v>0</v>
      </c>
      <c r="AP12" s="15">
        <f>IFERROR(VLOOKUP($C12,[14]REKAP!$B$9:$G$200,6,0),"")</f>
        <v>0</v>
      </c>
      <c r="AQ12" s="15">
        <f>IFERROR(VLOOKUP($C12,[15]REKAP!$B$9:$D$200,3,0),"")</f>
        <v>0</v>
      </c>
      <c r="AR12" s="15">
        <f>IFERROR(VLOOKUP($C12,[15]REKAP!$B$9:$E$200,4,0),"")</f>
        <v>0</v>
      </c>
      <c r="AS12" s="15">
        <f>IFERROR(VLOOKUP($C12,[15]REKAP!$B$9:$G$200,6,0),"")</f>
        <v>0</v>
      </c>
      <c r="AT12" s="15">
        <f>IFERROR(VLOOKUP($C12,[16]REKAP!$B$9:$D$200,3,0),"")</f>
        <v>0</v>
      </c>
      <c r="AU12" s="15">
        <f>IFERROR(VLOOKUP($C12,[16]REKAP!$B$9:$E$200,4,0),"")</f>
        <v>0</v>
      </c>
      <c r="AV12" s="15">
        <f>IFERROR(VLOOKUP($C12,[16]REKAP!$B$9:$G$200,6,0),"")</f>
        <v>0</v>
      </c>
      <c r="AW12" s="15">
        <f>IFERROR(VLOOKUP($C12,[17]REKAP!$B$9:$D$200,3,0),"")</f>
        <v>0</v>
      </c>
      <c r="AX12" s="15">
        <f>IFERROR(VLOOKUP($C12,[17]REKAP!$B$9:$E$200,4,0),"")</f>
        <v>0</v>
      </c>
      <c r="AY12" s="15">
        <f>IFERROR(VLOOKUP($C12,[17]REKAP!$B$9:$G$200,6,0),"")</f>
        <v>0</v>
      </c>
      <c r="AZ12" s="15" t="str">
        <f>IFERROR(VLOOKUP($C12,[18]REKAP!$B$9:$D$200,3,0),"")</f>
        <v/>
      </c>
      <c r="BA12" s="15" t="str">
        <f>IFERROR(VLOOKUP($C12,[18]REKAP!$B$9:$E$200,4,0),"")</f>
        <v/>
      </c>
      <c r="BB12" s="15" t="str">
        <f>IFERROR(VLOOKUP($C12,[18]REKAP!$B$9:$G$200,6,0),"")</f>
        <v/>
      </c>
      <c r="BC12" s="15" t="str">
        <f>IFERROR(VLOOKUP($C12,[19]REKAP!$B$9:$D$200,3,0),"")</f>
        <v/>
      </c>
      <c r="BD12" s="15" t="str">
        <f>IFERROR(VLOOKUP($C12,[19]REKAP!$B$9:$E$200,4,0),"")</f>
        <v/>
      </c>
      <c r="BE12" s="15" t="str">
        <f>IFERROR(VLOOKUP($C12,[19]REKAP!$B$9:$G$200,6,0),"")</f>
        <v/>
      </c>
      <c r="BF12" s="15" t="str">
        <f>IFERROR(VLOOKUP($C12,[20]REKAP!$B$9:$D$200,3,0),"")</f>
        <v/>
      </c>
      <c r="BG12" s="15" t="str">
        <f>IFERROR(VLOOKUP($C12,[20]REKAP!$B$9:$E$200,4,0),"")</f>
        <v/>
      </c>
      <c r="BH12" s="15" t="str">
        <f>IFERROR(VLOOKUP($C12,[20]REKAP!$B$9:$G$200,6,0),"")</f>
        <v/>
      </c>
      <c r="BI12" s="15" t="str">
        <f>IFERROR(VLOOKUP($C12,[21]REKAP!$B$9:$D$200,3,0),"")</f>
        <v/>
      </c>
      <c r="BJ12" s="15" t="str">
        <f>IFERROR(VLOOKUP($C12,[21]REKAP!$B$9:$E$200,4,0),"")</f>
        <v/>
      </c>
      <c r="BK12" s="15" t="str">
        <f>IFERROR(VLOOKUP($C12,[21]REKAP!$B$9:$G$200,6,0),"")</f>
        <v/>
      </c>
      <c r="BL12" s="15" t="str">
        <f>IFERROR(VLOOKUP($C12,[22]REKAP!$B$9:$D$200,3,0),"")</f>
        <v/>
      </c>
      <c r="BM12" s="15" t="str">
        <f>IFERROR(VLOOKUP($C12,[22]REKAP!$B$9:$E$200,4,0),"")</f>
        <v/>
      </c>
      <c r="BN12" s="15" t="str">
        <f>IFERROR(VLOOKUP($C12,[22]REKAP!$B$9:$G$200,6,0),"")</f>
        <v/>
      </c>
      <c r="BO12" s="15" t="str">
        <f>IFERROR(VLOOKUP($C12,[23]REKAP!$B$9:$D$200,3,0),"")</f>
        <v/>
      </c>
      <c r="BP12" s="15" t="str">
        <f>IFERROR(VLOOKUP($C12,[23]REKAP!$B$9:$E$200,4,0),"")</f>
        <v/>
      </c>
      <c r="BQ12" s="15" t="str">
        <f>IFERROR(VLOOKUP($C12,[23]REKAP!$B$9:$G$200,6,0),"")</f>
        <v/>
      </c>
      <c r="BR12" s="15" t="str">
        <f>IFERROR(VLOOKUP($C12,[24]REKAP!$B$9:$D$200,3,0),"")</f>
        <v/>
      </c>
      <c r="BS12" s="15" t="str">
        <f>IFERROR(VLOOKUP($C12,[24]REKAP!$B$9:$E$200,4,0),"")</f>
        <v/>
      </c>
      <c r="BT12" s="15" t="str">
        <f>IFERROR(VLOOKUP($C12,[24]REKAP!$B$9:$G$200,6,0),"")</f>
        <v/>
      </c>
      <c r="BU12" s="15" t="str">
        <f>IFERROR(VLOOKUP($C12,[25]REKAP!$B$9:$D$200,3,0),"")</f>
        <v/>
      </c>
      <c r="BV12" s="15" t="str">
        <f>IFERROR(VLOOKUP($C12,[25]REKAP!$B$9:$E$200,4,0),"")</f>
        <v/>
      </c>
      <c r="BW12" s="15" t="str">
        <f>IFERROR(VLOOKUP($C12,[25]REKAP!$B$9:$G$200,6,0),"")</f>
        <v/>
      </c>
      <c r="BX12" s="15" t="str">
        <f>IFERROR(VLOOKUP($C12,[26]REKAP!$B$9:$D$200,3,0),"")</f>
        <v/>
      </c>
      <c r="BY12" s="15" t="str">
        <f>IFERROR(VLOOKUP($C12,[26]REKAP!$B$9:$E$200,4,0),"")</f>
        <v/>
      </c>
      <c r="BZ12" s="15" t="str">
        <f>IFERROR(VLOOKUP($C12,[26]REKAP!$B$9:$G$200,6,0),"")</f>
        <v/>
      </c>
      <c r="CA12" s="15" t="str">
        <f>IFERROR(VLOOKUP($C12,[27]REKAP!$B$9:$D$200,3,0),"")</f>
        <v/>
      </c>
      <c r="CB12" s="15" t="str">
        <f>IFERROR(VLOOKUP($C12,[27]REKAP!$B$9:$E$200,4,0),"")</f>
        <v/>
      </c>
      <c r="CC12" s="15" t="str">
        <f>IFERROR(VLOOKUP($C12,[27]REKAP!$B$9:$G$200,6,0),"")</f>
        <v/>
      </c>
      <c r="CD12" s="15" t="str">
        <f>IFERROR(VLOOKUP($C12,[28]REKAP!$B$9:$D$200,3,0),"")</f>
        <v/>
      </c>
      <c r="CE12" s="15" t="str">
        <f>IFERROR(VLOOKUP($C12,[28]REKAP!$B$9:$E$200,4,0),"")</f>
        <v/>
      </c>
      <c r="CF12" s="15" t="str">
        <f>IFERROR(VLOOKUP($C12,[28]REKAP!$B$9:$G$200,6,0),"")</f>
        <v/>
      </c>
      <c r="CG12" s="15" t="str">
        <f>IFERROR(VLOOKUP($C12,[29]REKAP!$B$9:$D$200,3,0),"")</f>
        <v/>
      </c>
      <c r="CH12" s="15" t="str">
        <f>IFERROR(VLOOKUP($C12,[29]REKAP!$B$9:$E$200,4,0),"")</f>
        <v/>
      </c>
      <c r="CI12" s="15" t="str">
        <f>IFERROR(VLOOKUP($C12,[29]REKAP!$B$9:$G$200,6,0),"")</f>
        <v/>
      </c>
      <c r="CJ12" s="15" t="str">
        <f>IFERROR(VLOOKUP($C12,[30]REKAP!$B$9:$D$200,3,0),"")</f>
        <v/>
      </c>
      <c r="CK12" s="15" t="str">
        <f>IFERROR(VLOOKUP($C12,[30]REKAP!$B$9:$E$200,4,0),"")</f>
        <v/>
      </c>
      <c r="CL12" s="15" t="str">
        <f>IFERROR(VLOOKUP($C12,[30]REKAP!$B$9:$G$200,6,0),"")</f>
        <v/>
      </c>
      <c r="CM12" s="15" t="str">
        <f>IFERROR(VLOOKUP($C12,[31]REKAP!$B$9:$D$200,3,0),"")</f>
        <v/>
      </c>
      <c r="CN12" s="15" t="str">
        <f>IFERROR(VLOOKUP($C12,[31]REKAP!$B$9:$E$200,4,0),"")</f>
        <v/>
      </c>
      <c r="CO12" s="15" t="str">
        <f>IFERROR(VLOOKUP($C12,[31]REKAP!$B$9:$G$200,6,0),"")</f>
        <v/>
      </c>
      <c r="CP12" s="15" t="str">
        <f>IFERROR(VLOOKUP($C12,[32]REKAP!$B$9:$D$200,3,0),"")</f>
        <v/>
      </c>
      <c r="CQ12" s="15" t="str">
        <f>IFERROR(VLOOKUP($C12,[32]REKAP!$B$9:$E$200,4,0),"")</f>
        <v/>
      </c>
      <c r="CR12" s="15" t="str">
        <f>IFERROR(VLOOKUP($C12,[32]REKAP!$B$9:$G$200,6,0),"")</f>
        <v/>
      </c>
      <c r="CS12" s="15" t="str">
        <f>IFERROR(VLOOKUP($C12,[33]REKAP!$B$9:$D$200,3,0),"")</f>
        <v/>
      </c>
      <c r="CT12" s="15" t="str">
        <f>IFERROR(VLOOKUP($C12,[33]REKAP!$B$9:$E$200,4,0),"")</f>
        <v/>
      </c>
      <c r="CU12" s="15" t="str">
        <f>IFERROR(VLOOKUP($C12,[33]REKAP!$B$9:$G$200,6,0),"")</f>
        <v/>
      </c>
      <c r="CV12" s="15" t="str">
        <f>IFERROR(VLOOKUP($C12,[34]REKAP!$B$9:$D$200,3,0),"")</f>
        <v/>
      </c>
      <c r="CW12" s="15" t="str">
        <f>IFERROR(VLOOKUP($C12,[34]REKAP!$B$9:$E$200,4,0),"")</f>
        <v/>
      </c>
      <c r="CX12" s="15" t="str">
        <f>IFERROR(VLOOKUP($C12,[34]REKAP!$B$9:$G$200,6,0),"")</f>
        <v/>
      </c>
    </row>
    <row r="13" spans="3:102" x14ac:dyDescent="0.25">
      <c r="C13" s="7" t="s">
        <v>11</v>
      </c>
      <c r="D13" s="5" t="str">
        <f>IFERROR(VLOOKUP(C13,DBASE!$C$7:$D$207,2,0),"")</f>
        <v>NABATI WAFER KEJU 52GR</v>
      </c>
      <c r="E13" s="15">
        <f t="shared" si="0"/>
        <v>79</v>
      </c>
      <c r="F13" s="15">
        <f t="shared" si="0"/>
        <v>7280227.04</v>
      </c>
      <c r="H13" s="15">
        <f t="shared" si="0"/>
        <v>186320.33273431624</v>
      </c>
      <c r="J13" s="15">
        <f>IFERROR(VLOOKUP($C13,[4]REKAP!$B$9:$D$200,3,0),"")</f>
        <v>0</v>
      </c>
      <c r="K13" s="15">
        <f>IFERROR(VLOOKUP($C13,[4]REKAP!$B$9:$E$200,4,0),"")</f>
        <v>0</v>
      </c>
      <c r="L13" s="15">
        <f>IFERROR(VLOOKUP($C13,[4]REKAP!$B$9:$G$200,6,0),"")</f>
        <v>0</v>
      </c>
      <c r="M13" s="15">
        <f>IFERROR(VLOOKUP($C13,[5]REKAP!$B$9:$D$200,3,0),"")</f>
        <v>0</v>
      </c>
      <c r="N13" s="15">
        <f>IFERROR(VLOOKUP($C13,[5]REKAP!$B$9:$E$200,4,0),"")</f>
        <v>0</v>
      </c>
      <c r="O13" s="15">
        <f>IFERROR(VLOOKUP($C13,[5]REKAP!$B$9:$G$200,6,0),"")</f>
        <v>0</v>
      </c>
      <c r="P13" s="15">
        <f>IFERROR(VLOOKUP($C13,[6]REKAP!$B$9:$D$200,3,0),"")</f>
        <v>0</v>
      </c>
      <c r="Q13" s="15">
        <f>IFERROR(VLOOKUP($C13,[6]REKAP!$B$9:$E$200,4,0),"")</f>
        <v>0</v>
      </c>
      <c r="R13" s="15">
        <f>IFERROR(VLOOKUP($C13,[6]REKAP!$B$9:$G$200,6,0),"")</f>
        <v>0</v>
      </c>
      <c r="S13" s="15">
        <f>IFERROR(VLOOKUP($C13,[7]REKAP!$B$9:$D$200,3,0),"")</f>
        <v>15</v>
      </c>
      <c r="T13" s="15">
        <f>IFERROR(VLOOKUP($C13,[7]REKAP!$B$9:$E$200,4,0),"")</f>
        <v>1389780</v>
      </c>
      <c r="U13" s="15">
        <f>IFERROR(VLOOKUP($C13,[7]REKAP!$B$9:$G$200,6,0),"")</f>
        <v>42641.125897562815</v>
      </c>
      <c r="V13" s="15">
        <f>IFERROR(VLOOKUP($C13,[8]REKAP!$B$9:$D$200,3,0),"")</f>
        <v>9</v>
      </c>
      <c r="W13" s="15">
        <f>IFERROR(VLOOKUP($C13,[8]REKAP!$B$9:$E$200,4,0),"")</f>
        <v>831780</v>
      </c>
      <c r="X13" s="15">
        <f>IFERROR(VLOOKUP($C13,[8]REKAP!$B$9:$G$200,6,0),"")</f>
        <v>23496.675538537689</v>
      </c>
      <c r="Y13" s="15">
        <f>IFERROR(VLOOKUP($C13,[9]REKAP!$B$9:$D$200,3,0),"")</f>
        <v>0</v>
      </c>
      <c r="Z13" s="15">
        <f>IFERROR(VLOOKUP($C13,[9]REKAP!$B$9:$E$200,4,0),"")</f>
        <v>0</v>
      </c>
      <c r="AA13" s="15">
        <f>IFERROR(VLOOKUP($C13,[9]REKAP!$B$9:$G$200,6,0),"")</f>
        <v>0</v>
      </c>
      <c r="AB13" s="15">
        <f>IFERROR(VLOOKUP($C13,[10]REKAP!$B$9:$D$200,3,0),"")</f>
        <v>17</v>
      </c>
      <c r="AC13" s="15">
        <f>IFERROR(VLOOKUP($C13,[10]REKAP!$B$9:$E$200,4,0),"")</f>
        <v>1568800</v>
      </c>
      <c r="AD13" s="15">
        <f>IFERROR(VLOOKUP($C13,[10]REKAP!$B$9:$G$200,6,0),"")</f>
        <v>42359.33367399397</v>
      </c>
      <c r="AE13" s="15">
        <f>IFERROR(VLOOKUP($C13,[11]REKAP!$B$9:$D$199,3,0),"")</f>
        <v>12</v>
      </c>
      <c r="AF13" s="15">
        <f>IFERROR(VLOOKUP($C13,[11]REKAP!$B$9:$E$199,4,0),"")</f>
        <v>1106100</v>
      </c>
      <c r="AG13" s="15">
        <f>IFERROR(VLOOKUP($C13,[11]REKAP!$B$9:$G$199,6,0),"")</f>
        <v>28612.470828701626</v>
      </c>
      <c r="AH13" s="15">
        <f>IFERROR(VLOOKUP($C13,[12]REKAP!$B$9:$D$200,3,0),"")</f>
        <v>26</v>
      </c>
      <c r="AI13" s="15">
        <f>IFERROR(VLOOKUP($C13,[12]REKAP!$B$9:$E$200,4,0),"")</f>
        <v>2383767.04</v>
      </c>
      <c r="AJ13" s="15">
        <f>IFERROR(VLOOKUP($C13,[12]REKAP!$B$9:$G$200,6,0),"")</f>
        <v>49210.726795520124</v>
      </c>
      <c r="AK13" s="15">
        <f>IFERROR(VLOOKUP($C13,[13]REKAP!$B$9:$D$200,3,0),"")</f>
        <v>0</v>
      </c>
      <c r="AL13" s="15">
        <f>IFERROR(VLOOKUP($C13,[13]REKAP!$B$9:$E$200,4,0),"")</f>
        <v>0</v>
      </c>
      <c r="AM13" s="15">
        <f>IFERROR(VLOOKUP($C13,[13]REKAP!$B$9:$G$200,6,0),"")</f>
        <v>0</v>
      </c>
      <c r="AN13" s="15">
        <f>IFERROR(VLOOKUP($C13,[14]REKAP!$B$9:$D$200,3,0),"")</f>
        <v>0</v>
      </c>
      <c r="AO13" s="15">
        <f>IFERROR(VLOOKUP($C13,[14]REKAP!$B$9:$E$200,4,0),"")</f>
        <v>0</v>
      </c>
      <c r="AP13" s="15">
        <f>IFERROR(VLOOKUP($C13,[14]REKAP!$B$9:$G$200,6,0),"")</f>
        <v>0</v>
      </c>
      <c r="AQ13" s="15">
        <f>IFERROR(VLOOKUP($C13,[15]REKAP!$B$9:$D$200,3,0),"")</f>
        <v>0</v>
      </c>
      <c r="AR13" s="15">
        <f>IFERROR(VLOOKUP($C13,[15]REKAP!$B$9:$E$200,4,0),"")</f>
        <v>0</v>
      </c>
      <c r="AS13" s="15">
        <f>IFERROR(VLOOKUP($C13,[15]REKAP!$B$9:$G$200,6,0),"")</f>
        <v>0</v>
      </c>
      <c r="AT13" s="15">
        <f>IFERROR(VLOOKUP($C13,[16]REKAP!$B$9:$D$200,3,0),"")</f>
        <v>0</v>
      </c>
      <c r="AU13" s="15">
        <f>IFERROR(VLOOKUP($C13,[16]REKAP!$B$9:$E$200,4,0),"")</f>
        <v>0</v>
      </c>
      <c r="AV13" s="15">
        <f>IFERROR(VLOOKUP($C13,[16]REKAP!$B$9:$G$200,6,0),"")</f>
        <v>0</v>
      </c>
      <c r="AW13" s="15">
        <f>IFERROR(VLOOKUP($C13,[17]REKAP!$B$9:$D$200,3,0),"")</f>
        <v>0</v>
      </c>
      <c r="AX13" s="15">
        <f>IFERROR(VLOOKUP($C13,[17]REKAP!$B$9:$E$200,4,0),"")</f>
        <v>0</v>
      </c>
      <c r="AY13" s="15">
        <f>IFERROR(VLOOKUP($C13,[17]REKAP!$B$9:$G$200,6,0),"")</f>
        <v>0</v>
      </c>
      <c r="AZ13" s="15">
        <f>IFERROR(VLOOKUP($C13,[18]REKAP!$B$9:$D$200,3,0),"")</f>
        <v>0</v>
      </c>
      <c r="BA13" s="15">
        <f>IFERROR(VLOOKUP($C13,[18]REKAP!$B$9:$E$200,4,0),"")</f>
        <v>0</v>
      </c>
      <c r="BB13" s="15">
        <f>IFERROR(VLOOKUP($C13,[18]REKAP!$B$9:$G$200,6,0),"")</f>
        <v>0</v>
      </c>
      <c r="BC13" s="15">
        <f>IFERROR(VLOOKUP($C13,[19]REKAP!$B$9:$D$200,3,0),"")</f>
        <v>0</v>
      </c>
      <c r="BD13" s="15">
        <f>IFERROR(VLOOKUP($C13,[19]REKAP!$B$9:$E$200,4,0),"")</f>
        <v>0</v>
      </c>
      <c r="BE13" s="15">
        <f>IFERROR(VLOOKUP($C13,[19]REKAP!$B$9:$G$200,6,0),"")</f>
        <v>0</v>
      </c>
      <c r="BF13" s="15">
        <f>IFERROR(VLOOKUP($C13,[20]REKAP!$B$9:$D$200,3,0),"")</f>
        <v>0</v>
      </c>
      <c r="BG13" s="15">
        <f>IFERROR(VLOOKUP($C13,[20]REKAP!$B$9:$E$200,4,0),"")</f>
        <v>0</v>
      </c>
      <c r="BH13" s="15">
        <f>IFERROR(VLOOKUP($C13,[20]REKAP!$B$9:$G$200,6,0),"")</f>
        <v>0</v>
      </c>
      <c r="BI13" s="15">
        <f>IFERROR(VLOOKUP($C13,[21]REKAP!$B$9:$D$200,3,0),"")</f>
        <v>0</v>
      </c>
      <c r="BJ13" s="15">
        <f>IFERROR(VLOOKUP($C13,[21]REKAP!$B$9:$E$200,4,0),"")</f>
        <v>0</v>
      </c>
      <c r="BK13" s="15">
        <f>IFERROR(VLOOKUP($C13,[21]REKAP!$B$9:$G$200,6,0),"")</f>
        <v>0</v>
      </c>
      <c r="BL13" s="15">
        <f>IFERROR(VLOOKUP($C13,[22]REKAP!$B$9:$D$200,3,0),"")</f>
        <v>0</v>
      </c>
      <c r="BM13" s="15">
        <f>IFERROR(VLOOKUP($C13,[22]REKAP!$B$9:$E$200,4,0),"")</f>
        <v>0</v>
      </c>
      <c r="BN13" s="15">
        <f>IFERROR(VLOOKUP($C13,[22]REKAP!$B$9:$G$200,6,0),"")</f>
        <v>0</v>
      </c>
      <c r="BO13" s="15">
        <f>IFERROR(VLOOKUP($C13,[23]REKAP!$B$9:$D$200,3,0),"")</f>
        <v>0</v>
      </c>
      <c r="BP13" s="15">
        <f>IFERROR(VLOOKUP($C13,[23]REKAP!$B$9:$E$200,4,0),"")</f>
        <v>0</v>
      </c>
      <c r="BQ13" s="15">
        <f>IFERROR(VLOOKUP($C13,[23]REKAP!$B$9:$G$200,6,0),"")</f>
        <v>0</v>
      </c>
      <c r="BR13" s="15">
        <f>IFERROR(VLOOKUP($C13,[24]REKAP!$B$9:$D$200,3,0),"")</f>
        <v>0</v>
      </c>
      <c r="BS13" s="15">
        <f>IFERROR(VLOOKUP($C13,[24]REKAP!$B$9:$E$200,4,0),"")</f>
        <v>0</v>
      </c>
      <c r="BT13" s="15">
        <f>IFERROR(VLOOKUP($C13,[24]REKAP!$B$9:$G$200,6,0),"")</f>
        <v>0</v>
      </c>
      <c r="BU13" s="15">
        <f>IFERROR(VLOOKUP($C13,[25]REKAP!$B$9:$D$200,3,0),"")</f>
        <v>0</v>
      </c>
      <c r="BV13" s="15">
        <f>IFERROR(VLOOKUP($C13,[25]REKAP!$B$9:$E$200,4,0),"")</f>
        <v>0</v>
      </c>
      <c r="BW13" s="15">
        <f>IFERROR(VLOOKUP($C13,[25]REKAP!$B$9:$G$200,6,0),"")</f>
        <v>0</v>
      </c>
      <c r="BX13" s="15">
        <f>IFERROR(VLOOKUP($C13,[26]REKAP!$B$9:$D$200,3,0),"")</f>
        <v>0</v>
      </c>
      <c r="BY13" s="15">
        <f>IFERROR(VLOOKUP($C13,[26]REKAP!$B$9:$E$200,4,0),"")</f>
        <v>0</v>
      </c>
      <c r="BZ13" s="15">
        <f>IFERROR(VLOOKUP($C13,[26]REKAP!$B$9:$G$200,6,0),"")</f>
        <v>0</v>
      </c>
      <c r="CA13" s="15">
        <f>IFERROR(VLOOKUP($C13,[27]REKAP!$B$9:$D$200,3,0),"")</f>
        <v>0</v>
      </c>
      <c r="CB13" s="15">
        <f>IFERROR(VLOOKUP($C13,[27]REKAP!$B$9:$E$200,4,0),"")</f>
        <v>0</v>
      </c>
      <c r="CC13" s="15">
        <f>IFERROR(VLOOKUP($C13,[27]REKAP!$B$9:$G$200,6,0),"")</f>
        <v>0</v>
      </c>
      <c r="CD13" s="15">
        <f>IFERROR(VLOOKUP($C13,[28]REKAP!$B$9:$D$200,3,0),"")</f>
        <v>0</v>
      </c>
      <c r="CE13" s="15">
        <f>IFERROR(VLOOKUP($C13,[28]REKAP!$B$9:$E$200,4,0),"")</f>
        <v>0</v>
      </c>
      <c r="CF13" s="15">
        <f>IFERROR(VLOOKUP($C13,[28]REKAP!$B$9:$G$200,6,0),"")</f>
        <v>0</v>
      </c>
      <c r="CG13" s="15">
        <f>IFERROR(VLOOKUP($C13,[29]REKAP!$B$9:$D$200,3,0),"")</f>
        <v>0</v>
      </c>
      <c r="CH13" s="15">
        <f>IFERROR(VLOOKUP($C13,[29]REKAP!$B$9:$E$200,4,0),"")</f>
        <v>0</v>
      </c>
      <c r="CI13" s="15">
        <f>IFERROR(VLOOKUP($C13,[29]REKAP!$B$9:$G$200,6,0),"")</f>
        <v>0</v>
      </c>
      <c r="CJ13" s="15">
        <f>IFERROR(VLOOKUP($C13,[30]REKAP!$B$9:$D$200,3,0),"")</f>
        <v>0</v>
      </c>
      <c r="CK13" s="15">
        <f>IFERROR(VLOOKUP($C13,[30]REKAP!$B$9:$E$200,4,0),"")</f>
        <v>0</v>
      </c>
      <c r="CL13" s="15">
        <f>IFERROR(VLOOKUP($C13,[30]REKAP!$B$9:$G$200,6,0),"")</f>
        <v>0</v>
      </c>
      <c r="CM13" s="15">
        <f>IFERROR(VLOOKUP($C13,[31]REKAP!$B$9:$D$200,3,0),"")</f>
        <v>0</v>
      </c>
      <c r="CN13" s="15">
        <f>IFERROR(VLOOKUP($C13,[31]REKAP!$B$9:$E$200,4,0),"")</f>
        <v>0</v>
      </c>
      <c r="CO13" s="15">
        <f>IFERROR(VLOOKUP($C13,[31]REKAP!$B$9:$G$200,6,0),"")</f>
        <v>0</v>
      </c>
      <c r="CP13" s="15">
        <f>IFERROR(VLOOKUP($C13,[32]REKAP!$B$9:$D$200,3,0),"")</f>
        <v>0</v>
      </c>
      <c r="CQ13" s="15">
        <f>IFERROR(VLOOKUP($C13,[32]REKAP!$B$9:$E$200,4,0),"")</f>
        <v>0</v>
      </c>
      <c r="CR13" s="15">
        <f>IFERROR(VLOOKUP($C13,[32]REKAP!$B$9:$G$200,6,0),"")</f>
        <v>0</v>
      </c>
      <c r="CS13" s="15">
        <f>IFERROR(VLOOKUP($C13,[33]REKAP!$B$9:$D$200,3,0),"")</f>
        <v>0</v>
      </c>
      <c r="CT13" s="15">
        <f>IFERROR(VLOOKUP($C13,[33]REKAP!$B$9:$E$200,4,0),"")</f>
        <v>0</v>
      </c>
      <c r="CU13" s="15">
        <f>IFERROR(VLOOKUP($C13,[33]REKAP!$B$9:$G$200,6,0),"")</f>
        <v>0</v>
      </c>
      <c r="CV13" s="15">
        <f>IFERROR(VLOOKUP($C13,[34]REKAP!$B$9:$D$200,3,0),"")</f>
        <v>0</v>
      </c>
      <c r="CW13" s="15">
        <f>IFERROR(VLOOKUP($C13,[34]REKAP!$B$9:$E$200,4,0),"")</f>
        <v>0</v>
      </c>
      <c r="CX13" s="15">
        <f>IFERROR(VLOOKUP($C13,[34]REKAP!$B$9:$G$200,6,0),"")</f>
        <v>0</v>
      </c>
    </row>
    <row r="14" spans="3:102" x14ac:dyDescent="0.25">
      <c r="C14" s="7" t="s">
        <v>12</v>
      </c>
      <c r="D14" s="5" t="str">
        <f>IFERROR(VLOOKUP(C14,DBASE!$C$7:$D$207,2,0),"")</f>
        <v>NABATI WAFER COKLAT 52GR</v>
      </c>
      <c r="E14" s="15">
        <f t="shared" si="0"/>
        <v>10</v>
      </c>
      <c r="F14" s="15">
        <f t="shared" si="0"/>
        <v>924400</v>
      </c>
      <c r="H14" s="15">
        <f t="shared" si="0"/>
        <v>24915.501142857102</v>
      </c>
      <c r="J14" s="15">
        <f>IFERROR(VLOOKUP($C14,[4]REKAP!$B$9:$D$200,3,0),"")</f>
        <v>0</v>
      </c>
      <c r="K14" s="15">
        <f>IFERROR(VLOOKUP($C14,[4]REKAP!$B$9:$E$200,4,0),"")</f>
        <v>0</v>
      </c>
      <c r="L14" s="15">
        <f>IFERROR(VLOOKUP($C14,[4]REKAP!$B$9:$G$200,6,0),"")</f>
        <v>0</v>
      </c>
      <c r="M14" s="15">
        <f>IFERROR(VLOOKUP($C14,[5]REKAP!$B$9:$D$200,3,0),"")</f>
        <v>0</v>
      </c>
      <c r="N14" s="15">
        <f>IFERROR(VLOOKUP($C14,[5]REKAP!$B$9:$E$200,4,0),"")</f>
        <v>0</v>
      </c>
      <c r="O14" s="15">
        <f>IFERROR(VLOOKUP($C14,[5]REKAP!$B$9:$G$200,6,0),"")</f>
        <v>0</v>
      </c>
      <c r="P14" s="15">
        <f>IFERROR(VLOOKUP($C14,[6]REKAP!$B$9:$D$200,3,0),"")</f>
        <v>0</v>
      </c>
      <c r="Q14" s="15">
        <f>IFERROR(VLOOKUP($C14,[6]REKAP!$B$9:$E$200,4,0),"")</f>
        <v>0</v>
      </c>
      <c r="R14" s="15">
        <f>IFERROR(VLOOKUP($C14,[6]REKAP!$B$9:$G$200,6,0),"")</f>
        <v>0</v>
      </c>
      <c r="S14" s="15">
        <f>IFERROR(VLOOKUP($C14,[7]REKAP!$B$9:$D$200,3,0),"")</f>
        <v>0</v>
      </c>
      <c r="T14" s="15">
        <f>IFERROR(VLOOKUP($C14,[7]REKAP!$B$9:$E$200,4,0),"")</f>
        <v>0</v>
      </c>
      <c r="U14" s="15">
        <f>IFERROR(VLOOKUP($C14,[7]REKAP!$B$9:$G$200,6,0),"")</f>
        <v>0</v>
      </c>
      <c r="V14" s="15">
        <f>IFERROR(VLOOKUP($C14,[8]REKAP!$B$9:$D$200,3,0),"")</f>
        <v>0</v>
      </c>
      <c r="W14" s="15">
        <f>IFERROR(VLOOKUP($C14,[8]REKAP!$B$9:$E$200,4,0),"")</f>
        <v>0</v>
      </c>
      <c r="X14" s="15">
        <f>IFERROR(VLOOKUP($C14,[8]REKAP!$B$9:$G$200,6,0),"")</f>
        <v>0</v>
      </c>
      <c r="Y14" s="15">
        <f>IFERROR(VLOOKUP($C14,[9]REKAP!$B$9:$D$200,3,0),"")</f>
        <v>0</v>
      </c>
      <c r="Z14" s="15">
        <f>IFERROR(VLOOKUP($C14,[9]REKAP!$B$9:$E$200,4,0),"")</f>
        <v>0</v>
      </c>
      <c r="AA14" s="15">
        <f>IFERROR(VLOOKUP($C14,[9]REKAP!$B$9:$G$200,6,0),"")</f>
        <v>0</v>
      </c>
      <c r="AB14" s="15">
        <f>IFERROR(VLOOKUP($C14,[10]REKAP!$B$9:$D$200,3,0),"")</f>
        <v>3</v>
      </c>
      <c r="AC14" s="15">
        <f>IFERROR(VLOOKUP($C14,[10]REKAP!$B$9:$E$200,4,0),"")</f>
        <v>276000</v>
      </c>
      <c r="AD14" s="15">
        <f>IFERROR(VLOOKUP($C14,[10]REKAP!$B$9:$G$200,6,0),"")</f>
        <v>6154.6503428571305</v>
      </c>
      <c r="AE14" s="15">
        <f>IFERROR(VLOOKUP($C14,[11]REKAP!$B$9:$D$199,3,0),"")</f>
        <v>7</v>
      </c>
      <c r="AF14" s="15">
        <f>IFERROR(VLOOKUP($C14,[11]REKAP!$B$9:$E$199,4,0),"")</f>
        <v>648400</v>
      </c>
      <c r="AG14" s="15">
        <f>IFERROR(VLOOKUP($C14,[11]REKAP!$B$9:$G$199,6,0),"")</f>
        <v>18760.850799999971</v>
      </c>
      <c r="AH14" s="15">
        <f>IFERROR(VLOOKUP($C14,[12]REKAP!$B$9:$D$200,3,0),"")</f>
        <v>0</v>
      </c>
      <c r="AI14" s="15">
        <f>IFERROR(VLOOKUP($C14,[12]REKAP!$B$9:$E$200,4,0),"")</f>
        <v>0</v>
      </c>
      <c r="AJ14" s="15">
        <f>IFERROR(VLOOKUP($C14,[12]REKAP!$B$9:$G$200,6,0),"")</f>
        <v>0</v>
      </c>
      <c r="AK14" s="15">
        <f>IFERROR(VLOOKUP($C14,[13]REKAP!$B$9:$D$200,3,0),"")</f>
        <v>0</v>
      </c>
      <c r="AL14" s="15">
        <f>IFERROR(VLOOKUP($C14,[13]REKAP!$B$9:$E$200,4,0),"")</f>
        <v>0</v>
      </c>
      <c r="AM14" s="15">
        <f>IFERROR(VLOOKUP($C14,[13]REKAP!$B$9:$G$200,6,0),"")</f>
        <v>0</v>
      </c>
      <c r="AN14" s="15">
        <f>IFERROR(VLOOKUP($C14,[14]REKAP!$B$9:$D$200,3,0),"")</f>
        <v>0</v>
      </c>
      <c r="AO14" s="15">
        <f>IFERROR(VLOOKUP($C14,[14]REKAP!$B$9:$E$200,4,0),"")</f>
        <v>0</v>
      </c>
      <c r="AP14" s="15">
        <f>IFERROR(VLOOKUP($C14,[14]REKAP!$B$9:$G$200,6,0),"")</f>
        <v>0</v>
      </c>
      <c r="AQ14" s="15">
        <f>IFERROR(VLOOKUP($C14,[15]REKAP!$B$9:$D$200,3,0),"")</f>
        <v>0</v>
      </c>
      <c r="AR14" s="15">
        <f>IFERROR(VLOOKUP($C14,[15]REKAP!$B$9:$E$200,4,0),"")</f>
        <v>0</v>
      </c>
      <c r="AS14" s="15">
        <f>IFERROR(VLOOKUP($C14,[15]REKAP!$B$9:$G$200,6,0),"")</f>
        <v>0</v>
      </c>
      <c r="AT14" s="15">
        <f>IFERROR(VLOOKUP($C14,[16]REKAP!$B$9:$D$200,3,0),"")</f>
        <v>0</v>
      </c>
      <c r="AU14" s="15">
        <f>IFERROR(VLOOKUP($C14,[16]REKAP!$B$9:$E$200,4,0),"")</f>
        <v>0</v>
      </c>
      <c r="AV14" s="15">
        <f>IFERROR(VLOOKUP($C14,[16]REKAP!$B$9:$G$200,6,0),"")</f>
        <v>0</v>
      </c>
      <c r="AW14" s="15">
        <f>IFERROR(VLOOKUP($C14,[17]REKAP!$B$9:$D$200,3,0),"")</f>
        <v>0</v>
      </c>
      <c r="AX14" s="15">
        <f>IFERROR(VLOOKUP($C14,[17]REKAP!$B$9:$E$200,4,0),"")</f>
        <v>0</v>
      </c>
      <c r="AY14" s="15">
        <f>IFERROR(VLOOKUP($C14,[17]REKAP!$B$9:$G$200,6,0),"")</f>
        <v>0</v>
      </c>
      <c r="AZ14" s="15">
        <f>IFERROR(VLOOKUP($C14,[18]REKAP!$B$9:$D$200,3,0),"")</f>
        <v>0</v>
      </c>
      <c r="BA14" s="15">
        <f>IFERROR(VLOOKUP($C14,[18]REKAP!$B$9:$E$200,4,0),"")</f>
        <v>0</v>
      </c>
      <c r="BB14" s="15">
        <f>IFERROR(VLOOKUP($C14,[18]REKAP!$B$9:$G$200,6,0),"")</f>
        <v>0</v>
      </c>
      <c r="BC14" s="15">
        <f>IFERROR(VLOOKUP($C14,[19]REKAP!$B$9:$D$200,3,0),"")</f>
        <v>0</v>
      </c>
      <c r="BD14" s="15">
        <f>IFERROR(VLOOKUP($C14,[19]REKAP!$B$9:$E$200,4,0),"")</f>
        <v>0</v>
      </c>
      <c r="BE14" s="15">
        <f>IFERROR(VLOOKUP($C14,[19]REKAP!$B$9:$G$200,6,0),"")</f>
        <v>0</v>
      </c>
      <c r="BF14" s="15">
        <f>IFERROR(VLOOKUP($C14,[20]REKAP!$B$9:$D$200,3,0),"")</f>
        <v>0</v>
      </c>
      <c r="BG14" s="15">
        <f>IFERROR(VLOOKUP($C14,[20]REKAP!$B$9:$E$200,4,0),"")</f>
        <v>0</v>
      </c>
      <c r="BH14" s="15">
        <f>IFERROR(VLOOKUP($C14,[20]REKAP!$B$9:$G$200,6,0),"")</f>
        <v>0</v>
      </c>
      <c r="BI14" s="15">
        <f>IFERROR(VLOOKUP($C14,[21]REKAP!$B$9:$D$200,3,0),"")</f>
        <v>0</v>
      </c>
      <c r="BJ14" s="15">
        <f>IFERROR(VLOOKUP($C14,[21]REKAP!$B$9:$E$200,4,0),"")</f>
        <v>0</v>
      </c>
      <c r="BK14" s="15">
        <f>IFERROR(VLOOKUP($C14,[21]REKAP!$B$9:$G$200,6,0),"")</f>
        <v>0</v>
      </c>
      <c r="BL14" s="15">
        <f>IFERROR(VLOOKUP($C14,[22]REKAP!$B$9:$D$200,3,0),"")</f>
        <v>0</v>
      </c>
      <c r="BM14" s="15">
        <f>IFERROR(VLOOKUP($C14,[22]REKAP!$B$9:$E$200,4,0),"")</f>
        <v>0</v>
      </c>
      <c r="BN14" s="15">
        <f>IFERROR(VLOOKUP($C14,[22]REKAP!$B$9:$G$200,6,0),"")</f>
        <v>0</v>
      </c>
      <c r="BO14" s="15">
        <f>IFERROR(VLOOKUP($C14,[23]REKAP!$B$9:$D$200,3,0),"")</f>
        <v>0</v>
      </c>
      <c r="BP14" s="15">
        <f>IFERROR(VLOOKUP($C14,[23]REKAP!$B$9:$E$200,4,0),"")</f>
        <v>0</v>
      </c>
      <c r="BQ14" s="15">
        <f>IFERROR(VLOOKUP($C14,[23]REKAP!$B$9:$G$200,6,0),"")</f>
        <v>0</v>
      </c>
      <c r="BR14" s="15">
        <f>IFERROR(VLOOKUP($C14,[24]REKAP!$B$9:$D$200,3,0),"")</f>
        <v>0</v>
      </c>
      <c r="BS14" s="15">
        <f>IFERROR(VLOOKUP($C14,[24]REKAP!$B$9:$E$200,4,0),"")</f>
        <v>0</v>
      </c>
      <c r="BT14" s="15">
        <f>IFERROR(VLOOKUP($C14,[24]REKAP!$B$9:$G$200,6,0),"")</f>
        <v>0</v>
      </c>
      <c r="BU14" s="15">
        <f>IFERROR(VLOOKUP($C14,[25]REKAP!$B$9:$D$200,3,0),"")</f>
        <v>0</v>
      </c>
      <c r="BV14" s="15">
        <f>IFERROR(VLOOKUP($C14,[25]REKAP!$B$9:$E$200,4,0),"")</f>
        <v>0</v>
      </c>
      <c r="BW14" s="15">
        <f>IFERROR(VLOOKUP($C14,[25]REKAP!$B$9:$G$200,6,0),"")</f>
        <v>0</v>
      </c>
      <c r="BX14" s="15">
        <f>IFERROR(VLOOKUP($C14,[26]REKAP!$B$9:$D$200,3,0),"")</f>
        <v>0</v>
      </c>
      <c r="BY14" s="15">
        <f>IFERROR(VLOOKUP($C14,[26]REKAP!$B$9:$E$200,4,0),"")</f>
        <v>0</v>
      </c>
      <c r="BZ14" s="15">
        <f>IFERROR(VLOOKUP($C14,[26]REKAP!$B$9:$G$200,6,0),"")</f>
        <v>0</v>
      </c>
      <c r="CA14" s="15">
        <f>IFERROR(VLOOKUP($C14,[27]REKAP!$B$9:$D$200,3,0),"")</f>
        <v>0</v>
      </c>
      <c r="CB14" s="15">
        <f>IFERROR(VLOOKUP($C14,[27]REKAP!$B$9:$E$200,4,0),"")</f>
        <v>0</v>
      </c>
      <c r="CC14" s="15">
        <f>IFERROR(VLOOKUP($C14,[27]REKAP!$B$9:$G$200,6,0),"")</f>
        <v>0</v>
      </c>
      <c r="CD14" s="15">
        <f>IFERROR(VLOOKUP($C14,[28]REKAP!$B$9:$D$200,3,0),"")</f>
        <v>0</v>
      </c>
      <c r="CE14" s="15">
        <f>IFERROR(VLOOKUP($C14,[28]REKAP!$B$9:$E$200,4,0),"")</f>
        <v>0</v>
      </c>
      <c r="CF14" s="15">
        <f>IFERROR(VLOOKUP($C14,[28]REKAP!$B$9:$G$200,6,0),"")</f>
        <v>0</v>
      </c>
      <c r="CG14" s="15">
        <f>IFERROR(VLOOKUP($C14,[29]REKAP!$B$9:$D$200,3,0),"")</f>
        <v>0</v>
      </c>
      <c r="CH14" s="15">
        <f>IFERROR(VLOOKUP($C14,[29]REKAP!$B$9:$E$200,4,0),"")</f>
        <v>0</v>
      </c>
      <c r="CI14" s="15">
        <f>IFERROR(VLOOKUP($C14,[29]REKAP!$B$9:$G$200,6,0),"")</f>
        <v>0</v>
      </c>
      <c r="CJ14" s="15">
        <f>IFERROR(VLOOKUP($C14,[30]REKAP!$B$9:$D$200,3,0),"")</f>
        <v>0</v>
      </c>
      <c r="CK14" s="15">
        <f>IFERROR(VLOOKUP($C14,[30]REKAP!$B$9:$E$200,4,0),"")</f>
        <v>0</v>
      </c>
      <c r="CL14" s="15">
        <f>IFERROR(VLOOKUP($C14,[30]REKAP!$B$9:$G$200,6,0),"")</f>
        <v>0</v>
      </c>
      <c r="CM14" s="15">
        <f>IFERROR(VLOOKUP($C14,[31]REKAP!$B$9:$D$200,3,0),"")</f>
        <v>0</v>
      </c>
      <c r="CN14" s="15">
        <f>IFERROR(VLOOKUP($C14,[31]REKAP!$B$9:$E$200,4,0),"")</f>
        <v>0</v>
      </c>
      <c r="CO14" s="15">
        <f>IFERROR(VLOOKUP($C14,[31]REKAP!$B$9:$G$200,6,0),"")</f>
        <v>0</v>
      </c>
      <c r="CP14" s="15">
        <f>IFERROR(VLOOKUP($C14,[32]REKAP!$B$9:$D$200,3,0),"")</f>
        <v>0</v>
      </c>
      <c r="CQ14" s="15">
        <f>IFERROR(VLOOKUP($C14,[32]REKAP!$B$9:$E$200,4,0),"")</f>
        <v>0</v>
      </c>
      <c r="CR14" s="15">
        <f>IFERROR(VLOOKUP($C14,[32]REKAP!$B$9:$G$200,6,0),"")</f>
        <v>0</v>
      </c>
      <c r="CS14" s="15">
        <f>IFERROR(VLOOKUP($C14,[33]REKAP!$B$9:$D$200,3,0),"")</f>
        <v>0</v>
      </c>
      <c r="CT14" s="15">
        <f>IFERROR(VLOOKUP($C14,[33]REKAP!$B$9:$E$200,4,0),"")</f>
        <v>0</v>
      </c>
      <c r="CU14" s="15">
        <f>IFERROR(VLOOKUP($C14,[33]REKAP!$B$9:$G$200,6,0),"")</f>
        <v>0</v>
      </c>
      <c r="CV14" s="15">
        <f>IFERROR(VLOOKUP($C14,[34]REKAP!$B$9:$D$200,3,0),"")</f>
        <v>0</v>
      </c>
      <c r="CW14" s="15">
        <f>IFERROR(VLOOKUP($C14,[34]REKAP!$B$9:$E$200,4,0),"")</f>
        <v>0</v>
      </c>
      <c r="CX14" s="15">
        <f>IFERROR(VLOOKUP($C14,[34]REKAP!$B$9:$G$200,6,0),"")</f>
        <v>0</v>
      </c>
    </row>
    <row r="15" spans="3:102" x14ac:dyDescent="0.25">
      <c r="C15" s="7" t="s">
        <v>84</v>
      </c>
      <c r="D15" s="5" t="str">
        <f>IFERROR(VLOOKUP(C15,DBASE!$C$7:$D$207,2,0),"")</f>
        <v>NABATI WAFER KEJU 145GR</v>
      </c>
      <c r="E15" s="15">
        <f t="shared" si="0"/>
        <v>2.5</v>
      </c>
      <c r="F15" s="15">
        <f t="shared" si="0"/>
        <v>240010</v>
      </c>
      <c r="H15" s="15">
        <f t="shared" si="0"/>
        <v>8792.142991702669</v>
      </c>
      <c r="J15" s="15" t="str">
        <f>IFERROR(VLOOKUP($C15,[4]REKAP!$B$9:$D$200,3,0),"")</f>
        <v/>
      </c>
      <c r="K15" s="15" t="str">
        <f>IFERROR(VLOOKUP($C15,[4]REKAP!$B$9:$E$200,4,0),"")</f>
        <v/>
      </c>
      <c r="L15" s="15" t="str">
        <f>IFERROR(VLOOKUP($C15,[4]REKAP!$B$9:$G$200,6,0),"")</f>
        <v/>
      </c>
      <c r="M15" s="15" t="str">
        <f>IFERROR(VLOOKUP($C15,[5]REKAP!$B$9:$D$200,3,0),"")</f>
        <v/>
      </c>
      <c r="N15" s="15" t="str">
        <f>IFERROR(VLOOKUP($C15,[5]REKAP!$B$9:$E$200,4,0),"")</f>
        <v/>
      </c>
      <c r="O15" s="15" t="str">
        <f>IFERROR(VLOOKUP($C15,[5]REKAP!$B$9:$G$200,6,0),"")</f>
        <v/>
      </c>
      <c r="P15" s="15" t="str">
        <f>IFERROR(VLOOKUP($C15,[6]REKAP!$B$9:$D$200,3,0),"")</f>
        <v/>
      </c>
      <c r="Q15" s="15" t="str">
        <f>IFERROR(VLOOKUP($C15,[6]REKAP!$B$9:$E$200,4,0),"")</f>
        <v/>
      </c>
      <c r="R15" s="15" t="str">
        <f>IFERROR(VLOOKUP($C15,[6]REKAP!$B$9:$G$200,6,0),"")</f>
        <v/>
      </c>
      <c r="S15" s="15">
        <f>IFERROR(VLOOKUP($C15,[7]REKAP!$B$9:$D$200,3,0),"")</f>
        <v>0</v>
      </c>
      <c r="T15" s="15">
        <f>IFERROR(VLOOKUP($C15,[7]REKAP!$B$9:$E$200,4,0),"")</f>
        <v>0</v>
      </c>
      <c r="U15" s="15">
        <f>IFERROR(VLOOKUP($C15,[7]REKAP!$B$9:$G$200,6,0),"")</f>
        <v>0</v>
      </c>
      <c r="V15" s="15">
        <f>IFERROR(VLOOKUP($C15,[8]REKAP!$B$9:$D$200,3,0),"")</f>
        <v>1</v>
      </c>
      <c r="W15" s="15">
        <f>IFERROR(VLOOKUP($C15,[8]REKAP!$B$9:$E$200,4,0),"")</f>
        <v>96500</v>
      </c>
      <c r="X15" s="15">
        <f>IFERROR(VLOOKUP($C15,[8]REKAP!$B$9:$G$200,6,0),"")</f>
        <v>3861.8252395209565</v>
      </c>
      <c r="Y15" s="15">
        <f>IFERROR(VLOOKUP($C15,[9]REKAP!$B$9:$D$200,3,0),"")</f>
        <v>0</v>
      </c>
      <c r="Z15" s="15">
        <f>IFERROR(VLOOKUP($C15,[9]REKAP!$B$9:$E$200,4,0),"")</f>
        <v>0</v>
      </c>
      <c r="AA15" s="15">
        <f>IFERROR(VLOOKUP($C15,[9]REKAP!$B$9:$G$200,6,0),"")</f>
        <v>0</v>
      </c>
      <c r="AB15" s="15">
        <f>IFERROR(VLOOKUP($C15,[10]REKAP!$B$9:$D$200,3,0),"")</f>
        <v>0</v>
      </c>
      <c r="AC15" s="15">
        <f>IFERROR(VLOOKUP($C15,[10]REKAP!$B$9:$E$200,4,0),"")</f>
        <v>0</v>
      </c>
      <c r="AD15" s="15">
        <f>IFERROR(VLOOKUP($C15,[10]REKAP!$B$9:$G$200,6,0),"")</f>
        <v>0</v>
      </c>
      <c r="AE15" s="15">
        <f>IFERROR(VLOOKUP($C15,[11]REKAP!$B$9:$D$199,3,0),"")</f>
        <v>1</v>
      </c>
      <c r="AF15" s="15">
        <f>IFERROR(VLOOKUP($C15,[11]REKAP!$B$9:$E$199,4,0),"")</f>
        <v>95000</v>
      </c>
      <c r="AG15" s="15">
        <f>IFERROR(VLOOKUP($C15,[11]REKAP!$B$9:$G$199,6,0),"")</f>
        <v>2613.5451681211416</v>
      </c>
      <c r="AH15" s="15">
        <f>IFERROR(VLOOKUP($C15,[12]REKAP!$B$9:$D$200,3,0),"")</f>
        <v>0.5</v>
      </c>
      <c r="AI15" s="15">
        <f>IFERROR(VLOOKUP($C15,[12]REKAP!$B$9:$E$200,4,0),"")</f>
        <v>48510</v>
      </c>
      <c r="AJ15" s="15">
        <f>IFERROR(VLOOKUP($C15,[12]REKAP!$B$9:$G$200,6,0),"")</f>
        <v>2316.7725840605708</v>
      </c>
      <c r="AK15" s="15" t="str">
        <f>IFERROR(VLOOKUP($C15,[13]REKAP!$B$9:$D$200,3,0),"")</f>
        <v/>
      </c>
      <c r="AL15" s="15" t="str">
        <f>IFERROR(VLOOKUP($C15,[13]REKAP!$B$9:$E$200,4,0),"")</f>
        <v/>
      </c>
      <c r="AM15" s="15" t="str">
        <f>IFERROR(VLOOKUP($C15,[13]REKAP!$B$9:$G$200,6,0),"")</f>
        <v/>
      </c>
      <c r="AN15" s="15" t="str">
        <f>IFERROR(VLOOKUP($C15,[14]REKAP!$B$9:$D$200,3,0),"")</f>
        <v/>
      </c>
      <c r="AO15" s="15" t="str">
        <f>IFERROR(VLOOKUP($C15,[14]REKAP!$B$9:$E$200,4,0),"")</f>
        <v/>
      </c>
      <c r="AP15" s="15" t="str">
        <f>IFERROR(VLOOKUP($C15,[14]REKAP!$B$9:$G$200,6,0),"")</f>
        <v/>
      </c>
      <c r="AQ15" s="15" t="str">
        <f>IFERROR(VLOOKUP($C15,[15]REKAP!$B$9:$D$200,3,0),"")</f>
        <v/>
      </c>
      <c r="AR15" s="15" t="str">
        <f>IFERROR(VLOOKUP($C15,[15]REKAP!$B$9:$E$200,4,0),"")</f>
        <v/>
      </c>
      <c r="AS15" s="15" t="str">
        <f>IFERROR(VLOOKUP($C15,[15]REKAP!$B$9:$G$200,6,0),"")</f>
        <v/>
      </c>
      <c r="AT15" s="15" t="str">
        <f>IFERROR(VLOOKUP($C15,[16]REKAP!$B$9:$D$200,3,0),"")</f>
        <v/>
      </c>
      <c r="AU15" s="15" t="str">
        <f>IFERROR(VLOOKUP($C15,[16]REKAP!$B$9:$E$200,4,0),"")</f>
        <v/>
      </c>
      <c r="AV15" s="15" t="str">
        <f>IFERROR(VLOOKUP($C15,[16]REKAP!$B$9:$G$200,6,0),"")</f>
        <v/>
      </c>
      <c r="AW15" s="15" t="str">
        <f>IFERROR(VLOOKUP($C15,[17]REKAP!$B$9:$D$200,3,0),"")</f>
        <v/>
      </c>
      <c r="AX15" s="15" t="str">
        <f>IFERROR(VLOOKUP($C15,[17]REKAP!$B$9:$E$200,4,0),"")</f>
        <v/>
      </c>
      <c r="AY15" s="15" t="str">
        <f>IFERROR(VLOOKUP($C15,[17]REKAP!$B$9:$G$200,6,0),"")</f>
        <v/>
      </c>
      <c r="AZ15" s="15" t="str">
        <f>IFERROR(VLOOKUP($C15,[18]REKAP!$B$9:$D$200,3,0),"")</f>
        <v/>
      </c>
      <c r="BA15" s="15" t="str">
        <f>IFERROR(VLOOKUP($C15,[18]REKAP!$B$9:$E$200,4,0),"")</f>
        <v/>
      </c>
      <c r="BB15" s="15" t="str">
        <f>IFERROR(VLOOKUP($C15,[18]REKAP!$B$9:$G$200,6,0),"")</f>
        <v/>
      </c>
      <c r="BC15" s="15" t="str">
        <f>IFERROR(VLOOKUP($C15,[19]REKAP!$B$9:$D$200,3,0),"")</f>
        <v/>
      </c>
      <c r="BD15" s="15" t="str">
        <f>IFERROR(VLOOKUP($C15,[19]REKAP!$B$9:$E$200,4,0),"")</f>
        <v/>
      </c>
      <c r="BE15" s="15" t="str">
        <f>IFERROR(VLOOKUP($C15,[19]REKAP!$B$9:$G$200,6,0),"")</f>
        <v/>
      </c>
      <c r="BF15" s="15" t="str">
        <f>IFERROR(VLOOKUP($C15,[20]REKAP!$B$9:$D$200,3,0),"")</f>
        <v/>
      </c>
      <c r="BG15" s="15" t="str">
        <f>IFERROR(VLOOKUP($C15,[20]REKAP!$B$9:$E$200,4,0),"")</f>
        <v/>
      </c>
      <c r="BH15" s="15" t="str">
        <f>IFERROR(VLOOKUP($C15,[20]REKAP!$B$9:$G$200,6,0),"")</f>
        <v/>
      </c>
      <c r="BI15" s="15" t="str">
        <f>IFERROR(VLOOKUP($C15,[21]REKAP!$B$9:$D$200,3,0),"")</f>
        <v/>
      </c>
      <c r="BJ15" s="15" t="str">
        <f>IFERROR(VLOOKUP($C15,[21]REKAP!$B$9:$E$200,4,0),"")</f>
        <v/>
      </c>
      <c r="BK15" s="15" t="str">
        <f>IFERROR(VLOOKUP($C15,[21]REKAP!$B$9:$G$200,6,0),"")</f>
        <v/>
      </c>
      <c r="BL15" s="15" t="str">
        <f>IFERROR(VLOOKUP($C15,[22]REKAP!$B$9:$D$200,3,0),"")</f>
        <v/>
      </c>
      <c r="BM15" s="15" t="str">
        <f>IFERROR(VLOOKUP($C15,[22]REKAP!$B$9:$E$200,4,0),"")</f>
        <v/>
      </c>
      <c r="BN15" s="15" t="str">
        <f>IFERROR(VLOOKUP($C15,[22]REKAP!$B$9:$G$200,6,0),"")</f>
        <v/>
      </c>
      <c r="BO15" s="15" t="str">
        <f>IFERROR(VLOOKUP($C15,[23]REKAP!$B$9:$D$200,3,0),"")</f>
        <v/>
      </c>
      <c r="BP15" s="15" t="str">
        <f>IFERROR(VLOOKUP($C15,[23]REKAP!$B$9:$E$200,4,0),"")</f>
        <v/>
      </c>
      <c r="BQ15" s="15" t="str">
        <f>IFERROR(VLOOKUP($C15,[23]REKAP!$B$9:$G$200,6,0),"")</f>
        <v/>
      </c>
      <c r="BR15" s="15" t="str">
        <f>IFERROR(VLOOKUP($C15,[24]REKAP!$B$9:$D$200,3,0),"")</f>
        <v/>
      </c>
      <c r="BS15" s="15" t="str">
        <f>IFERROR(VLOOKUP($C15,[24]REKAP!$B$9:$E$200,4,0),"")</f>
        <v/>
      </c>
      <c r="BT15" s="15" t="str">
        <f>IFERROR(VLOOKUP($C15,[24]REKAP!$B$9:$G$200,6,0),"")</f>
        <v/>
      </c>
      <c r="BU15" s="15" t="str">
        <f>IFERROR(VLOOKUP($C15,[25]REKAP!$B$9:$D$200,3,0),"")</f>
        <v/>
      </c>
      <c r="BV15" s="15" t="str">
        <f>IFERROR(VLOOKUP($C15,[25]REKAP!$B$9:$E$200,4,0),"")</f>
        <v/>
      </c>
      <c r="BW15" s="15" t="str">
        <f>IFERROR(VLOOKUP($C15,[25]REKAP!$B$9:$G$200,6,0),"")</f>
        <v/>
      </c>
      <c r="BX15" s="15" t="str">
        <f>IFERROR(VLOOKUP($C15,[26]REKAP!$B$9:$D$200,3,0),"")</f>
        <v/>
      </c>
      <c r="BY15" s="15" t="str">
        <f>IFERROR(VLOOKUP($C15,[26]REKAP!$B$9:$E$200,4,0),"")</f>
        <v/>
      </c>
      <c r="BZ15" s="15" t="str">
        <f>IFERROR(VLOOKUP($C15,[26]REKAP!$B$9:$G$200,6,0),"")</f>
        <v/>
      </c>
      <c r="CA15" s="15" t="str">
        <f>IFERROR(VLOOKUP($C15,[27]REKAP!$B$9:$D$200,3,0),"")</f>
        <v/>
      </c>
      <c r="CB15" s="15" t="str">
        <f>IFERROR(VLOOKUP($C15,[27]REKAP!$B$9:$E$200,4,0),"")</f>
        <v/>
      </c>
      <c r="CC15" s="15" t="str">
        <f>IFERROR(VLOOKUP($C15,[27]REKAP!$B$9:$G$200,6,0),"")</f>
        <v/>
      </c>
      <c r="CD15" s="15" t="str">
        <f>IFERROR(VLOOKUP($C15,[28]REKAP!$B$9:$D$200,3,0),"")</f>
        <v/>
      </c>
      <c r="CE15" s="15" t="str">
        <f>IFERROR(VLOOKUP($C15,[28]REKAP!$B$9:$E$200,4,0),"")</f>
        <v/>
      </c>
      <c r="CF15" s="15" t="str">
        <f>IFERROR(VLOOKUP($C15,[28]REKAP!$B$9:$G$200,6,0),"")</f>
        <v/>
      </c>
      <c r="CG15" s="15" t="str">
        <f>IFERROR(VLOOKUP($C15,[29]REKAP!$B$9:$D$200,3,0),"")</f>
        <v/>
      </c>
      <c r="CH15" s="15" t="str">
        <f>IFERROR(VLOOKUP($C15,[29]REKAP!$B$9:$E$200,4,0),"")</f>
        <v/>
      </c>
      <c r="CI15" s="15" t="str">
        <f>IFERROR(VLOOKUP($C15,[29]REKAP!$B$9:$G$200,6,0),"")</f>
        <v/>
      </c>
      <c r="CJ15" s="15" t="str">
        <f>IFERROR(VLOOKUP($C15,[30]REKAP!$B$9:$D$200,3,0),"")</f>
        <v/>
      </c>
      <c r="CK15" s="15" t="str">
        <f>IFERROR(VLOOKUP($C15,[30]REKAP!$B$9:$E$200,4,0),"")</f>
        <v/>
      </c>
      <c r="CL15" s="15" t="str">
        <f>IFERROR(VLOOKUP($C15,[30]REKAP!$B$9:$G$200,6,0),"")</f>
        <v/>
      </c>
      <c r="CM15" s="15" t="str">
        <f>IFERROR(VLOOKUP($C15,[31]REKAP!$B$9:$D$200,3,0),"")</f>
        <v/>
      </c>
      <c r="CN15" s="15" t="str">
        <f>IFERROR(VLOOKUP($C15,[31]REKAP!$B$9:$E$200,4,0),"")</f>
        <v/>
      </c>
      <c r="CO15" s="15" t="str">
        <f>IFERROR(VLOOKUP($C15,[31]REKAP!$B$9:$G$200,6,0),"")</f>
        <v/>
      </c>
      <c r="CP15" s="15" t="str">
        <f>IFERROR(VLOOKUP($C15,[32]REKAP!$B$9:$D$200,3,0),"")</f>
        <v/>
      </c>
      <c r="CQ15" s="15" t="str">
        <f>IFERROR(VLOOKUP($C15,[32]REKAP!$B$9:$E$200,4,0),"")</f>
        <v/>
      </c>
      <c r="CR15" s="15" t="str">
        <f>IFERROR(VLOOKUP($C15,[32]REKAP!$B$9:$G$200,6,0),"")</f>
        <v/>
      </c>
      <c r="CS15" s="15" t="str">
        <f>IFERROR(VLOOKUP($C15,[33]REKAP!$B$9:$D$200,3,0),"")</f>
        <v/>
      </c>
      <c r="CT15" s="15" t="str">
        <f>IFERROR(VLOOKUP($C15,[33]REKAP!$B$9:$E$200,4,0),"")</f>
        <v/>
      </c>
      <c r="CU15" s="15" t="str">
        <f>IFERROR(VLOOKUP($C15,[33]REKAP!$B$9:$G$200,6,0),"")</f>
        <v/>
      </c>
      <c r="CV15" s="15" t="str">
        <f>IFERROR(VLOOKUP($C15,[34]REKAP!$B$9:$D$200,3,0),"")</f>
        <v/>
      </c>
      <c r="CW15" s="15" t="str">
        <f>IFERROR(VLOOKUP($C15,[34]REKAP!$B$9:$E$200,4,0),"")</f>
        <v/>
      </c>
      <c r="CX15" s="15" t="str">
        <f>IFERROR(VLOOKUP($C15,[34]REKAP!$B$9:$G$200,6,0),"")</f>
        <v/>
      </c>
    </row>
    <row r="16" spans="3:102" x14ac:dyDescent="0.25">
      <c r="C16" s="7" t="s">
        <v>85</v>
      </c>
      <c r="D16" s="5" t="str">
        <f>IFERROR(VLOOKUP(C16,DBASE!$C$7:$D$207,2,0),"")</f>
        <v>NABATI WAFER COKLAT 145GR</v>
      </c>
      <c r="E16" s="15">
        <f t="shared" si="0"/>
        <v>2.5</v>
      </c>
      <c r="F16" s="15">
        <f t="shared" si="0"/>
        <v>240010</v>
      </c>
      <c r="H16" s="15">
        <f t="shared" si="0"/>
        <v>8414.5630988023913</v>
      </c>
      <c r="J16" s="15" t="str">
        <f>IFERROR(VLOOKUP($C16,[4]REKAP!$B$9:$D$200,3,0),"")</f>
        <v/>
      </c>
      <c r="K16" s="15" t="str">
        <f>IFERROR(VLOOKUP($C16,[4]REKAP!$B$9:$E$200,4,0),"")</f>
        <v/>
      </c>
      <c r="L16" s="15" t="str">
        <f>IFERROR(VLOOKUP($C16,[4]REKAP!$B$9:$G$200,6,0),"")</f>
        <v/>
      </c>
      <c r="M16" s="15" t="str">
        <f>IFERROR(VLOOKUP($C16,[5]REKAP!$B$9:$D$200,3,0),"")</f>
        <v/>
      </c>
      <c r="N16" s="15" t="str">
        <f>IFERROR(VLOOKUP($C16,[5]REKAP!$B$9:$E$200,4,0),"")</f>
        <v/>
      </c>
      <c r="O16" s="15" t="str">
        <f>IFERROR(VLOOKUP($C16,[5]REKAP!$B$9:$G$200,6,0),"")</f>
        <v/>
      </c>
      <c r="P16" s="15" t="str">
        <f>IFERROR(VLOOKUP($C16,[6]REKAP!$B$9:$D$200,3,0),"")</f>
        <v/>
      </c>
      <c r="Q16" s="15" t="str">
        <f>IFERROR(VLOOKUP($C16,[6]REKAP!$B$9:$E$200,4,0),"")</f>
        <v/>
      </c>
      <c r="R16" s="15" t="str">
        <f>IFERROR(VLOOKUP($C16,[6]REKAP!$B$9:$G$200,6,0),"")</f>
        <v/>
      </c>
      <c r="S16" s="15">
        <f>IFERROR(VLOOKUP($C16,[7]REKAP!$B$9:$D$200,3,0),"")</f>
        <v>0</v>
      </c>
      <c r="T16" s="15">
        <f>IFERROR(VLOOKUP($C16,[7]REKAP!$B$9:$E$200,4,0),"")</f>
        <v>0</v>
      </c>
      <c r="U16" s="15">
        <f>IFERROR(VLOOKUP($C16,[7]REKAP!$B$9:$G$200,6,0),"")</f>
        <v>0</v>
      </c>
      <c r="V16" s="15">
        <f>IFERROR(VLOOKUP($C16,[8]REKAP!$B$9:$D$200,3,0),"")</f>
        <v>1</v>
      </c>
      <c r="W16" s="15">
        <f>IFERROR(VLOOKUP($C16,[8]REKAP!$B$9:$E$200,4,0),"")</f>
        <v>96500</v>
      </c>
      <c r="X16" s="15">
        <f>IFERROR(VLOOKUP($C16,[8]REKAP!$B$9:$G$200,6,0),"")</f>
        <v>3861.8252395209565</v>
      </c>
      <c r="Y16" s="15">
        <f>IFERROR(VLOOKUP($C16,[9]REKAP!$B$9:$D$200,3,0),"")</f>
        <v>0</v>
      </c>
      <c r="Z16" s="15">
        <f>IFERROR(VLOOKUP($C16,[9]REKAP!$B$9:$E$200,4,0),"")</f>
        <v>0</v>
      </c>
      <c r="AA16" s="15">
        <f>IFERROR(VLOOKUP($C16,[9]REKAP!$B$9:$G$200,6,0),"")</f>
        <v>0</v>
      </c>
      <c r="AB16" s="15">
        <f>IFERROR(VLOOKUP($C16,[10]REKAP!$B$9:$D$200,3,0),"")</f>
        <v>0</v>
      </c>
      <c r="AC16" s="15">
        <f>IFERROR(VLOOKUP($C16,[10]REKAP!$B$9:$E$200,4,0),"")</f>
        <v>0</v>
      </c>
      <c r="AD16" s="15">
        <f>IFERROR(VLOOKUP($C16,[10]REKAP!$B$9:$G$200,6,0),"")</f>
        <v>0</v>
      </c>
      <c r="AE16" s="15">
        <f>IFERROR(VLOOKUP($C16,[11]REKAP!$B$9:$D$199,3,0),"")</f>
        <v>1</v>
      </c>
      <c r="AF16" s="15">
        <f>IFERROR(VLOOKUP($C16,[11]REKAP!$B$9:$E$199,4,0),"")</f>
        <v>95000</v>
      </c>
      <c r="AG16" s="15">
        <f>IFERROR(VLOOKUP($C16,[11]REKAP!$B$9:$G$199,6,0),"")</f>
        <v>2361.8252395209565</v>
      </c>
      <c r="AH16" s="15">
        <f>IFERROR(VLOOKUP($C16,[12]REKAP!$B$9:$D$200,3,0),"")</f>
        <v>0.5</v>
      </c>
      <c r="AI16" s="15">
        <f>IFERROR(VLOOKUP($C16,[12]REKAP!$B$9:$E$200,4,0),"")</f>
        <v>48510</v>
      </c>
      <c r="AJ16" s="15">
        <f>IFERROR(VLOOKUP($C16,[12]REKAP!$B$9:$G$200,6,0),"")</f>
        <v>2190.9126197604783</v>
      </c>
      <c r="AK16" s="15" t="str">
        <f>IFERROR(VLOOKUP($C16,[13]REKAP!$B$9:$D$200,3,0),"")</f>
        <v/>
      </c>
      <c r="AL16" s="15" t="str">
        <f>IFERROR(VLOOKUP($C16,[13]REKAP!$B$9:$E$200,4,0),"")</f>
        <v/>
      </c>
      <c r="AM16" s="15" t="str">
        <f>IFERROR(VLOOKUP($C16,[13]REKAP!$B$9:$G$200,6,0),"")</f>
        <v/>
      </c>
      <c r="AN16" s="15" t="str">
        <f>IFERROR(VLOOKUP($C16,[14]REKAP!$B$9:$D$200,3,0),"")</f>
        <v/>
      </c>
      <c r="AO16" s="15" t="str">
        <f>IFERROR(VLOOKUP($C16,[14]REKAP!$B$9:$E$200,4,0),"")</f>
        <v/>
      </c>
      <c r="AP16" s="15" t="str">
        <f>IFERROR(VLOOKUP($C16,[14]REKAP!$B$9:$G$200,6,0),"")</f>
        <v/>
      </c>
      <c r="AQ16" s="15" t="str">
        <f>IFERROR(VLOOKUP($C16,[15]REKAP!$B$9:$D$200,3,0),"")</f>
        <v/>
      </c>
      <c r="AR16" s="15" t="str">
        <f>IFERROR(VLOOKUP($C16,[15]REKAP!$B$9:$E$200,4,0),"")</f>
        <v/>
      </c>
      <c r="AS16" s="15" t="str">
        <f>IFERROR(VLOOKUP($C16,[15]REKAP!$B$9:$G$200,6,0),"")</f>
        <v/>
      </c>
      <c r="AT16" s="15" t="str">
        <f>IFERROR(VLOOKUP($C16,[16]REKAP!$B$9:$D$200,3,0),"")</f>
        <v/>
      </c>
      <c r="AU16" s="15" t="str">
        <f>IFERROR(VLOOKUP($C16,[16]REKAP!$B$9:$E$200,4,0),"")</f>
        <v/>
      </c>
      <c r="AV16" s="15" t="str">
        <f>IFERROR(VLOOKUP($C16,[16]REKAP!$B$9:$G$200,6,0),"")</f>
        <v/>
      </c>
      <c r="AW16" s="15" t="str">
        <f>IFERROR(VLOOKUP($C16,[17]REKAP!$B$9:$D$200,3,0),"")</f>
        <v/>
      </c>
      <c r="AX16" s="15" t="str">
        <f>IFERROR(VLOOKUP($C16,[17]REKAP!$B$9:$E$200,4,0),"")</f>
        <v/>
      </c>
      <c r="AY16" s="15" t="str">
        <f>IFERROR(VLOOKUP($C16,[17]REKAP!$B$9:$G$200,6,0),"")</f>
        <v/>
      </c>
      <c r="AZ16" s="15" t="str">
        <f>IFERROR(VLOOKUP($C16,[18]REKAP!$B$9:$D$200,3,0),"")</f>
        <v/>
      </c>
      <c r="BA16" s="15" t="str">
        <f>IFERROR(VLOOKUP($C16,[18]REKAP!$B$9:$E$200,4,0),"")</f>
        <v/>
      </c>
      <c r="BB16" s="15" t="str">
        <f>IFERROR(VLOOKUP($C16,[18]REKAP!$B$9:$G$200,6,0),"")</f>
        <v/>
      </c>
      <c r="BC16" s="15" t="str">
        <f>IFERROR(VLOOKUP($C16,[19]REKAP!$B$9:$D$200,3,0),"")</f>
        <v/>
      </c>
      <c r="BD16" s="15" t="str">
        <f>IFERROR(VLOOKUP($C16,[19]REKAP!$B$9:$E$200,4,0),"")</f>
        <v/>
      </c>
      <c r="BE16" s="15" t="str">
        <f>IFERROR(VLOOKUP($C16,[19]REKAP!$B$9:$G$200,6,0),"")</f>
        <v/>
      </c>
      <c r="BF16" s="15" t="str">
        <f>IFERROR(VLOOKUP($C16,[20]REKAP!$B$9:$D$200,3,0),"")</f>
        <v/>
      </c>
      <c r="BG16" s="15" t="str">
        <f>IFERROR(VLOOKUP($C16,[20]REKAP!$B$9:$E$200,4,0),"")</f>
        <v/>
      </c>
      <c r="BH16" s="15" t="str">
        <f>IFERROR(VLOOKUP($C16,[20]REKAP!$B$9:$G$200,6,0),"")</f>
        <v/>
      </c>
      <c r="BI16" s="15" t="str">
        <f>IFERROR(VLOOKUP($C16,[21]REKAP!$B$9:$D$200,3,0),"")</f>
        <v/>
      </c>
      <c r="BJ16" s="15" t="str">
        <f>IFERROR(VLOOKUP($C16,[21]REKAP!$B$9:$E$200,4,0),"")</f>
        <v/>
      </c>
      <c r="BK16" s="15" t="str">
        <f>IFERROR(VLOOKUP($C16,[21]REKAP!$B$9:$G$200,6,0),"")</f>
        <v/>
      </c>
      <c r="BL16" s="15" t="str">
        <f>IFERROR(VLOOKUP($C16,[22]REKAP!$B$9:$D$200,3,0),"")</f>
        <v/>
      </c>
      <c r="BM16" s="15" t="str">
        <f>IFERROR(VLOOKUP($C16,[22]REKAP!$B$9:$E$200,4,0),"")</f>
        <v/>
      </c>
      <c r="BN16" s="15" t="str">
        <f>IFERROR(VLOOKUP($C16,[22]REKAP!$B$9:$G$200,6,0),"")</f>
        <v/>
      </c>
      <c r="BO16" s="15" t="str">
        <f>IFERROR(VLOOKUP($C16,[23]REKAP!$B$9:$D$200,3,0),"")</f>
        <v/>
      </c>
      <c r="BP16" s="15" t="str">
        <f>IFERROR(VLOOKUP($C16,[23]REKAP!$B$9:$E$200,4,0),"")</f>
        <v/>
      </c>
      <c r="BQ16" s="15" t="str">
        <f>IFERROR(VLOOKUP($C16,[23]REKAP!$B$9:$G$200,6,0),"")</f>
        <v/>
      </c>
      <c r="BR16" s="15" t="str">
        <f>IFERROR(VLOOKUP($C16,[24]REKAP!$B$9:$D$200,3,0),"")</f>
        <v/>
      </c>
      <c r="BS16" s="15" t="str">
        <f>IFERROR(VLOOKUP($C16,[24]REKAP!$B$9:$E$200,4,0),"")</f>
        <v/>
      </c>
      <c r="BT16" s="15" t="str">
        <f>IFERROR(VLOOKUP($C16,[24]REKAP!$B$9:$G$200,6,0),"")</f>
        <v/>
      </c>
      <c r="BU16" s="15" t="str">
        <f>IFERROR(VLOOKUP($C16,[25]REKAP!$B$9:$D$200,3,0),"")</f>
        <v/>
      </c>
      <c r="BV16" s="15" t="str">
        <f>IFERROR(VLOOKUP($C16,[25]REKAP!$B$9:$E$200,4,0),"")</f>
        <v/>
      </c>
      <c r="BW16" s="15" t="str">
        <f>IFERROR(VLOOKUP($C16,[25]REKAP!$B$9:$G$200,6,0),"")</f>
        <v/>
      </c>
      <c r="BX16" s="15" t="str">
        <f>IFERROR(VLOOKUP($C16,[26]REKAP!$B$9:$D$200,3,0),"")</f>
        <v/>
      </c>
      <c r="BY16" s="15" t="str">
        <f>IFERROR(VLOOKUP($C16,[26]REKAP!$B$9:$E$200,4,0),"")</f>
        <v/>
      </c>
      <c r="BZ16" s="15" t="str">
        <f>IFERROR(VLOOKUP($C16,[26]REKAP!$B$9:$G$200,6,0),"")</f>
        <v/>
      </c>
      <c r="CA16" s="15" t="str">
        <f>IFERROR(VLOOKUP($C16,[27]REKAP!$B$9:$D$200,3,0),"")</f>
        <v/>
      </c>
      <c r="CB16" s="15" t="str">
        <f>IFERROR(VLOOKUP($C16,[27]REKAP!$B$9:$E$200,4,0),"")</f>
        <v/>
      </c>
      <c r="CC16" s="15" t="str">
        <f>IFERROR(VLOOKUP($C16,[27]REKAP!$B$9:$G$200,6,0),"")</f>
        <v/>
      </c>
      <c r="CD16" s="15" t="str">
        <f>IFERROR(VLOOKUP($C16,[28]REKAP!$B$9:$D$200,3,0),"")</f>
        <v/>
      </c>
      <c r="CE16" s="15" t="str">
        <f>IFERROR(VLOOKUP($C16,[28]REKAP!$B$9:$E$200,4,0),"")</f>
        <v/>
      </c>
      <c r="CF16" s="15" t="str">
        <f>IFERROR(VLOOKUP($C16,[28]REKAP!$B$9:$G$200,6,0),"")</f>
        <v/>
      </c>
      <c r="CG16" s="15" t="str">
        <f>IFERROR(VLOOKUP($C16,[29]REKAP!$B$9:$D$200,3,0),"")</f>
        <v/>
      </c>
      <c r="CH16" s="15" t="str">
        <f>IFERROR(VLOOKUP($C16,[29]REKAP!$B$9:$E$200,4,0),"")</f>
        <v/>
      </c>
      <c r="CI16" s="15" t="str">
        <f>IFERROR(VLOOKUP($C16,[29]REKAP!$B$9:$G$200,6,0),"")</f>
        <v/>
      </c>
      <c r="CJ16" s="15" t="str">
        <f>IFERROR(VLOOKUP($C16,[30]REKAP!$B$9:$D$200,3,0),"")</f>
        <v/>
      </c>
      <c r="CK16" s="15" t="str">
        <f>IFERROR(VLOOKUP($C16,[30]REKAP!$B$9:$E$200,4,0),"")</f>
        <v/>
      </c>
      <c r="CL16" s="15" t="str">
        <f>IFERROR(VLOOKUP($C16,[30]REKAP!$B$9:$G$200,6,0),"")</f>
        <v/>
      </c>
      <c r="CM16" s="15" t="str">
        <f>IFERROR(VLOOKUP($C16,[31]REKAP!$B$9:$D$200,3,0),"")</f>
        <v/>
      </c>
      <c r="CN16" s="15" t="str">
        <f>IFERROR(VLOOKUP($C16,[31]REKAP!$B$9:$E$200,4,0),"")</f>
        <v/>
      </c>
      <c r="CO16" s="15" t="str">
        <f>IFERROR(VLOOKUP($C16,[31]REKAP!$B$9:$G$200,6,0),"")</f>
        <v/>
      </c>
      <c r="CP16" s="15" t="str">
        <f>IFERROR(VLOOKUP($C16,[32]REKAP!$B$9:$D$200,3,0),"")</f>
        <v/>
      </c>
      <c r="CQ16" s="15" t="str">
        <f>IFERROR(VLOOKUP($C16,[32]REKAP!$B$9:$E$200,4,0),"")</f>
        <v/>
      </c>
      <c r="CR16" s="15" t="str">
        <f>IFERROR(VLOOKUP($C16,[32]REKAP!$B$9:$G$200,6,0),"")</f>
        <v/>
      </c>
      <c r="CS16" s="15" t="str">
        <f>IFERROR(VLOOKUP($C16,[33]REKAP!$B$9:$D$200,3,0),"")</f>
        <v/>
      </c>
      <c r="CT16" s="15" t="str">
        <f>IFERROR(VLOOKUP($C16,[33]REKAP!$B$9:$E$200,4,0),"")</f>
        <v/>
      </c>
      <c r="CU16" s="15" t="str">
        <f>IFERROR(VLOOKUP($C16,[33]REKAP!$B$9:$G$200,6,0),"")</f>
        <v/>
      </c>
      <c r="CV16" s="15" t="str">
        <f>IFERROR(VLOOKUP($C16,[34]REKAP!$B$9:$D$200,3,0),"")</f>
        <v/>
      </c>
      <c r="CW16" s="15" t="str">
        <f>IFERROR(VLOOKUP($C16,[34]REKAP!$B$9:$E$200,4,0),"")</f>
        <v/>
      </c>
      <c r="CX16" s="15" t="str">
        <f>IFERROR(VLOOKUP($C16,[34]REKAP!$B$9:$G$200,6,0),"")</f>
        <v/>
      </c>
    </row>
    <row r="17" spans="3:102" x14ac:dyDescent="0.25">
      <c r="C17" s="7" t="s">
        <v>65</v>
      </c>
      <c r="D17" s="5" t="str">
        <f>IFERROR(VLOOKUP(C17,DBASE!$C$7:$D$207,2,0),"")</f>
        <v>SIIP KEJU 500</v>
      </c>
      <c r="E17" s="15">
        <f t="shared" si="0"/>
        <v>19.333333333333332</v>
      </c>
      <c r="F17" s="15">
        <f t="shared" si="0"/>
        <v>871797.42833333323</v>
      </c>
      <c r="H17" s="15">
        <f t="shared" si="0"/>
        <v>75296.251261362748</v>
      </c>
      <c r="J17" s="15">
        <f>IFERROR(VLOOKUP($C17,[4]REKAP!$B$9:$D$200,3,0),"")</f>
        <v>0</v>
      </c>
      <c r="K17" s="15">
        <f>IFERROR(VLOOKUP($C17,[4]REKAP!$B$9:$E$200,4,0),"")</f>
        <v>0</v>
      </c>
      <c r="L17" s="15">
        <f>IFERROR(VLOOKUP($C17,[4]REKAP!$B$9:$G$200,6,0),"")</f>
        <v>0</v>
      </c>
      <c r="M17" s="15" t="str">
        <f>IFERROR(VLOOKUP($C17,[5]REKAP!$B$9:$D$200,3,0),"")</f>
        <v/>
      </c>
      <c r="N17" s="15" t="str">
        <f>IFERROR(VLOOKUP($C17,[5]REKAP!$B$9:$E$200,4,0),"")</f>
        <v/>
      </c>
      <c r="O17" s="15" t="str">
        <f>IFERROR(VLOOKUP($C17,[5]REKAP!$B$9:$G$200,6,0),"")</f>
        <v/>
      </c>
      <c r="P17" s="15" t="str">
        <f>IFERROR(VLOOKUP($C17,[6]REKAP!$B$9:$D$200,3,0),"")</f>
        <v/>
      </c>
      <c r="Q17" s="15" t="str">
        <f>IFERROR(VLOOKUP($C17,[6]REKAP!$B$9:$E$200,4,0),"")</f>
        <v/>
      </c>
      <c r="R17" s="15" t="str">
        <f>IFERROR(VLOOKUP($C17,[6]REKAP!$B$9:$G$200,6,0),"")</f>
        <v/>
      </c>
      <c r="S17" s="15">
        <f>IFERROR(VLOOKUP($C17,[7]REKAP!$B$9:$D$200,3,0),"")</f>
        <v>1</v>
      </c>
      <c r="T17" s="15">
        <f>IFERROR(VLOOKUP($C17,[7]REKAP!$B$9:$E$200,4,0),"")</f>
        <v>45500</v>
      </c>
      <c r="U17" s="15">
        <f>IFERROR(VLOOKUP($C17,[7]REKAP!$B$9:$G$200,6,0),"")</f>
        <v>4290.7417265041804</v>
      </c>
      <c r="V17" s="15">
        <f>IFERROR(VLOOKUP($C17,[8]REKAP!$B$9:$D$200,3,0),"")</f>
        <v>4</v>
      </c>
      <c r="W17" s="15">
        <f>IFERROR(VLOOKUP($C17,[8]REKAP!$B$9:$E$200,4,0),"")</f>
        <v>180628</v>
      </c>
      <c r="X17" s="15">
        <f>IFERROR(VLOOKUP($C17,[8]REKAP!$B$9:$G$200,6,0),"")</f>
        <v>15790.966906016722</v>
      </c>
      <c r="Y17" s="15">
        <f>IFERROR(VLOOKUP($C17,[9]REKAP!$B$9:$D$200,3,0),"")</f>
        <v>3</v>
      </c>
      <c r="Z17" s="15">
        <f>IFERROR(VLOOKUP($C17,[9]REKAP!$B$9:$E$200,4,0),"")</f>
        <v>136000</v>
      </c>
      <c r="AA17" s="15">
        <f>IFERROR(VLOOKUP($C17,[9]REKAP!$B$9:$G$200,6,0),"")</f>
        <v>12372.225179512541</v>
      </c>
      <c r="AB17" s="15">
        <f>IFERROR(VLOOKUP($C17,[10]REKAP!$B$9:$D$200,3,0),"")</f>
        <v>1</v>
      </c>
      <c r="AC17" s="15">
        <f>IFERROR(VLOOKUP($C17,[10]REKAP!$B$9:$E$200,4,0),"")</f>
        <v>45500</v>
      </c>
      <c r="AD17" s="15">
        <f>IFERROR(VLOOKUP($C17,[10]REKAP!$B$9:$G$200,6,0),"")</f>
        <v>4309.3725690584688</v>
      </c>
      <c r="AE17" s="15">
        <f>IFERROR(VLOOKUP($C17,[11]REKAP!$B$9:$D$199,3,0),"")</f>
        <v>3</v>
      </c>
      <c r="AF17" s="15">
        <f>IFERROR(VLOOKUP($C17,[11]REKAP!$B$9:$E$199,4,0),"")</f>
        <v>135268.20000000001</v>
      </c>
      <c r="AG17" s="15">
        <f>IFERROR(VLOOKUP($C17,[11]REKAP!$B$9:$G$199,6,0),"")</f>
        <v>11696.317707175403</v>
      </c>
      <c r="AH17" s="15">
        <f>IFERROR(VLOOKUP($C17,[12]REKAP!$B$9:$D$200,3,0),"")</f>
        <v>7.333333333333333</v>
      </c>
      <c r="AI17" s="15">
        <f>IFERROR(VLOOKUP($C17,[12]REKAP!$B$9:$E$200,4,0),"")</f>
        <v>328901.22833333333</v>
      </c>
      <c r="AJ17" s="15">
        <f>IFERROR(VLOOKUP($C17,[12]REKAP!$B$9:$G$200,6,0),"")</f>
        <v>26836.627173095429</v>
      </c>
      <c r="AK17" s="15">
        <f>IFERROR(VLOOKUP($C17,[13]REKAP!$B$9:$D$200,3,0),"")</f>
        <v>0</v>
      </c>
      <c r="AL17" s="15">
        <f>IFERROR(VLOOKUP($C17,[13]REKAP!$B$9:$E$200,4,0),"")</f>
        <v>0</v>
      </c>
      <c r="AM17" s="15">
        <f>IFERROR(VLOOKUP($C17,[13]REKAP!$B$9:$G$200,6,0),"")</f>
        <v>0</v>
      </c>
      <c r="AN17" s="15">
        <f>IFERROR(VLOOKUP($C17,[14]REKAP!$B$9:$D$200,3,0),"")</f>
        <v>0</v>
      </c>
      <c r="AO17" s="15">
        <f>IFERROR(VLOOKUP($C17,[14]REKAP!$B$9:$E$200,4,0),"")</f>
        <v>0</v>
      </c>
      <c r="AP17" s="15">
        <f>IFERROR(VLOOKUP($C17,[14]REKAP!$B$9:$G$200,6,0),"")</f>
        <v>0</v>
      </c>
      <c r="AQ17" s="15">
        <f>IFERROR(VLOOKUP($C17,[15]REKAP!$B$9:$D$200,3,0),"")</f>
        <v>0</v>
      </c>
      <c r="AR17" s="15">
        <f>IFERROR(VLOOKUP($C17,[15]REKAP!$B$9:$E$200,4,0),"")</f>
        <v>0</v>
      </c>
      <c r="AS17" s="15">
        <f>IFERROR(VLOOKUP($C17,[15]REKAP!$B$9:$G$200,6,0),"")</f>
        <v>0</v>
      </c>
      <c r="AT17" s="15">
        <f>IFERROR(VLOOKUP($C17,[16]REKAP!$B$9:$D$200,3,0),"")</f>
        <v>0</v>
      </c>
      <c r="AU17" s="15">
        <f>IFERROR(VLOOKUP($C17,[16]REKAP!$B$9:$E$200,4,0),"")</f>
        <v>0</v>
      </c>
      <c r="AV17" s="15">
        <f>IFERROR(VLOOKUP($C17,[16]REKAP!$B$9:$G$200,6,0),"")</f>
        <v>0</v>
      </c>
      <c r="AW17" s="15">
        <f>IFERROR(VLOOKUP($C17,[17]REKAP!$B$9:$D$200,3,0),"")</f>
        <v>0</v>
      </c>
      <c r="AX17" s="15">
        <f>IFERROR(VLOOKUP($C17,[17]REKAP!$B$9:$E$200,4,0),"")</f>
        <v>0</v>
      </c>
      <c r="AY17" s="15">
        <f>IFERROR(VLOOKUP($C17,[17]REKAP!$B$9:$G$200,6,0),"")</f>
        <v>0</v>
      </c>
      <c r="AZ17" s="15" t="str">
        <f>IFERROR(VLOOKUP($C17,[18]REKAP!$B$9:$D$200,3,0),"")</f>
        <v/>
      </c>
      <c r="BA17" s="15" t="str">
        <f>IFERROR(VLOOKUP($C17,[18]REKAP!$B$9:$E$200,4,0),"")</f>
        <v/>
      </c>
      <c r="BB17" s="15" t="str">
        <f>IFERROR(VLOOKUP($C17,[18]REKAP!$B$9:$G$200,6,0),"")</f>
        <v/>
      </c>
      <c r="BC17" s="15" t="str">
        <f>IFERROR(VLOOKUP($C17,[19]REKAP!$B$9:$D$200,3,0),"")</f>
        <v/>
      </c>
      <c r="BD17" s="15" t="str">
        <f>IFERROR(VLOOKUP($C17,[19]REKAP!$B$9:$E$200,4,0),"")</f>
        <v/>
      </c>
      <c r="BE17" s="15" t="str">
        <f>IFERROR(VLOOKUP($C17,[19]REKAP!$B$9:$G$200,6,0),"")</f>
        <v/>
      </c>
      <c r="BF17" s="15" t="str">
        <f>IFERROR(VLOOKUP($C17,[20]REKAP!$B$9:$D$200,3,0),"")</f>
        <v/>
      </c>
      <c r="BG17" s="15" t="str">
        <f>IFERROR(VLOOKUP($C17,[20]REKAP!$B$9:$E$200,4,0),"")</f>
        <v/>
      </c>
      <c r="BH17" s="15" t="str">
        <f>IFERROR(VLOOKUP($C17,[20]REKAP!$B$9:$G$200,6,0),"")</f>
        <v/>
      </c>
      <c r="BI17" s="15" t="str">
        <f>IFERROR(VLOOKUP($C17,[21]REKAP!$B$9:$D$200,3,0),"")</f>
        <v/>
      </c>
      <c r="BJ17" s="15" t="str">
        <f>IFERROR(VLOOKUP($C17,[21]REKAP!$B$9:$E$200,4,0),"")</f>
        <v/>
      </c>
      <c r="BK17" s="15" t="str">
        <f>IFERROR(VLOOKUP($C17,[21]REKAP!$B$9:$G$200,6,0),"")</f>
        <v/>
      </c>
      <c r="BL17" s="15" t="str">
        <f>IFERROR(VLOOKUP($C17,[22]REKAP!$B$9:$D$200,3,0),"")</f>
        <v/>
      </c>
      <c r="BM17" s="15" t="str">
        <f>IFERROR(VLOOKUP($C17,[22]REKAP!$B$9:$E$200,4,0),"")</f>
        <v/>
      </c>
      <c r="BN17" s="15" t="str">
        <f>IFERROR(VLOOKUP($C17,[22]REKAP!$B$9:$G$200,6,0),"")</f>
        <v/>
      </c>
      <c r="BO17" s="15" t="str">
        <f>IFERROR(VLOOKUP($C17,[23]REKAP!$B$9:$D$200,3,0),"")</f>
        <v/>
      </c>
      <c r="BP17" s="15" t="str">
        <f>IFERROR(VLOOKUP($C17,[23]REKAP!$B$9:$E$200,4,0),"")</f>
        <v/>
      </c>
      <c r="BQ17" s="15" t="str">
        <f>IFERROR(VLOOKUP($C17,[23]REKAP!$B$9:$G$200,6,0),"")</f>
        <v/>
      </c>
      <c r="BR17" s="15" t="str">
        <f>IFERROR(VLOOKUP($C17,[24]REKAP!$B$9:$D$200,3,0),"")</f>
        <v/>
      </c>
      <c r="BS17" s="15" t="str">
        <f>IFERROR(VLOOKUP($C17,[24]REKAP!$B$9:$E$200,4,0),"")</f>
        <v/>
      </c>
      <c r="BT17" s="15" t="str">
        <f>IFERROR(VLOOKUP($C17,[24]REKAP!$B$9:$G$200,6,0),"")</f>
        <v/>
      </c>
      <c r="BU17" s="15" t="str">
        <f>IFERROR(VLOOKUP($C17,[25]REKAP!$B$9:$D$200,3,0),"")</f>
        <v/>
      </c>
      <c r="BV17" s="15" t="str">
        <f>IFERROR(VLOOKUP($C17,[25]REKAP!$B$9:$E$200,4,0),"")</f>
        <v/>
      </c>
      <c r="BW17" s="15" t="str">
        <f>IFERROR(VLOOKUP($C17,[25]REKAP!$B$9:$G$200,6,0),"")</f>
        <v/>
      </c>
      <c r="BX17" s="15" t="str">
        <f>IFERROR(VLOOKUP($C17,[26]REKAP!$B$9:$D$200,3,0),"")</f>
        <v/>
      </c>
      <c r="BY17" s="15" t="str">
        <f>IFERROR(VLOOKUP($C17,[26]REKAP!$B$9:$E$200,4,0),"")</f>
        <v/>
      </c>
      <c r="BZ17" s="15" t="str">
        <f>IFERROR(VLOOKUP($C17,[26]REKAP!$B$9:$G$200,6,0),"")</f>
        <v/>
      </c>
      <c r="CA17" s="15" t="str">
        <f>IFERROR(VLOOKUP($C17,[27]REKAP!$B$9:$D$200,3,0),"")</f>
        <v/>
      </c>
      <c r="CB17" s="15" t="str">
        <f>IFERROR(VLOOKUP($C17,[27]REKAP!$B$9:$E$200,4,0),"")</f>
        <v/>
      </c>
      <c r="CC17" s="15" t="str">
        <f>IFERROR(VLOOKUP($C17,[27]REKAP!$B$9:$G$200,6,0),"")</f>
        <v/>
      </c>
      <c r="CD17" s="15" t="str">
        <f>IFERROR(VLOOKUP($C17,[28]REKAP!$B$9:$D$200,3,0),"")</f>
        <v/>
      </c>
      <c r="CE17" s="15" t="str">
        <f>IFERROR(VLOOKUP($C17,[28]REKAP!$B$9:$E$200,4,0),"")</f>
        <v/>
      </c>
      <c r="CF17" s="15" t="str">
        <f>IFERROR(VLOOKUP($C17,[28]REKAP!$B$9:$G$200,6,0),"")</f>
        <v/>
      </c>
      <c r="CG17" s="15" t="str">
        <f>IFERROR(VLOOKUP($C17,[29]REKAP!$B$9:$D$200,3,0),"")</f>
        <v/>
      </c>
      <c r="CH17" s="15" t="str">
        <f>IFERROR(VLOOKUP($C17,[29]REKAP!$B$9:$E$200,4,0),"")</f>
        <v/>
      </c>
      <c r="CI17" s="15" t="str">
        <f>IFERROR(VLOOKUP($C17,[29]REKAP!$B$9:$G$200,6,0),"")</f>
        <v/>
      </c>
      <c r="CJ17" s="15" t="str">
        <f>IFERROR(VLOOKUP($C17,[30]REKAP!$B$9:$D$200,3,0),"")</f>
        <v/>
      </c>
      <c r="CK17" s="15" t="str">
        <f>IFERROR(VLOOKUP($C17,[30]REKAP!$B$9:$E$200,4,0),"")</f>
        <v/>
      </c>
      <c r="CL17" s="15" t="str">
        <f>IFERROR(VLOOKUP($C17,[30]REKAP!$B$9:$G$200,6,0),"")</f>
        <v/>
      </c>
      <c r="CM17" s="15" t="str">
        <f>IFERROR(VLOOKUP($C17,[31]REKAP!$B$9:$D$200,3,0),"")</f>
        <v/>
      </c>
      <c r="CN17" s="15" t="str">
        <f>IFERROR(VLOOKUP($C17,[31]REKAP!$B$9:$E$200,4,0),"")</f>
        <v/>
      </c>
      <c r="CO17" s="15" t="str">
        <f>IFERROR(VLOOKUP($C17,[31]REKAP!$B$9:$G$200,6,0),"")</f>
        <v/>
      </c>
      <c r="CP17" s="15" t="str">
        <f>IFERROR(VLOOKUP($C17,[32]REKAP!$B$9:$D$200,3,0),"")</f>
        <v/>
      </c>
      <c r="CQ17" s="15" t="str">
        <f>IFERROR(VLOOKUP($C17,[32]REKAP!$B$9:$E$200,4,0),"")</f>
        <v/>
      </c>
      <c r="CR17" s="15" t="str">
        <f>IFERROR(VLOOKUP($C17,[32]REKAP!$B$9:$G$200,6,0),"")</f>
        <v/>
      </c>
      <c r="CS17" s="15" t="str">
        <f>IFERROR(VLOOKUP($C17,[33]REKAP!$B$9:$D$200,3,0),"")</f>
        <v/>
      </c>
      <c r="CT17" s="15" t="str">
        <f>IFERROR(VLOOKUP($C17,[33]REKAP!$B$9:$E$200,4,0),"")</f>
        <v/>
      </c>
      <c r="CU17" s="15" t="str">
        <f>IFERROR(VLOOKUP($C17,[33]REKAP!$B$9:$G$200,6,0),"")</f>
        <v/>
      </c>
      <c r="CV17" s="15" t="str">
        <f>IFERROR(VLOOKUP($C17,[34]REKAP!$B$9:$D$200,3,0),"")</f>
        <v/>
      </c>
      <c r="CW17" s="15" t="str">
        <f>IFERROR(VLOOKUP($C17,[34]REKAP!$B$9:$E$200,4,0),"")</f>
        <v/>
      </c>
      <c r="CX17" s="15" t="str">
        <f>IFERROR(VLOOKUP($C17,[34]REKAP!$B$9:$G$200,6,0),"")</f>
        <v/>
      </c>
    </row>
    <row r="18" spans="3:102" x14ac:dyDescent="0.25">
      <c r="C18" s="7" t="s">
        <v>88</v>
      </c>
      <c r="D18" s="5" t="str">
        <f>IFERROR(VLOOKUP(C18,DBASE!$C$7:$D$207,2,0),"")</f>
        <v>SIIP JGG 500</v>
      </c>
      <c r="E18" s="15">
        <f t="shared" si="0"/>
        <v>11.333333333333334</v>
      </c>
      <c r="F18" s="15">
        <f t="shared" si="0"/>
        <v>509931.91033333336</v>
      </c>
      <c r="H18" s="15">
        <f t="shared" si="0"/>
        <v>40670.419059954438</v>
      </c>
      <c r="J18" s="15" t="str">
        <f>IFERROR(VLOOKUP($C18,[4]REKAP!$B$9:$D$200,3,0),"")</f>
        <v/>
      </c>
      <c r="K18" s="15" t="str">
        <f>IFERROR(VLOOKUP($C18,[4]REKAP!$B$9:$E$200,4,0),"")</f>
        <v/>
      </c>
      <c r="L18" s="15" t="str">
        <f>IFERROR(VLOOKUP($C18,[4]REKAP!$B$9:$G$200,6,0),"")</f>
        <v/>
      </c>
      <c r="M18" s="15" t="str">
        <f>IFERROR(VLOOKUP($C18,[5]REKAP!$B$9:$D$200,3,0),"")</f>
        <v/>
      </c>
      <c r="N18" s="15" t="str">
        <f>IFERROR(VLOOKUP($C18,[5]REKAP!$B$9:$E$200,4,0),"")</f>
        <v/>
      </c>
      <c r="O18" s="15" t="str">
        <f>IFERROR(VLOOKUP($C18,[5]REKAP!$B$9:$G$200,6,0),"")</f>
        <v/>
      </c>
      <c r="P18" s="15" t="str">
        <f>IFERROR(VLOOKUP($C18,[6]REKAP!$B$9:$D$200,3,0),"")</f>
        <v/>
      </c>
      <c r="Q18" s="15" t="str">
        <f>IFERROR(VLOOKUP($C18,[6]REKAP!$B$9:$E$200,4,0),"")</f>
        <v/>
      </c>
      <c r="R18" s="15" t="str">
        <f>IFERROR(VLOOKUP($C18,[6]REKAP!$B$9:$G$200,6,0),"")</f>
        <v/>
      </c>
      <c r="S18" s="15">
        <f>IFERROR(VLOOKUP($C18,[7]REKAP!$B$9:$D$200,3,0),"")</f>
        <v>0</v>
      </c>
      <c r="T18" s="15">
        <f>IFERROR(VLOOKUP($C18,[7]REKAP!$B$9:$E$200,4,0),"")</f>
        <v>0</v>
      </c>
      <c r="U18" s="15">
        <f>IFERROR(VLOOKUP($C18,[7]REKAP!$B$9:$G$200,6,0),"")</f>
        <v>0</v>
      </c>
      <c r="V18" s="15">
        <f>IFERROR(VLOOKUP($C18,[8]REKAP!$B$9:$D$200,3,0),"")</f>
        <v>3</v>
      </c>
      <c r="W18" s="15">
        <f>IFERROR(VLOOKUP($C18,[8]REKAP!$B$9:$E$200,4,0),"")</f>
        <v>135128</v>
      </c>
      <c r="X18" s="15">
        <f>IFERROR(VLOOKUP($C18,[8]REKAP!$B$9:$G$200,6,0),"")</f>
        <v>10648.063030710022</v>
      </c>
      <c r="Y18" s="15">
        <f>IFERROR(VLOOKUP($C18,[9]REKAP!$B$9:$D$200,3,0),"")</f>
        <v>0</v>
      </c>
      <c r="Z18" s="15">
        <f>IFERROR(VLOOKUP($C18,[9]REKAP!$B$9:$E$200,4,0),"")</f>
        <v>0</v>
      </c>
      <c r="AA18" s="15">
        <f>IFERROR(VLOOKUP($C18,[9]REKAP!$B$9:$G$200,6,0),"")</f>
        <v>0</v>
      </c>
      <c r="AB18" s="15">
        <f>IFERROR(VLOOKUP($C18,[10]REKAP!$B$9:$D$200,3,0),"")</f>
        <v>0</v>
      </c>
      <c r="AC18" s="15">
        <f>IFERROR(VLOOKUP($C18,[10]REKAP!$B$9:$E$200,4,0),"")</f>
        <v>0</v>
      </c>
      <c r="AD18" s="15">
        <f>IFERROR(VLOOKUP($C18,[10]REKAP!$B$9:$G$200,6,0),"")</f>
        <v>0</v>
      </c>
      <c r="AE18" s="15">
        <f>IFERROR(VLOOKUP($C18,[11]REKAP!$B$9:$D$199,3,0),"")</f>
        <v>3</v>
      </c>
      <c r="AF18" s="15">
        <f>IFERROR(VLOOKUP($C18,[11]REKAP!$B$9:$E$199,4,0),"")</f>
        <v>135268.20000000001</v>
      </c>
      <c r="AG18" s="15">
        <f>IFERROR(VLOOKUP($C18,[11]REKAP!$B$9:$G$199,6,0),"")</f>
        <v>11146.84045052799</v>
      </c>
      <c r="AH18" s="15">
        <f>IFERROR(VLOOKUP($C18,[12]REKAP!$B$9:$D$200,3,0),"")</f>
        <v>5.3333333333333339</v>
      </c>
      <c r="AI18" s="15">
        <f>IFERROR(VLOOKUP($C18,[12]REKAP!$B$9:$E$200,4,0),"")</f>
        <v>239535.71033333335</v>
      </c>
      <c r="AJ18" s="15">
        <f>IFERROR(VLOOKUP($C18,[12]REKAP!$B$9:$G$200,6,0),"")</f>
        <v>18875.515578716426</v>
      </c>
      <c r="AK18" s="15" t="str">
        <f>IFERROR(VLOOKUP($C18,[13]REKAP!$B$9:$D$200,3,0),"")</f>
        <v/>
      </c>
      <c r="AL18" s="15" t="str">
        <f>IFERROR(VLOOKUP($C18,[13]REKAP!$B$9:$E$200,4,0),"")</f>
        <v/>
      </c>
      <c r="AM18" s="15" t="str">
        <f>IFERROR(VLOOKUP($C18,[13]REKAP!$B$9:$G$200,6,0),"")</f>
        <v/>
      </c>
      <c r="AN18" s="15" t="str">
        <f>IFERROR(VLOOKUP($C18,[14]REKAP!$B$9:$D$200,3,0),"")</f>
        <v/>
      </c>
      <c r="AO18" s="15" t="str">
        <f>IFERROR(VLOOKUP($C18,[14]REKAP!$B$9:$E$200,4,0),"")</f>
        <v/>
      </c>
      <c r="AP18" s="15" t="str">
        <f>IFERROR(VLOOKUP($C18,[14]REKAP!$B$9:$G$200,6,0),"")</f>
        <v/>
      </c>
      <c r="AQ18" s="15" t="str">
        <f>IFERROR(VLOOKUP($C18,[15]REKAP!$B$9:$D$200,3,0),"")</f>
        <v/>
      </c>
      <c r="AR18" s="15" t="str">
        <f>IFERROR(VLOOKUP($C18,[15]REKAP!$B$9:$E$200,4,0),"")</f>
        <v/>
      </c>
      <c r="AS18" s="15" t="str">
        <f>IFERROR(VLOOKUP($C18,[15]REKAP!$B$9:$G$200,6,0),"")</f>
        <v/>
      </c>
      <c r="AT18" s="15" t="str">
        <f>IFERROR(VLOOKUP($C18,[16]REKAP!$B$9:$D$200,3,0),"")</f>
        <v/>
      </c>
      <c r="AU18" s="15" t="str">
        <f>IFERROR(VLOOKUP($C18,[16]REKAP!$B$9:$E$200,4,0),"")</f>
        <v/>
      </c>
      <c r="AV18" s="15" t="str">
        <f>IFERROR(VLOOKUP($C18,[16]REKAP!$B$9:$G$200,6,0),"")</f>
        <v/>
      </c>
      <c r="AW18" s="15" t="str">
        <f>IFERROR(VLOOKUP($C18,[17]REKAP!$B$9:$D$200,3,0),"")</f>
        <v/>
      </c>
      <c r="AX18" s="15" t="str">
        <f>IFERROR(VLOOKUP($C18,[17]REKAP!$B$9:$E$200,4,0),"")</f>
        <v/>
      </c>
      <c r="AY18" s="15" t="str">
        <f>IFERROR(VLOOKUP($C18,[17]REKAP!$B$9:$G$200,6,0),"")</f>
        <v/>
      </c>
      <c r="AZ18" s="15" t="str">
        <f>IFERROR(VLOOKUP($C18,[18]REKAP!$B$9:$D$200,3,0),"")</f>
        <v/>
      </c>
      <c r="BA18" s="15" t="str">
        <f>IFERROR(VLOOKUP($C18,[18]REKAP!$B$9:$E$200,4,0),"")</f>
        <v/>
      </c>
      <c r="BB18" s="15" t="str">
        <f>IFERROR(VLOOKUP($C18,[18]REKAP!$B$9:$G$200,6,0),"")</f>
        <v/>
      </c>
      <c r="BC18" s="15" t="str">
        <f>IFERROR(VLOOKUP($C18,[19]REKAP!$B$9:$D$200,3,0),"")</f>
        <v/>
      </c>
      <c r="BD18" s="15" t="str">
        <f>IFERROR(VLOOKUP($C18,[19]REKAP!$B$9:$E$200,4,0),"")</f>
        <v/>
      </c>
      <c r="BE18" s="15" t="str">
        <f>IFERROR(VLOOKUP($C18,[19]REKAP!$B$9:$G$200,6,0),"")</f>
        <v/>
      </c>
      <c r="BF18" s="15" t="str">
        <f>IFERROR(VLOOKUP($C18,[20]REKAP!$B$9:$D$200,3,0),"")</f>
        <v/>
      </c>
      <c r="BG18" s="15" t="str">
        <f>IFERROR(VLOOKUP($C18,[20]REKAP!$B$9:$E$200,4,0),"")</f>
        <v/>
      </c>
      <c r="BH18" s="15" t="str">
        <f>IFERROR(VLOOKUP($C18,[20]REKAP!$B$9:$G$200,6,0),"")</f>
        <v/>
      </c>
      <c r="BI18" s="15" t="str">
        <f>IFERROR(VLOOKUP($C18,[21]REKAP!$B$9:$D$200,3,0),"")</f>
        <v/>
      </c>
      <c r="BJ18" s="15" t="str">
        <f>IFERROR(VLOOKUP($C18,[21]REKAP!$B$9:$E$200,4,0),"")</f>
        <v/>
      </c>
      <c r="BK18" s="15" t="str">
        <f>IFERROR(VLOOKUP($C18,[21]REKAP!$B$9:$G$200,6,0),"")</f>
        <v/>
      </c>
      <c r="BL18" s="15" t="str">
        <f>IFERROR(VLOOKUP($C18,[22]REKAP!$B$9:$D$200,3,0),"")</f>
        <v/>
      </c>
      <c r="BM18" s="15" t="str">
        <f>IFERROR(VLOOKUP($C18,[22]REKAP!$B$9:$E$200,4,0),"")</f>
        <v/>
      </c>
      <c r="BN18" s="15" t="str">
        <f>IFERROR(VLOOKUP($C18,[22]REKAP!$B$9:$G$200,6,0),"")</f>
        <v/>
      </c>
      <c r="BO18" s="15" t="str">
        <f>IFERROR(VLOOKUP($C18,[23]REKAP!$B$9:$D$200,3,0),"")</f>
        <v/>
      </c>
      <c r="BP18" s="15" t="str">
        <f>IFERROR(VLOOKUP($C18,[23]REKAP!$B$9:$E$200,4,0),"")</f>
        <v/>
      </c>
      <c r="BQ18" s="15" t="str">
        <f>IFERROR(VLOOKUP($C18,[23]REKAP!$B$9:$G$200,6,0),"")</f>
        <v/>
      </c>
      <c r="BR18" s="15" t="str">
        <f>IFERROR(VLOOKUP($C18,[24]REKAP!$B$9:$D$200,3,0),"")</f>
        <v/>
      </c>
      <c r="BS18" s="15" t="str">
        <f>IFERROR(VLOOKUP($C18,[24]REKAP!$B$9:$E$200,4,0),"")</f>
        <v/>
      </c>
      <c r="BT18" s="15" t="str">
        <f>IFERROR(VLOOKUP($C18,[24]REKAP!$B$9:$G$200,6,0),"")</f>
        <v/>
      </c>
      <c r="BU18" s="15" t="str">
        <f>IFERROR(VLOOKUP($C18,[25]REKAP!$B$9:$D$200,3,0),"")</f>
        <v/>
      </c>
      <c r="BV18" s="15" t="str">
        <f>IFERROR(VLOOKUP($C18,[25]REKAP!$B$9:$E$200,4,0),"")</f>
        <v/>
      </c>
      <c r="BW18" s="15" t="str">
        <f>IFERROR(VLOOKUP($C18,[25]REKAP!$B$9:$G$200,6,0),"")</f>
        <v/>
      </c>
      <c r="BX18" s="15" t="str">
        <f>IFERROR(VLOOKUP($C18,[26]REKAP!$B$9:$D$200,3,0),"")</f>
        <v/>
      </c>
      <c r="BY18" s="15" t="str">
        <f>IFERROR(VLOOKUP($C18,[26]REKAP!$B$9:$E$200,4,0),"")</f>
        <v/>
      </c>
      <c r="BZ18" s="15" t="str">
        <f>IFERROR(VLOOKUP($C18,[26]REKAP!$B$9:$G$200,6,0),"")</f>
        <v/>
      </c>
      <c r="CA18" s="15" t="str">
        <f>IFERROR(VLOOKUP($C18,[27]REKAP!$B$9:$D$200,3,0),"")</f>
        <v/>
      </c>
      <c r="CB18" s="15" t="str">
        <f>IFERROR(VLOOKUP($C18,[27]REKAP!$B$9:$E$200,4,0),"")</f>
        <v/>
      </c>
      <c r="CC18" s="15" t="str">
        <f>IFERROR(VLOOKUP($C18,[27]REKAP!$B$9:$G$200,6,0),"")</f>
        <v/>
      </c>
      <c r="CD18" s="15" t="str">
        <f>IFERROR(VLOOKUP($C18,[28]REKAP!$B$9:$D$200,3,0),"")</f>
        <v/>
      </c>
      <c r="CE18" s="15" t="str">
        <f>IFERROR(VLOOKUP($C18,[28]REKAP!$B$9:$E$200,4,0),"")</f>
        <v/>
      </c>
      <c r="CF18" s="15" t="str">
        <f>IFERROR(VLOOKUP($C18,[28]REKAP!$B$9:$G$200,6,0),"")</f>
        <v/>
      </c>
      <c r="CG18" s="15" t="str">
        <f>IFERROR(VLOOKUP($C18,[29]REKAP!$B$9:$D$200,3,0),"")</f>
        <v/>
      </c>
      <c r="CH18" s="15" t="str">
        <f>IFERROR(VLOOKUP($C18,[29]REKAP!$B$9:$E$200,4,0),"")</f>
        <v/>
      </c>
      <c r="CI18" s="15" t="str">
        <f>IFERROR(VLOOKUP($C18,[29]REKAP!$B$9:$G$200,6,0),"")</f>
        <v/>
      </c>
      <c r="CJ18" s="15" t="str">
        <f>IFERROR(VLOOKUP($C18,[30]REKAP!$B$9:$D$200,3,0),"")</f>
        <v/>
      </c>
      <c r="CK18" s="15" t="str">
        <f>IFERROR(VLOOKUP($C18,[30]REKAP!$B$9:$E$200,4,0),"")</f>
        <v/>
      </c>
      <c r="CL18" s="15" t="str">
        <f>IFERROR(VLOOKUP($C18,[30]REKAP!$B$9:$G$200,6,0),"")</f>
        <v/>
      </c>
      <c r="CM18" s="15" t="str">
        <f>IFERROR(VLOOKUP($C18,[31]REKAP!$B$9:$D$200,3,0),"")</f>
        <v/>
      </c>
      <c r="CN18" s="15" t="str">
        <f>IFERROR(VLOOKUP($C18,[31]REKAP!$B$9:$E$200,4,0),"")</f>
        <v/>
      </c>
      <c r="CO18" s="15" t="str">
        <f>IFERROR(VLOOKUP($C18,[31]REKAP!$B$9:$G$200,6,0),"")</f>
        <v/>
      </c>
      <c r="CP18" s="15" t="str">
        <f>IFERROR(VLOOKUP($C18,[32]REKAP!$B$9:$D$200,3,0),"")</f>
        <v/>
      </c>
      <c r="CQ18" s="15" t="str">
        <f>IFERROR(VLOOKUP($C18,[32]REKAP!$B$9:$E$200,4,0),"")</f>
        <v/>
      </c>
      <c r="CR18" s="15" t="str">
        <f>IFERROR(VLOOKUP($C18,[32]REKAP!$B$9:$G$200,6,0),"")</f>
        <v/>
      </c>
      <c r="CS18" s="15" t="str">
        <f>IFERROR(VLOOKUP($C18,[33]REKAP!$B$9:$D$200,3,0),"")</f>
        <v/>
      </c>
      <c r="CT18" s="15" t="str">
        <f>IFERROR(VLOOKUP($C18,[33]REKAP!$B$9:$E$200,4,0),"")</f>
        <v/>
      </c>
      <c r="CU18" s="15" t="str">
        <f>IFERROR(VLOOKUP($C18,[33]REKAP!$B$9:$G$200,6,0),"")</f>
        <v/>
      </c>
      <c r="CV18" s="15" t="str">
        <f>IFERROR(VLOOKUP($C18,[34]REKAP!$B$9:$D$200,3,0),"")</f>
        <v/>
      </c>
      <c r="CW18" s="15" t="str">
        <f>IFERROR(VLOOKUP($C18,[34]REKAP!$B$9:$E$200,4,0),"")</f>
        <v/>
      </c>
      <c r="CX18" s="15" t="str">
        <f>IFERROR(VLOOKUP($C18,[34]REKAP!$B$9:$G$200,6,0),"")</f>
        <v/>
      </c>
    </row>
    <row r="19" spans="3:102" x14ac:dyDescent="0.25">
      <c r="C19" s="7" t="s">
        <v>89</v>
      </c>
      <c r="D19" s="5" t="str">
        <f>IFERROR(VLOOKUP(C19,DBASE!$C$7:$D$207,2,0),"")</f>
        <v>SIIP COKLAT 500</v>
      </c>
      <c r="E19" s="15">
        <f t="shared" si="0"/>
        <v>7.333333333333333</v>
      </c>
      <c r="F19" s="15">
        <f t="shared" si="0"/>
        <v>331435.53333333333</v>
      </c>
      <c r="H19" s="15">
        <f t="shared" si="0"/>
        <v>27669.18812591712</v>
      </c>
      <c r="J19" s="15" t="str">
        <f>IFERROR(VLOOKUP($C19,[4]REKAP!$B$9:$D$200,3,0),"")</f>
        <v/>
      </c>
      <c r="K19" s="15" t="str">
        <f>IFERROR(VLOOKUP($C19,[4]REKAP!$B$9:$E$200,4,0),"")</f>
        <v/>
      </c>
      <c r="L19" s="15" t="str">
        <f>IFERROR(VLOOKUP($C19,[4]REKAP!$B$9:$G$200,6,0),"")</f>
        <v/>
      </c>
      <c r="M19" s="15" t="str">
        <f>IFERROR(VLOOKUP($C19,[5]REKAP!$B$9:$D$200,3,0),"")</f>
        <v/>
      </c>
      <c r="N19" s="15" t="str">
        <f>IFERROR(VLOOKUP($C19,[5]REKAP!$B$9:$E$200,4,0),"")</f>
        <v/>
      </c>
      <c r="O19" s="15" t="str">
        <f>IFERROR(VLOOKUP($C19,[5]REKAP!$B$9:$G$200,6,0),"")</f>
        <v/>
      </c>
      <c r="P19" s="15" t="str">
        <f>IFERROR(VLOOKUP($C19,[6]REKAP!$B$9:$D$200,3,0),"")</f>
        <v/>
      </c>
      <c r="Q19" s="15" t="str">
        <f>IFERROR(VLOOKUP($C19,[6]REKAP!$B$9:$E$200,4,0),"")</f>
        <v/>
      </c>
      <c r="R19" s="15" t="str">
        <f>IFERROR(VLOOKUP($C19,[6]REKAP!$B$9:$G$200,6,0),"")</f>
        <v/>
      </c>
      <c r="S19" s="15">
        <f>IFERROR(VLOOKUP($C19,[7]REKAP!$B$9:$D$200,3,0),"")</f>
        <v>0</v>
      </c>
      <c r="T19" s="15">
        <f>IFERROR(VLOOKUP($C19,[7]REKAP!$B$9:$E$200,4,0),"")</f>
        <v>0</v>
      </c>
      <c r="U19" s="15">
        <f>IFERROR(VLOOKUP($C19,[7]REKAP!$B$9:$G$200,6,0),"")</f>
        <v>0</v>
      </c>
      <c r="V19" s="15">
        <f>IFERROR(VLOOKUP($C19,[8]REKAP!$B$9:$D$200,3,0),"")</f>
        <v>1</v>
      </c>
      <c r="W19" s="15">
        <f>IFERROR(VLOOKUP($C19,[8]REKAP!$B$9:$E$200,4,0),"")</f>
        <v>44814</v>
      </c>
      <c r="X19" s="15">
        <f>IFERROR(VLOOKUP($C19,[8]REKAP!$B$9:$G$200,6,0),"")</f>
        <v>3320.6876769033406</v>
      </c>
      <c r="Y19" s="15">
        <f>IFERROR(VLOOKUP($C19,[9]REKAP!$B$9:$D$200,3,0),"")</f>
        <v>2</v>
      </c>
      <c r="Z19" s="15">
        <f>IFERROR(VLOOKUP($C19,[9]REKAP!$B$9:$E$200,4,0),"")</f>
        <v>91000</v>
      </c>
      <c r="AA19" s="15">
        <f>IFERROR(VLOOKUP($C19,[9]REKAP!$B$9:$G$200,6,0),"")</f>
        <v>8013.3753538066812</v>
      </c>
      <c r="AB19" s="15">
        <f>IFERROR(VLOOKUP($C19,[10]REKAP!$B$9:$D$200,3,0),"")</f>
        <v>0</v>
      </c>
      <c r="AC19" s="15">
        <f>IFERROR(VLOOKUP($C19,[10]REKAP!$B$9:$E$200,4,0),"")</f>
        <v>0</v>
      </c>
      <c r="AD19" s="15">
        <f>IFERROR(VLOOKUP($C19,[10]REKAP!$B$9:$G$200,6,0),"")</f>
        <v>0</v>
      </c>
      <c r="AE19" s="15">
        <f>IFERROR(VLOOKUP($C19,[11]REKAP!$B$9:$D$199,3,0),"")</f>
        <v>3</v>
      </c>
      <c r="AF19" s="15">
        <f>IFERROR(VLOOKUP($C19,[11]REKAP!$B$9:$E$199,4,0),"")</f>
        <v>135268.20000000001</v>
      </c>
      <c r="AG19" s="15">
        <f>IFERROR(VLOOKUP($C19,[11]REKAP!$B$9:$G$199,6,0),"")</f>
        <v>11146.84045052799</v>
      </c>
      <c r="AH19" s="15">
        <f>IFERROR(VLOOKUP($C19,[12]REKAP!$B$9:$D$200,3,0),"")</f>
        <v>1.3333333333333333</v>
      </c>
      <c r="AI19" s="15">
        <f>IFERROR(VLOOKUP($C19,[12]REKAP!$B$9:$E$200,4,0),"")</f>
        <v>60353.333333333328</v>
      </c>
      <c r="AJ19" s="15">
        <f>IFERROR(VLOOKUP($C19,[12]REKAP!$B$9:$G$200,6,0),"")</f>
        <v>5188.2846446791082</v>
      </c>
      <c r="AK19" s="15" t="str">
        <f>IFERROR(VLOOKUP($C19,[13]REKAP!$B$9:$D$200,3,0),"")</f>
        <v/>
      </c>
      <c r="AL19" s="15" t="str">
        <f>IFERROR(VLOOKUP($C19,[13]REKAP!$B$9:$E$200,4,0),"")</f>
        <v/>
      </c>
      <c r="AM19" s="15" t="str">
        <f>IFERROR(VLOOKUP($C19,[13]REKAP!$B$9:$G$200,6,0),"")</f>
        <v/>
      </c>
      <c r="AN19" s="15" t="str">
        <f>IFERROR(VLOOKUP($C19,[14]REKAP!$B$9:$D$200,3,0),"")</f>
        <v/>
      </c>
      <c r="AO19" s="15" t="str">
        <f>IFERROR(VLOOKUP($C19,[14]REKAP!$B$9:$E$200,4,0),"")</f>
        <v/>
      </c>
      <c r="AP19" s="15" t="str">
        <f>IFERROR(VLOOKUP($C19,[14]REKAP!$B$9:$G$200,6,0),"")</f>
        <v/>
      </c>
      <c r="AQ19" s="15" t="str">
        <f>IFERROR(VLOOKUP($C19,[15]REKAP!$B$9:$D$200,3,0),"")</f>
        <v/>
      </c>
      <c r="AR19" s="15" t="str">
        <f>IFERROR(VLOOKUP($C19,[15]REKAP!$B$9:$E$200,4,0),"")</f>
        <v/>
      </c>
      <c r="AS19" s="15" t="str">
        <f>IFERROR(VLOOKUP($C19,[15]REKAP!$B$9:$G$200,6,0),"")</f>
        <v/>
      </c>
      <c r="AT19" s="15" t="str">
        <f>IFERROR(VLOOKUP($C19,[16]REKAP!$B$9:$D$200,3,0),"")</f>
        <v/>
      </c>
      <c r="AU19" s="15" t="str">
        <f>IFERROR(VLOOKUP($C19,[16]REKAP!$B$9:$E$200,4,0),"")</f>
        <v/>
      </c>
      <c r="AV19" s="15" t="str">
        <f>IFERROR(VLOOKUP($C19,[16]REKAP!$B$9:$G$200,6,0),"")</f>
        <v/>
      </c>
      <c r="AW19" s="15" t="str">
        <f>IFERROR(VLOOKUP($C19,[17]REKAP!$B$9:$D$200,3,0),"")</f>
        <v/>
      </c>
      <c r="AX19" s="15" t="str">
        <f>IFERROR(VLOOKUP($C19,[17]REKAP!$B$9:$E$200,4,0),"")</f>
        <v/>
      </c>
      <c r="AY19" s="15" t="str">
        <f>IFERROR(VLOOKUP($C19,[17]REKAP!$B$9:$G$200,6,0),"")</f>
        <v/>
      </c>
      <c r="AZ19" s="15" t="str">
        <f>IFERROR(VLOOKUP($C19,[18]REKAP!$B$9:$D$200,3,0),"")</f>
        <v/>
      </c>
      <c r="BA19" s="15" t="str">
        <f>IFERROR(VLOOKUP($C19,[18]REKAP!$B$9:$E$200,4,0),"")</f>
        <v/>
      </c>
      <c r="BB19" s="15" t="str">
        <f>IFERROR(VLOOKUP($C19,[18]REKAP!$B$9:$G$200,6,0),"")</f>
        <v/>
      </c>
      <c r="BC19" s="15" t="str">
        <f>IFERROR(VLOOKUP($C19,[19]REKAP!$B$9:$D$200,3,0),"")</f>
        <v/>
      </c>
      <c r="BD19" s="15" t="str">
        <f>IFERROR(VLOOKUP($C19,[19]REKAP!$B$9:$E$200,4,0),"")</f>
        <v/>
      </c>
      <c r="BE19" s="15" t="str">
        <f>IFERROR(VLOOKUP($C19,[19]REKAP!$B$9:$G$200,6,0),"")</f>
        <v/>
      </c>
      <c r="BF19" s="15" t="str">
        <f>IFERROR(VLOOKUP($C19,[20]REKAP!$B$9:$D$200,3,0),"")</f>
        <v/>
      </c>
      <c r="BG19" s="15" t="str">
        <f>IFERROR(VLOOKUP($C19,[20]REKAP!$B$9:$E$200,4,0),"")</f>
        <v/>
      </c>
      <c r="BH19" s="15" t="str">
        <f>IFERROR(VLOOKUP($C19,[20]REKAP!$B$9:$G$200,6,0),"")</f>
        <v/>
      </c>
      <c r="BI19" s="15" t="str">
        <f>IFERROR(VLOOKUP($C19,[21]REKAP!$B$9:$D$200,3,0),"")</f>
        <v/>
      </c>
      <c r="BJ19" s="15" t="str">
        <f>IFERROR(VLOOKUP($C19,[21]REKAP!$B$9:$E$200,4,0),"")</f>
        <v/>
      </c>
      <c r="BK19" s="15" t="str">
        <f>IFERROR(VLOOKUP($C19,[21]REKAP!$B$9:$G$200,6,0),"")</f>
        <v/>
      </c>
      <c r="BL19" s="15" t="str">
        <f>IFERROR(VLOOKUP($C19,[22]REKAP!$B$9:$D$200,3,0),"")</f>
        <v/>
      </c>
      <c r="BM19" s="15" t="str">
        <f>IFERROR(VLOOKUP($C19,[22]REKAP!$B$9:$E$200,4,0),"")</f>
        <v/>
      </c>
      <c r="BN19" s="15" t="str">
        <f>IFERROR(VLOOKUP($C19,[22]REKAP!$B$9:$G$200,6,0),"")</f>
        <v/>
      </c>
      <c r="BO19" s="15" t="str">
        <f>IFERROR(VLOOKUP($C19,[23]REKAP!$B$9:$D$200,3,0),"")</f>
        <v/>
      </c>
      <c r="BP19" s="15" t="str">
        <f>IFERROR(VLOOKUP($C19,[23]REKAP!$B$9:$E$200,4,0),"")</f>
        <v/>
      </c>
      <c r="BQ19" s="15" t="str">
        <f>IFERROR(VLOOKUP($C19,[23]REKAP!$B$9:$G$200,6,0),"")</f>
        <v/>
      </c>
      <c r="BR19" s="15" t="str">
        <f>IFERROR(VLOOKUP($C19,[24]REKAP!$B$9:$D$200,3,0),"")</f>
        <v/>
      </c>
      <c r="BS19" s="15" t="str">
        <f>IFERROR(VLOOKUP($C19,[24]REKAP!$B$9:$E$200,4,0),"")</f>
        <v/>
      </c>
      <c r="BT19" s="15" t="str">
        <f>IFERROR(VLOOKUP($C19,[24]REKAP!$B$9:$G$200,6,0),"")</f>
        <v/>
      </c>
      <c r="BU19" s="15" t="str">
        <f>IFERROR(VLOOKUP($C19,[25]REKAP!$B$9:$D$200,3,0),"")</f>
        <v/>
      </c>
      <c r="BV19" s="15" t="str">
        <f>IFERROR(VLOOKUP($C19,[25]REKAP!$B$9:$E$200,4,0),"")</f>
        <v/>
      </c>
      <c r="BW19" s="15" t="str">
        <f>IFERROR(VLOOKUP($C19,[25]REKAP!$B$9:$G$200,6,0),"")</f>
        <v/>
      </c>
      <c r="BX19" s="15" t="str">
        <f>IFERROR(VLOOKUP($C19,[26]REKAP!$B$9:$D$200,3,0),"")</f>
        <v/>
      </c>
      <c r="BY19" s="15" t="str">
        <f>IFERROR(VLOOKUP($C19,[26]REKAP!$B$9:$E$200,4,0),"")</f>
        <v/>
      </c>
      <c r="BZ19" s="15" t="str">
        <f>IFERROR(VLOOKUP($C19,[26]REKAP!$B$9:$G$200,6,0),"")</f>
        <v/>
      </c>
      <c r="CA19" s="15" t="str">
        <f>IFERROR(VLOOKUP($C19,[27]REKAP!$B$9:$D$200,3,0),"")</f>
        <v/>
      </c>
      <c r="CB19" s="15" t="str">
        <f>IFERROR(VLOOKUP($C19,[27]REKAP!$B$9:$E$200,4,0),"")</f>
        <v/>
      </c>
      <c r="CC19" s="15" t="str">
        <f>IFERROR(VLOOKUP($C19,[27]REKAP!$B$9:$G$200,6,0),"")</f>
        <v/>
      </c>
      <c r="CD19" s="15" t="str">
        <f>IFERROR(VLOOKUP($C19,[28]REKAP!$B$9:$D$200,3,0),"")</f>
        <v/>
      </c>
      <c r="CE19" s="15" t="str">
        <f>IFERROR(VLOOKUP($C19,[28]REKAP!$B$9:$E$200,4,0),"")</f>
        <v/>
      </c>
      <c r="CF19" s="15" t="str">
        <f>IFERROR(VLOOKUP($C19,[28]REKAP!$B$9:$G$200,6,0),"")</f>
        <v/>
      </c>
      <c r="CG19" s="15" t="str">
        <f>IFERROR(VLOOKUP($C19,[29]REKAP!$B$9:$D$200,3,0),"")</f>
        <v/>
      </c>
      <c r="CH19" s="15" t="str">
        <f>IFERROR(VLOOKUP($C19,[29]REKAP!$B$9:$E$200,4,0),"")</f>
        <v/>
      </c>
      <c r="CI19" s="15" t="str">
        <f>IFERROR(VLOOKUP($C19,[29]REKAP!$B$9:$G$200,6,0),"")</f>
        <v/>
      </c>
      <c r="CJ19" s="15" t="str">
        <f>IFERROR(VLOOKUP($C19,[30]REKAP!$B$9:$D$200,3,0),"")</f>
        <v/>
      </c>
      <c r="CK19" s="15" t="str">
        <f>IFERROR(VLOOKUP($C19,[30]REKAP!$B$9:$E$200,4,0),"")</f>
        <v/>
      </c>
      <c r="CL19" s="15" t="str">
        <f>IFERROR(VLOOKUP($C19,[30]REKAP!$B$9:$G$200,6,0),"")</f>
        <v/>
      </c>
      <c r="CM19" s="15" t="str">
        <f>IFERROR(VLOOKUP($C19,[31]REKAP!$B$9:$D$200,3,0),"")</f>
        <v/>
      </c>
      <c r="CN19" s="15" t="str">
        <f>IFERROR(VLOOKUP($C19,[31]REKAP!$B$9:$E$200,4,0),"")</f>
        <v/>
      </c>
      <c r="CO19" s="15" t="str">
        <f>IFERROR(VLOOKUP($C19,[31]REKAP!$B$9:$G$200,6,0),"")</f>
        <v/>
      </c>
      <c r="CP19" s="15" t="str">
        <f>IFERROR(VLOOKUP($C19,[32]REKAP!$B$9:$D$200,3,0),"")</f>
        <v/>
      </c>
      <c r="CQ19" s="15" t="str">
        <f>IFERROR(VLOOKUP($C19,[32]REKAP!$B$9:$E$200,4,0),"")</f>
        <v/>
      </c>
      <c r="CR19" s="15" t="str">
        <f>IFERROR(VLOOKUP($C19,[32]REKAP!$B$9:$G$200,6,0),"")</f>
        <v/>
      </c>
      <c r="CS19" s="15" t="str">
        <f>IFERROR(VLOOKUP($C19,[33]REKAP!$B$9:$D$200,3,0),"")</f>
        <v/>
      </c>
      <c r="CT19" s="15" t="str">
        <f>IFERROR(VLOOKUP($C19,[33]REKAP!$B$9:$E$200,4,0),"")</f>
        <v/>
      </c>
      <c r="CU19" s="15" t="str">
        <f>IFERROR(VLOOKUP($C19,[33]REKAP!$B$9:$G$200,6,0),"")</f>
        <v/>
      </c>
      <c r="CV19" s="15" t="str">
        <f>IFERROR(VLOOKUP($C19,[34]REKAP!$B$9:$D$200,3,0),"")</f>
        <v/>
      </c>
      <c r="CW19" s="15" t="str">
        <f>IFERROR(VLOOKUP($C19,[34]REKAP!$B$9:$E$200,4,0),"")</f>
        <v/>
      </c>
      <c r="CX19" s="15" t="str">
        <f>IFERROR(VLOOKUP($C19,[34]REKAP!$B$9:$G$200,6,0),"")</f>
        <v/>
      </c>
    </row>
    <row r="20" spans="3:102" x14ac:dyDescent="0.25">
      <c r="C20" s="7" t="s">
        <v>67</v>
      </c>
      <c r="D20" s="5" t="str">
        <f>IFERROR(VLOOKUP(C20,DBASE!$C$7:$D$207,2,0),"")</f>
        <v>SIIP KEJU 2000</v>
      </c>
      <c r="E20" s="15">
        <f t="shared" si="0"/>
        <v>11</v>
      </c>
      <c r="F20" s="15">
        <f t="shared" si="0"/>
        <v>508674.4</v>
      </c>
      <c r="H20" s="15">
        <f t="shared" si="0"/>
        <v>39047.964445936748</v>
      </c>
      <c r="J20" s="15">
        <f>IFERROR(VLOOKUP($C20,[4]REKAP!$B$9:$D$200,3,0),"")</f>
        <v>0</v>
      </c>
      <c r="K20" s="15">
        <f>IFERROR(VLOOKUP($C20,[4]REKAP!$B$9:$E$200,4,0),"")</f>
        <v>0</v>
      </c>
      <c r="L20" s="15">
        <f>IFERROR(VLOOKUP($C20,[4]REKAP!$B$9:$G$200,6,0),"")</f>
        <v>0</v>
      </c>
      <c r="M20" s="15" t="str">
        <f>IFERROR(VLOOKUP($C20,[5]REKAP!$B$9:$D$200,3,0),"")</f>
        <v/>
      </c>
      <c r="N20" s="15" t="str">
        <f>IFERROR(VLOOKUP($C20,[5]REKAP!$B$9:$E$200,4,0),"")</f>
        <v/>
      </c>
      <c r="O20" s="15" t="str">
        <f>IFERROR(VLOOKUP($C20,[5]REKAP!$B$9:$G$200,6,0),"")</f>
        <v/>
      </c>
      <c r="P20" s="15" t="str">
        <f>IFERROR(VLOOKUP($C20,[6]REKAP!$B$9:$D$200,3,0),"")</f>
        <v/>
      </c>
      <c r="Q20" s="15" t="str">
        <f>IFERROR(VLOOKUP($C20,[6]REKAP!$B$9:$E$200,4,0),"")</f>
        <v/>
      </c>
      <c r="R20" s="15" t="str">
        <f>IFERROR(VLOOKUP($C20,[6]REKAP!$B$9:$G$200,6,0),"")</f>
        <v/>
      </c>
      <c r="S20" s="15">
        <f>IFERROR(VLOOKUP($C20,[7]REKAP!$B$9:$D$200,3,0),"")</f>
        <v>0</v>
      </c>
      <c r="T20" s="15">
        <f>IFERROR(VLOOKUP($C20,[7]REKAP!$B$9:$E$200,4,0),"")</f>
        <v>0</v>
      </c>
      <c r="U20" s="15">
        <f>IFERROR(VLOOKUP($C20,[7]REKAP!$B$9:$G$200,6,0),"")</f>
        <v>0</v>
      </c>
      <c r="V20" s="15">
        <f>IFERROR(VLOOKUP($C20,[8]REKAP!$B$9:$D$200,3,0),"")</f>
        <v>4</v>
      </c>
      <c r="W20" s="15">
        <f>IFERROR(VLOOKUP($C20,[8]REKAP!$B$9:$E$200,4,0),"")</f>
        <v>184000</v>
      </c>
      <c r="X20" s="15">
        <f>IFERROR(VLOOKUP($C20,[8]REKAP!$B$9:$G$200,6,0),"")</f>
        <v>13226.750707613362</v>
      </c>
      <c r="Y20" s="15">
        <f>IFERROR(VLOOKUP($C20,[9]REKAP!$B$9:$D$200,3,0),"")</f>
        <v>0</v>
      </c>
      <c r="Z20" s="15">
        <f>IFERROR(VLOOKUP($C20,[9]REKAP!$B$9:$E$200,4,0),"")</f>
        <v>0</v>
      </c>
      <c r="AA20" s="15">
        <f>IFERROR(VLOOKUP($C20,[9]REKAP!$B$9:$G$200,6,0),"")</f>
        <v>0</v>
      </c>
      <c r="AB20" s="15">
        <f>IFERROR(VLOOKUP($C20,[10]REKAP!$B$9:$D$200,3,0),"")</f>
        <v>1</v>
      </c>
      <c r="AC20" s="15">
        <f>IFERROR(VLOOKUP($C20,[10]REKAP!$B$9:$E$200,4,0),"")</f>
        <v>46000</v>
      </c>
      <c r="AD20" s="15">
        <f>IFERROR(VLOOKUP($C20,[10]REKAP!$B$9:$G$200,6,0),"")</f>
        <v>3306.6876769033406</v>
      </c>
      <c r="AE20" s="15">
        <f>IFERROR(VLOOKUP($C20,[11]REKAP!$B$9:$D$199,3,0),"")</f>
        <v>3</v>
      </c>
      <c r="AF20" s="15">
        <f>IFERROR(VLOOKUP($C20,[11]REKAP!$B$9:$E$199,4,0),"")</f>
        <v>138500</v>
      </c>
      <c r="AG20" s="15">
        <f>IFERROR(VLOOKUP($C20,[11]REKAP!$B$9:$G$199,6,0),"")</f>
        <v>10420.063030710022</v>
      </c>
      <c r="AH20" s="15">
        <f>IFERROR(VLOOKUP($C20,[12]REKAP!$B$9:$D$200,3,0),"")</f>
        <v>3</v>
      </c>
      <c r="AI20" s="15">
        <f>IFERROR(VLOOKUP($C20,[12]REKAP!$B$9:$E$200,4,0),"")</f>
        <v>140174.39999999999</v>
      </c>
      <c r="AJ20" s="15">
        <f>IFERROR(VLOOKUP($C20,[12]REKAP!$B$9:$G$200,6,0),"")</f>
        <v>12094.463030710023</v>
      </c>
      <c r="AK20" s="15">
        <f>IFERROR(VLOOKUP($C20,[13]REKAP!$B$9:$D$200,3,0),"")</f>
        <v>0</v>
      </c>
      <c r="AL20" s="15">
        <f>IFERROR(VLOOKUP($C20,[13]REKAP!$B$9:$E$200,4,0),"")</f>
        <v>0</v>
      </c>
      <c r="AM20" s="15">
        <f>IFERROR(VLOOKUP($C20,[13]REKAP!$B$9:$G$200,6,0),"")</f>
        <v>0</v>
      </c>
      <c r="AN20" s="15">
        <f>IFERROR(VLOOKUP($C20,[14]REKAP!$B$9:$D$200,3,0),"")</f>
        <v>0</v>
      </c>
      <c r="AO20" s="15">
        <f>IFERROR(VLOOKUP($C20,[14]REKAP!$B$9:$E$200,4,0),"")</f>
        <v>0</v>
      </c>
      <c r="AP20" s="15">
        <f>IFERROR(VLOOKUP($C20,[14]REKAP!$B$9:$G$200,6,0),"")</f>
        <v>0</v>
      </c>
      <c r="AQ20" s="15">
        <f>IFERROR(VLOOKUP($C20,[15]REKAP!$B$9:$D$200,3,0),"")</f>
        <v>0</v>
      </c>
      <c r="AR20" s="15">
        <f>IFERROR(VLOOKUP($C20,[15]REKAP!$B$9:$E$200,4,0),"")</f>
        <v>0</v>
      </c>
      <c r="AS20" s="15">
        <f>IFERROR(VLOOKUP($C20,[15]REKAP!$B$9:$G$200,6,0),"")</f>
        <v>0</v>
      </c>
      <c r="AT20" s="15">
        <f>IFERROR(VLOOKUP($C20,[16]REKAP!$B$9:$D$200,3,0),"")</f>
        <v>0</v>
      </c>
      <c r="AU20" s="15">
        <f>IFERROR(VLOOKUP($C20,[16]REKAP!$B$9:$E$200,4,0),"")</f>
        <v>0</v>
      </c>
      <c r="AV20" s="15">
        <f>IFERROR(VLOOKUP($C20,[16]REKAP!$B$9:$G$200,6,0),"")</f>
        <v>0</v>
      </c>
      <c r="AW20" s="15">
        <f>IFERROR(VLOOKUP($C20,[17]REKAP!$B$9:$D$200,3,0),"")</f>
        <v>0</v>
      </c>
      <c r="AX20" s="15">
        <f>IFERROR(VLOOKUP($C20,[17]REKAP!$B$9:$E$200,4,0),"")</f>
        <v>0</v>
      </c>
      <c r="AY20" s="15">
        <f>IFERROR(VLOOKUP($C20,[17]REKAP!$B$9:$G$200,6,0),"")</f>
        <v>0</v>
      </c>
      <c r="AZ20" s="15" t="str">
        <f>IFERROR(VLOOKUP($C20,[18]REKAP!$B$9:$D$200,3,0),"")</f>
        <v/>
      </c>
      <c r="BA20" s="15" t="str">
        <f>IFERROR(VLOOKUP($C20,[18]REKAP!$B$9:$E$200,4,0),"")</f>
        <v/>
      </c>
      <c r="BB20" s="15" t="str">
        <f>IFERROR(VLOOKUP($C20,[18]REKAP!$B$9:$G$200,6,0),"")</f>
        <v/>
      </c>
      <c r="BC20" s="15" t="str">
        <f>IFERROR(VLOOKUP($C20,[19]REKAP!$B$9:$D$200,3,0),"")</f>
        <v/>
      </c>
      <c r="BD20" s="15" t="str">
        <f>IFERROR(VLOOKUP($C20,[19]REKAP!$B$9:$E$200,4,0),"")</f>
        <v/>
      </c>
      <c r="BE20" s="15" t="str">
        <f>IFERROR(VLOOKUP($C20,[19]REKAP!$B$9:$G$200,6,0),"")</f>
        <v/>
      </c>
      <c r="BF20" s="15" t="str">
        <f>IFERROR(VLOOKUP($C20,[20]REKAP!$B$9:$D$200,3,0),"")</f>
        <v/>
      </c>
      <c r="BG20" s="15" t="str">
        <f>IFERROR(VLOOKUP($C20,[20]REKAP!$B$9:$E$200,4,0),"")</f>
        <v/>
      </c>
      <c r="BH20" s="15" t="str">
        <f>IFERROR(VLOOKUP($C20,[20]REKAP!$B$9:$G$200,6,0),"")</f>
        <v/>
      </c>
      <c r="BI20" s="15" t="str">
        <f>IFERROR(VLOOKUP($C20,[21]REKAP!$B$9:$D$200,3,0),"")</f>
        <v/>
      </c>
      <c r="BJ20" s="15" t="str">
        <f>IFERROR(VLOOKUP($C20,[21]REKAP!$B$9:$E$200,4,0),"")</f>
        <v/>
      </c>
      <c r="BK20" s="15" t="str">
        <f>IFERROR(VLOOKUP($C20,[21]REKAP!$B$9:$G$200,6,0),"")</f>
        <v/>
      </c>
      <c r="BL20" s="15" t="str">
        <f>IFERROR(VLOOKUP($C20,[22]REKAP!$B$9:$D$200,3,0),"")</f>
        <v/>
      </c>
      <c r="BM20" s="15" t="str">
        <f>IFERROR(VLOOKUP($C20,[22]REKAP!$B$9:$E$200,4,0),"")</f>
        <v/>
      </c>
      <c r="BN20" s="15" t="str">
        <f>IFERROR(VLOOKUP($C20,[22]REKAP!$B$9:$G$200,6,0),"")</f>
        <v/>
      </c>
      <c r="BO20" s="15" t="str">
        <f>IFERROR(VLOOKUP($C20,[23]REKAP!$B$9:$D$200,3,0),"")</f>
        <v/>
      </c>
      <c r="BP20" s="15" t="str">
        <f>IFERROR(VLOOKUP($C20,[23]REKAP!$B$9:$E$200,4,0),"")</f>
        <v/>
      </c>
      <c r="BQ20" s="15" t="str">
        <f>IFERROR(VLOOKUP($C20,[23]REKAP!$B$9:$G$200,6,0),"")</f>
        <v/>
      </c>
      <c r="BR20" s="15" t="str">
        <f>IFERROR(VLOOKUP($C20,[24]REKAP!$B$9:$D$200,3,0),"")</f>
        <v/>
      </c>
      <c r="BS20" s="15" t="str">
        <f>IFERROR(VLOOKUP($C20,[24]REKAP!$B$9:$E$200,4,0),"")</f>
        <v/>
      </c>
      <c r="BT20" s="15" t="str">
        <f>IFERROR(VLOOKUP($C20,[24]REKAP!$B$9:$G$200,6,0),"")</f>
        <v/>
      </c>
      <c r="BU20" s="15" t="str">
        <f>IFERROR(VLOOKUP($C20,[25]REKAP!$B$9:$D$200,3,0),"")</f>
        <v/>
      </c>
      <c r="BV20" s="15" t="str">
        <f>IFERROR(VLOOKUP($C20,[25]REKAP!$B$9:$E$200,4,0),"")</f>
        <v/>
      </c>
      <c r="BW20" s="15" t="str">
        <f>IFERROR(VLOOKUP($C20,[25]REKAP!$B$9:$G$200,6,0),"")</f>
        <v/>
      </c>
      <c r="BX20" s="15" t="str">
        <f>IFERROR(VLOOKUP($C20,[26]REKAP!$B$9:$D$200,3,0),"")</f>
        <v/>
      </c>
      <c r="BY20" s="15" t="str">
        <f>IFERROR(VLOOKUP($C20,[26]REKAP!$B$9:$E$200,4,0),"")</f>
        <v/>
      </c>
      <c r="BZ20" s="15" t="str">
        <f>IFERROR(VLOOKUP($C20,[26]REKAP!$B$9:$G$200,6,0),"")</f>
        <v/>
      </c>
      <c r="CA20" s="15" t="str">
        <f>IFERROR(VLOOKUP($C20,[27]REKAP!$B$9:$D$200,3,0),"")</f>
        <v/>
      </c>
      <c r="CB20" s="15" t="str">
        <f>IFERROR(VLOOKUP($C20,[27]REKAP!$B$9:$E$200,4,0),"")</f>
        <v/>
      </c>
      <c r="CC20" s="15" t="str">
        <f>IFERROR(VLOOKUP($C20,[27]REKAP!$B$9:$G$200,6,0),"")</f>
        <v/>
      </c>
      <c r="CD20" s="15" t="str">
        <f>IFERROR(VLOOKUP($C20,[28]REKAP!$B$9:$D$200,3,0),"")</f>
        <v/>
      </c>
      <c r="CE20" s="15" t="str">
        <f>IFERROR(VLOOKUP($C20,[28]REKAP!$B$9:$E$200,4,0),"")</f>
        <v/>
      </c>
      <c r="CF20" s="15" t="str">
        <f>IFERROR(VLOOKUP($C20,[28]REKAP!$B$9:$G$200,6,0),"")</f>
        <v/>
      </c>
      <c r="CG20" s="15" t="str">
        <f>IFERROR(VLOOKUP($C20,[29]REKAP!$B$9:$D$200,3,0),"")</f>
        <v/>
      </c>
      <c r="CH20" s="15" t="str">
        <f>IFERROR(VLOOKUP($C20,[29]REKAP!$B$9:$E$200,4,0),"")</f>
        <v/>
      </c>
      <c r="CI20" s="15" t="str">
        <f>IFERROR(VLOOKUP($C20,[29]REKAP!$B$9:$G$200,6,0),"")</f>
        <v/>
      </c>
      <c r="CJ20" s="15" t="str">
        <f>IFERROR(VLOOKUP($C20,[30]REKAP!$B$9:$D$200,3,0),"")</f>
        <v/>
      </c>
      <c r="CK20" s="15" t="str">
        <f>IFERROR(VLOOKUP($C20,[30]REKAP!$B$9:$E$200,4,0),"")</f>
        <v/>
      </c>
      <c r="CL20" s="15" t="str">
        <f>IFERROR(VLOOKUP($C20,[30]REKAP!$B$9:$G$200,6,0),"")</f>
        <v/>
      </c>
      <c r="CM20" s="15" t="str">
        <f>IFERROR(VLOOKUP($C20,[31]REKAP!$B$9:$D$200,3,0),"")</f>
        <v/>
      </c>
      <c r="CN20" s="15" t="str">
        <f>IFERROR(VLOOKUP($C20,[31]REKAP!$B$9:$E$200,4,0),"")</f>
        <v/>
      </c>
      <c r="CO20" s="15" t="str">
        <f>IFERROR(VLOOKUP($C20,[31]REKAP!$B$9:$G$200,6,0),"")</f>
        <v/>
      </c>
      <c r="CP20" s="15" t="str">
        <f>IFERROR(VLOOKUP($C20,[32]REKAP!$B$9:$D$200,3,0),"")</f>
        <v/>
      </c>
      <c r="CQ20" s="15" t="str">
        <f>IFERROR(VLOOKUP($C20,[32]REKAP!$B$9:$E$200,4,0),"")</f>
        <v/>
      </c>
      <c r="CR20" s="15" t="str">
        <f>IFERROR(VLOOKUP($C20,[32]REKAP!$B$9:$G$200,6,0),"")</f>
        <v/>
      </c>
      <c r="CS20" s="15" t="str">
        <f>IFERROR(VLOOKUP($C20,[33]REKAP!$B$9:$D$200,3,0),"")</f>
        <v/>
      </c>
      <c r="CT20" s="15" t="str">
        <f>IFERROR(VLOOKUP($C20,[33]REKAP!$B$9:$E$200,4,0),"")</f>
        <v/>
      </c>
      <c r="CU20" s="15" t="str">
        <f>IFERROR(VLOOKUP($C20,[33]REKAP!$B$9:$G$200,6,0),"")</f>
        <v/>
      </c>
      <c r="CV20" s="15" t="str">
        <f>IFERROR(VLOOKUP($C20,[34]REKAP!$B$9:$D$200,3,0),"")</f>
        <v/>
      </c>
      <c r="CW20" s="15" t="str">
        <f>IFERROR(VLOOKUP($C20,[34]REKAP!$B$9:$E$200,4,0),"")</f>
        <v/>
      </c>
      <c r="CX20" s="15" t="str">
        <f>IFERROR(VLOOKUP($C20,[34]REKAP!$B$9:$G$200,6,0),"")</f>
        <v/>
      </c>
    </row>
    <row r="21" spans="3:102" x14ac:dyDescent="0.25">
      <c r="C21" s="7" t="s">
        <v>68</v>
      </c>
      <c r="D21" s="5" t="str">
        <f>IFERROR(VLOOKUP(C21,DBASE!$C$7:$D$207,2,0),"")</f>
        <v>SIIP JAGUNG 2000</v>
      </c>
      <c r="E21" s="15">
        <f t="shared" si="0"/>
        <v>7</v>
      </c>
      <c r="F21" s="15">
        <f t="shared" si="0"/>
        <v>324620</v>
      </c>
      <c r="H21" s="15">
        <f t="shared" si="0"/>
        <v>25766.813738323384</v>
      </c>
      <c r="J21" s="15">
        <f>IFERROR(VLOOKUP($C21,[4]REKAP!$B$9:$D$200,3,0),"")</f>
        <v>0</v>
      </c>
      <c r="K21" s="15">
        <f>IFERROR(VLOOKUP($C21,[4]REKAP!$B$9:$E$200,4,0),"")</f>
        <v>0</v>
      </c>
      <c r="L21" s="15">
        <f>IFERROR(VLOOKUP($C21,[4]REKAP!$B$9:$G$200,6,0),"")</f>
        <v>0</v>
      </c>
      <c r="M21" s="15" t="str">
        <f>IFERROR(VLOOKUP($C21,[5]REKAP!$B$9:$D$200,3,0),"")</f>
        <v/>
      </c>
      <c r="N21" s="15" t="str">
        <f>IFERROR(VLOOKUP($C21,[5]REKAP!$B$9:$E$200,4,0),"")</f>
        <v/>
      </c>
      <c r="O21" s="15" t="str">
        <f>IFERROR(VLOOKUP($C21,[5]REKAP!$B$9:$G$200,6,0),"")</f>
        <v/>
      </c>
      <c r="P21" s="15" t="str">
        <f>IFERROR(VLOOKUP($C21,[6]REKAP!$B$9:$D$200,3,0),"")</f>
        <v/>
      </c>
      <c r="Q21" s="15" t="str">
        <f>IFERROR(VLOOKUP($C21,[6]REKAP!$B$9:$E$200,4,0),"")</f>
        <v/>
      </c>
      <c r="R21" s="15" t="str">
        <f>IFERROR(VLOOKUP($C21,[6]REKAP!$B$9:$G$200,6,0),"")</f>
        <v/>
      </c>
      <c r="S21" s="15">
        <f>IFERROR(VLOOKUP($C21,[7]REKAP!$B$9:$D$200,3,0),"")</f>
        <v>0</v>
      </c>
      <c r="T21" s="15">
        <f>IFERROR(VLOOKUP($C21,[7]REKAP!$B$9:$E$200,4,0),"")</f>
        <v>0</v>
      </c>
      <c r="U21" s="15">
        <f>IFERROR(VLOOKUP($C21,[7]REKAP!$B$9:$G$200,6,0),"")</f>
        <v>0</v>
      </c>
      <c r="V21" s="15">
        <f>IFERROR(VLOOKUP($C21,[8]REKAP!$B$9:$D$200,3,0),"")</f>
        <v>1</v>
      </c>
      <c r="W21" s="15">
        <f>IFERROR(VLOOKUP($C21,[8]REKAP!$B$9:$E$200,4,0),"")</f>
        <v>46000</v>
      </c>
      <c r="X21" s="15">
        <f>IFERROR(VLOOKUP($C21,[8]REKAP!$B$9:$G$200,6,0),"")</f>
        <v>3306.6876769033406</v>
      </c>
      <c r="Y21" s="15">
        <f>IFERROR(VLOOKUP($C21,[9]REKAP!$B$9:$D$200,3,0),"")</f>
        <v>1</v>
      </c>
      <c r="Z21" s="15">
        <f>IFERROR(VLOOKUP($C21,[9]REKAP!$B$9:$E$200,4,0),"")</f>
        <v>45500</v>
      </c>
      <c r="AA21" s="15">
        <f>IFERROR(VLOOKUP($C21,[9]REKAP!$B$9:$G$200,6,0),"")</f>
        <v>2806.6876769033406</v>
      </c>
      <c r="AB21" s="15">
        <f>IFERROR(VLOOKUP($C21,[10]REKAP!$B$9:$D$200,3,0),"")</f>
        <v>1</v>
      </c>
      <c r="AC21" s="15">
        <f>IFERROR(VLOOKUP($C21,[10]REKAP!$B$9:$E$200,4,0),"")</f>
        <v>46000</v>
      </c>
      <c r="AD21" s="15">
        <f>IFERROR(VLOOKUP($C21,[10]REKAP!$B$9:$G$200,6,0),"")</f>
        <v>3306.6876769033406</v>
      </c>
      <c r="AE21" s="15">
        <f>IFERROR(VLOOKUP($C21,[11]REKAP!$B$9:$D$199,3,0),"")</f>
        <v>1</v>
      </c>
      <c r="AF21" s="15">
        <f>IFERROR(VLOOKUP($C21,[11]REKAP!$B$9:$E$199,4,0),"")</f>
        <v>46000</v>
      </c>
      <c r="AG21" s="15">
        <f>IFERROR(VLOOKUP($C21,[11]REKAP!$B$9:$G$199,6,0),"")</f>
        <v>3306.6876769033406</v>
      </c>
      <c r="AH21" s="15">
        <f>IFERROR(VLOOKUP($C21,[12]REKAP!$B$9:$D$200,3,0),"")</f>
        <v>3</v>
      </c>
      <c r="AI21" s="15">
        <f>IFERROR(VLOOKUP($C21,[12]REKAP!$B$9:$E$200,4,0),"")</f>
        <v>141120</v>
      </c>
      <c r="AJ21" s="15">
        <f>IFERROR(VLOOKUP($C21,[12]REKAP!$B$9:$G$200,6,0),"")</f>
        <v>13040.063030710022</v>
      </c>
      <c r="AK21" s="15">
        <f>IFERROR(VLOOKUP($C21,[13]REKAP!$B$9:$D$200,3,0),"")</f>
        <v>0</v>
      </c>
      <c r="AL21" s="15">
        <f>IFERROR(VLOOKUP($C21,[13]REKAP!$B$9:$E$200,4,0),"")</f>
        <v>0</v>
      </c>
      <c r="AM21" s="15">
        <f>IFERROR(VLOOKUP($C21,[13]REKAP!$B$9:$G$200,6,0),"")</f>
        <v>0</v>
      </c>
      <c r="AN21" s="15">
        <f>IFERROR(VLOOKUP($C21,[14]REKAP!$B$9:$D$200,3,0),"")</f>
        <v>0</v>
      </c>
      <c r="AO21" s="15">
        <f>IFERROR(VLOOKUP($C21,[14]REKAP!$B$9:$E$200,4,0),"")</f>
        <v>0</v>
      </c>
      <c r="AP21" s="15">
        <f>IFERROR(VLOOKUP($C21,[14]REKAP!$B$9:$G$200,6,0),"")</f>
        <v>0</v>
      </c>
      <c r="AQ21" s="15">
        <f>IFERROR(VLOOKUP($C21,[15]REKAP!$B$9:$D$200,3,0),"")</f>
        <v>0</v>
      </c>
      <c r="AR21" s="15">
        <f>IFERROR(VLOOKUP($C21,[15]REKAP!$B$9:$E$200,4,0),"")</f>
        <v>0</v>
      </c>
      <c r="AS21" s="15">
        <f>IFERROR(VLOOKUP($C21,[15]REKAP!$B$9:$G$200,6,0),"")</f>
        <v>0</v>
      </c>
      <c r="AT21" s="15">
        <f>IFERROR(VLOOKUP($C21,[16]REKAP!$B$9:$D$200,3,0),"")</f>
        <v>0</v>
      </c>
      <c r="AU21" s="15">
        <f>IFERROR(VLOOKUP($C21,[16]REKAP!$B$9:$E$200,4,0),"")</f>
        <v>0</v>
      </c>
      <c r="AV21" s="15">
        <f>IFERROR(VLOOKUP($C21,[16]REKAP!$B$9:$G$200,6,0),"")</f>
        <v>0</v>
      </c>
      <c r="AW21" s="15">
        <f>IFERROR(VLOOKUP($C21,[17]REKAP!$B$9:$D$200,3,0),"")</f>
        <v>0</v>
      </c>
      <c r="AX21" s="15">
        <f>IFERROR(VLOOKUP($C21,[17]REKAP!$B$9:$E$200,4,0),"")</f>
        <v>0</v>
      </c>
      <c r="AY21" s="15">
        <f>IFERROR(VLOOKUP($C21,[17]REKAP!$B$9:$G$200,6,0),"")</f>
        <v>0</v>
      </c>
      <c r="AZ21" s="15" t="str">
        <f>IFERROR(VLOOKUP($C21,[18]REKAP!$B$9:$D$200,3,0),"")</f>
        <v/>
      </c>
      <c r="BA21" s="15" t="str">
        <f>IFERROR(VLOOKUP($C21,[18]REKAP!$B$9:$E$200,4,0),"")</f>
        <v/>
      </c>
      <c r="BB21" s="15" t="str">
        <f>IFERROR(VLOOKUP($C21,[18]REKAP!$B$9:$G$200,6,0),"")</f>
        <v/>
      </c>
      <c r="BC21" s="15" t="str">
        <f>IFERROR(VLOOKUP($C21,[19]REKAP!$B$9:$D$200,3,0),"")</f>
        <v/>
      </c>
      <c r="BD21" s="15" t="str">
        <f>IFERROR(VLOOKUP($C21,[19]REKAP!$B$9:$E$200,4,0),"")</f>
        <v/>
      </c>
      <c r="BE21" s="15" t="str">
        <f>IFERROR(VLOOKUP($C21,[19]REKAP!$B$9:$G$200,6,0),"")</f>
        <v/>
      </c>
      <c r="BF21" s="15" t="str">
        <f>IFERROR(VLOOKUP($C21,[20]REKAP!$B$9:$D$200,3,0),"")</f>
        <v/>
      </c>
      <c r="BG21" s="15" t="str">
        <f>IFERROR(VLOOKUP($C21,[20]REKAP!$B$9:$E$200,4,0),"")</f>
        <v/>
      </c>
      <c r="BH21" s="15" t="str">
        <f>IFERROR(VLOOKUP($C21,[20]REKAP!$B$9:$G$200,6,0),"")</f>
        <v/>
      </c>
      <c r="BI21" s="15" t="str">
        <f>IFERROR(VLOOKUP($C21,[21]REKAP!$B$9:$D$200,3,0),"")</f>
        <v/>
      </c>
      <c r="BJ21" s="15" t="str">
        <f>IFERROR(VLOOKUP($C21,[21]REKAP!$B$9:$E$200,4,0),"")</f>
        <v/>
      </c>
      <c r="BK21" s="15" t="str">
        <f>IFERROR(VLOOKUP($C21,[21]REKAP!$B$9:$G$200,6,0),"")</f>
        <v/>
      </c>
      <c r="BL21" s="15" t="str">
        <f>IFERROR(VLOOKUP($C21,[22]REKAP!$B$9:$D$200,3,0),"")</f>
        <v/>
      </c>
      <c r="BM21" s="15" t="str">
        <f>IFERROR(VLOOKUP($C21,[22]REKAP!$B$9:$E$200,4,0),"")</f>
        <v/>
      </c>
      <c r="BN21" s="15" t="str">
        <f>IFERROR(VLOOKUP($C21,[22]REKAP!$B$9:$G$200,6,0),"")</f>
        <v/>
      </c>
      <c r="BO21" s="15" t="str">
        <f>IFERROR(VLOOKUP($C21,[23]REKAP!$B$9:$D$200,3,0),"")</f>
        <v/>
      </c>
      <c r="BP21" s="15" t="str">
        <f>IFERROR(VLOOKUP($C21,[23]REKAP!$B$9:$E$200,4,0),"")</f>
        <v/>
      </c>
      <c r="BQ21" s="15" t="str">
        <f>IFERROR(VLOOKUP($C21,[23]REKAP!$B$9:$G$200,6,0),"")</f>
        <v/>
      </c>
      <c r="BR21" s="15" t="str">
        <f>IFERROR(VLOOKUP($C21,[24]REKAP!$B$9:$D$200,3,0),"")</f>
        <v/>
      </c>
      <c r="BS21" s="15" t="str">
        <f>IFERROR(VLOOKUP($C21,[24]REKAP!$B$9:$E$200,4,0),"")</f>
        <v/>
      </c>
      <c r="BT21" s="15" t="str">
        <f>IFERROR(VLOOKUP($C21,[24]REKAP!$B$9:$G$200,6,0),"")</f>
        <v/>
      </c>
      <c r="BU21" s="15" t="str">
        <f>IFERROR(VLOOKUP($C21,[25]REKAP!$B$9:$D$200,3,0),"")</f>
        <v/>
      </c>
      <c r="BV21" s="15" t="str">
        <f>IFERROR(VLOOKUP($C21,[25]REKAP!$B$9:$E$200,4,0),"")</f>
        <v/>
      </c>
      <c r="BW21" s="15" t="str">
        <f>IFERROR(VLOOKUP($C21,[25]REKAP!$B$9:$G$200,6,0),"")</f>
        <v/>
      </c>
      <c r="BX21" s="15" t="str">
        <f>IFERROR(VLOOKUP($C21,[26]REKAP!$B$9:$D$200,3,0),"")</f>
        <v/>
      </c>
      <c r="BY21" s="15" t="str">
        <f>IFERROR(VLOOKUP($C21,[26]REKAP!$B$9:$E$200,4,0),"")</f>
        <v/>
      </c>
      <c r="BZ21" s="15" t="str">
        <f>IFERROR(VLOOKUP($C21,[26]REKAP!$B$9:$G$200,6,0),"")</f>
        <v/>
      </c>
      <c r="CA21" s="15" t="str">
        <f>IFERROR(VLOOKUP($C21,[27]REKAP!$B$9:$D$200,3,0),"")</f>
        <v/>
      </c>
      <c r="CB21" s="15" t="str">
        <f>IFERROR(VLOOKUP($C21,[27]REKAP!$B$9:$E$200,4,0),"")</f>
        <v/>
      </c>
      <c r="CC21" s="15" t="str">
        <f>IFERROR(VLOOKUP($C21,[27]REKAP!$B$9:$G$200,6,0),"")</f>
        <v/>
      </c>
      <c r="CD21" s="15" t="str">
        <f>IFERROR(VLOOKUP($C21,[28]REKAP!$B$9:$D$200,3,0),"")</f>
        <v/>
      </c>
      <c r="CE21" s="15" t="str">
        <f>IFERROR(VLOOKUP($C21,[28]REKAP!$B$9:$E$200,4,0),"")</f>
        <v/>
      </c>
      <c r="CF21" s="15" t="str">
        <f>IFERROR(VLOOKUP($C21,[28]REKAP!$B$9:$G$200,6,0),"")</f>
        <v/>
      </c>
      <c r="CG21" s="15" t="str">
        <f>IFERROR(VLOOKUP($C21,[29]REKAP!$B$9:$D$200,3,0),"")</f>
        <v/>
      </c>
      <c r="CH21" s="15" t="str">
        <f>IFERROR(VLOOKUP($C21,[29]REKAP!$B$9:$E$200,4,0),"")</f>
        <v/>
      </c>
      <c r="CI21" s="15" t="str">
        <f>IFERROR(VLOOKUP($C21,[29]REKAP!$B$9:$G$200,6,0),"")</f>
        <v/>
      </c>
      <c r="CJ21" s="15" t="str">
        <f>IFERROR(VLOOKUP($C21,[30]REKAP!$B$9:$D$200,3,0),"")</f>
        <v/>
      </c>
      <c r="CK21" s="15" t="str">
        <f>IFERROR(VLOOKUP($C21,[30]REKAP!$B$9:$E$200,4,0),"")</f>
        <v/>
      </c>
      <c r="CL21" s="15" t="str">
        <f>IFERROR(VLOOKUP($C21,[30]REKAP!$B$9:$G$200,6,0),"")</f>
        <v/>
      </c>
      <c r="CM21" s="15" t="str">
        <f>IFERROR(VLOOKUP($C21,[31]REKAP!$B$9:$D$200,3,0),"")</f>
        <v/>
      </c>
      <c r="CN21" s="15" t="str">
        <f>IFERROR(VLOOKUP($C21,[31]REKAP!$B$9:$E$200,4,0),"")</f>
        <v/>
      </c>
      <c r="CO21" s="15" t="str">
        <f>IFERROR(VLOOKUP($C21,[31]REKAP!$B$9:$G$200,6,0),"")</f>
        <v/>
      </c>
      <c r="CP21" s="15" t="str">
        <f>IFERROR(VLOOKUP($C21,[32]REKAP!$B$9:$D$200,3,0),"")</f>
        <v/>
      </c>
      <c r="CQ21" s="15" t="str">
        <f>IFERROR(VLOOKUP($C21,[32]REKAP!$B$9:$E$200,4,0),"")</f>
        <v/>
      </c>
      <c r="CR21" s="15" t="str">
        <f>IFERROR(VLOOKUP($C21,[32]REKAP!$B$9:$G$200,6,0),"")</f>
        <v/>
      </c>
      <c r="CS21" s="15" t="str">
        <f>IFERROR(VLOOKUP($C21,[33]REKAP!$B$9:$D$200,3,0),"")</f>
        <v/>
      </c>
      <c r="CT21" s="15" t="str">
        <f>IFERROR(VLOOKUP($C21,[33]REKAP!$B$9:$E$200,4,0),"")</f>
        <v/>
      </c>
      <c r="CU21" s="15" t="str">
        <f>IFERROR(VLOOKUP($C21,[33]REKAP!$B$9:$G$200,6,0),"")</f>
        <v/>
      </c>
      <c r="CV21" s="15" t="str">
        <f>IFERROR(VLOOKUP($C21,[34]REKAP!$B$9:$D$200,3,0),"")</f>
        <v/>
      </c>
      <c r="CW21" s="15" t="str">
        <f>IFERROR(VLOOKUP($C21,[34]REKAP!$B$9:$E$200,4,0),"")</f>
        <v/>
      </c>
      <c r="CX21" s="15" t="str">
        <f>IFERROR(VLOOKUP($C21,[34]REKAP!$B$9:$G$200,6,0),"")</f>
        <v/>
      </c>
    </row>
    <row r="22" spans="3:102" x14ac:dyDescent="0.25">
      <c r="C22" s="7" t="s">
        <v>69</v>
      </c>
      <c r="D22" s="5" t="str">
        <f>IFERROR(VLOOKUP(C22,DBASE!$C$7:$D$207,2,0),"")</f>
        <v>SIIP COKLAT 2000</v>
      </c>
      <c r="E22" s="15">
        <f t="shared" si="0"/>
        <v>2</v>
      </c>
      <c r="F22" s="15">
        <f t="shared" si="0"/>
        <v>92000</v>
      </c>
      <c r="H22" s="15">
        <f t="shared" si="0"/>
        <v>6323.6504790419131</v>
      </c>
      <c r="J22" s="15">
        <f>IFERROR(VLOOKUP($C22,[4]REKAP!$B$9:$D$200,3,0),"")</f>
        <v>0</v>
      </c>
      <c r="K22" s="15">
        <f>IFERROR(VLOOKUP($C22,[4]REKAP!$B$9:$E$200,4,0),"")</f>
        <v>0</v>
      </c>
      <c r="L22" s="15">
        <f>IFERROR(VLOOKUP($C22,[4]REKAP!$B$9:$G$200,6,0),"")</f>
        <v>0</v>
      </c>
      <c r="M22" s="15" t="str">
        <f>IFERROR(VLOOKUP($C22,[5]REKAP!$B$9:$D$200,3,0),"")</f>
        <v/>
      </c>
      <c r="N22" s="15" t="str">
        <f>IFERROR(VLOOKUP($C22,[5]REKAP!$B$9:$E$200,4,0),"")</f>
        <v/>
      </c>
      <c r="O22" s="15" t="str">
        <f>IFERROR(VLOOKUP($C22,[5]REKAP!$B$9:$G$200,6,0),"")</f>
        <v/>
      </c>
      <c r="P22" s="15" t="str">
        <f>IFERROR(VLOOKUP($C22,[6]REKAP!$B$9:$D$200,3,0),"")</f>
        <v/>
      </c>
      <c r="Q22" s="15" t="str">
        <f>IFERROR(VLOOKUP($C22,[6]REKAP!$B$9:$E$200,4,0),"")</f>
        <v/>
      </c>
      <c r="R22" s="15" t="str">
        <f>IFERROR(VLOOKUP($C22,[6]REKAP!$B$9:$G$200,6,0),"")</f>
        <v/>
      </c>
      <c r="S22" s="15">
        <f>IFERROR(VLOOKUP($C22,[7]REKAP!$B$9:$D$200,3,0),"")</f>
        <v>0</v>
      </c>
      <c r="T22" s="15">
        <f>IFERROR(VLOOKUP($C22,[7]REKAP!$B$9:$E$200,4,0),"")</f>
        <v>0</v>
      </c>
      <c r="U22" s="15">
        <f>IFERROR(VLOOKUP($C22,[7]REKAP!$B$9:$G$200,6,0),"")</f>
        <v>0</v>
      </c>
      <c r="V22" s="15">
        <f>IFERROR(VLOOKUP($C22,[8]REKAP!$B$9:$D$200,3,0),"")</f>
        <v>2</v>
      </c>
      <c r="W22" s="15">
        <f>IFERROR(VLOOKUP($C22,[8]REKAP!$B$9:$E$200,4,0),"")</f>
        <v>92000</v>
      </c>
      <c r="X22" s="15">
        <f>IFERROR(VLOOKUP($C22,[8]REKAP!$B$9:$G$200,6,0),"")</f>
        <v>6323.6504790419131</v>
      </c>
      <c r="Y22" s="15">
        <f>IFERROR(VLOOKUP($C22,[9]REKAP!$B$9:$D$200,3,0),"")</f>
        <v>0</v>
      </c>
      <c r="Z22" s="15">
        <f>IFERROR(VLOOKUP($C22,[9]REKAP!$B$9:$E$200,4,0),"")</f>
        <v>0</v>
      </c>
      <c r="AA22" s="15">
        <f>IFERROR(VLOOKUP($C22,[9]REKAP!$B$9:$G$200,6,0),"")</f>
        <v>0</v>
      </c>
      <c r="AB22" s="15">
        <f>IFERROR(VLOOKUP($C22,[10]REKAP!$B$9:$D$200,3,0),"")</f>
        <v>0</v>
      </c>
      <c r="AC22" s="15">
        <f>IFERROR(VLOOKUP($C22,[10]REKAP!$B$9:$E$200,4,0),"")</f>
        <v>0</v>
      </c>
      <c r="AD22" s="15">
        <f>IFERROR(VLOOKUP($C22,[10]REKAP!$B$9:$G$200,6,0),"")</f>
        <v>0</v>
      </c>
      <c r="AE22" s="15">
        <f>IFERROR(VLOOKUP($C22,[11]REKAP!$B$9:$D$199,3,0),"")</f>
        <v>0</v>
      </c>
      <c r="AF22" s="15">
        <f>IFERROR(VLOOKUP($C22,[11]REKAP!$B$9:$E$199,4,0),"")</f>
        <v>0</v>
      </c>
      <c r="AG22" s="15">
        <f>IFERROR(VLOOKUP($C22,[11]REKAP!$B$9:$G$199,6,0),"")</f>
        <v>0</v>
      </c>
      <c r="AH22" s="15">
        <f>IFERROR(VLOOKUP($C22,[12]REKAP!$B$9:$D$200,3,0),"")</f>
        <v>0</v>
      </c>
      <c r="AI22" s="15">
        <f>IFERROR(VLOOKUP($C22,[12]REKAP!$B$9:$E$200,4,0),"")</f>
        <v>0</v>
      </c>
      <c r="AJ22" s="15">
        <f>IFERROR(VLOOKUP($C22,[12]REKAP!$B$9:$G$200,6,0),"")</f>
        <v>0</v>
      </c>
      <c r="AK22" s="15">
        <f>IFERROR(VLOOKUP($C22,[13]REKAP!$B$9:$D$200,3,0),"")</f>
        <v>0</v>
      </c>
      <c r="AL22" s="15">
        <f>IFERROR(VLOOKUP($C22,[13]REKAP!$B$9:$E$200,4,0),"")</f>
        <v>0</v>
      </c>
      <c r="AM22" s="15">
        <f>IFERROR(VLOOKUP($C22,[13]REKAP!$B$9:$G$200,6,0),"")</f>
        <v>0</v>
      </c>
      <c r="AN22" s="15">
        <f>IFERROR(VLOOKUP($C22,[14]REKAP!$B$9:$D$200,3,0),"")</f>
        <v>0</v>
      </c>
      <c r="AO22" s="15">
        <f>IFERROR(VLOOKUP($C22,[14]REKAP!$B$9:$E$200,4,0),"")</f>
        <v>0</v>
      </c>
      <c r="AP22" s="15">
        <f>IFERROR(VLOOKUP($C22,[14]REKAP!$B$9:$G$200,6,0),"")</f>
        <v>0</v>
      </c>
      <c r="AQ22" s="15">
        <f>IFERROR(VLOOKUP($C22,[15]REKAP!$B$9:$D$200,3,0),"")</f>
        <v>0</v>
      </c>
      <c r="AR22" s="15">
        <f>IFERROR(VLOOKUP($C22,[15]REKAP!$B$9:$E$200,4,0),"")</f>
        <v>0</v>
      </c>
      <c r="AS22" s="15">
        <f>IFERROR(VLOOKUP($C22,[15]REKAP!$B$9:$G$200,6,0),"")</f>
        <v>0</v>
      </c>
      <c r="AT22" s="15">
        <f>IFERROR(VLOOKUP($C22,[16]REKAP!$B$9:$D$200,3,0),"")</f>
        <v>0</v>
      </c>
      <c r="AU22" s="15">
        <f>IFERROR(VLOOKUP($C22,[16]REKAP!$B$9:$E$200,4,0),"")</f>
        <v>0</v>
      </c>
      <c r="AV22" s="15">
        <f>IFERROR(VLOOKUP($C22,[16]REKAP!$B$9:$G$200,6,0),"")</f>
        <v>0</v>
      </c>
      <c r="AW22" s="15">
        <f>IFERROR(VLOOKUP($C22,[17]REKAP!$B$9:$D$200,3,0),"")</f>
        <v>0</v>
      </c>
      <c r="AX22" s="15">
        <f>IFERROR(VLOOKUP($C22,[17]REKAP!$B$9:$E$200,4,0),"")</f>
        <v>0</v>
      </c>
      <c r="AY22" s="15">
        <f>IFERROR(VLOOKUP($C22,[17]REKAP!$B$9:$G$200,6,0),"")</f>
        <v>0</v>
      </c>
      <c r="AZ22" s="15" t="str">
        <f>IFERROR(VLOOKUP($C22,[18]REKAP!$B$9:$D$200,3,0),"")</f>
        <v/>
      </c>
      <c r="BA22" s="15" t="str">
        <f>IFERROR(VLOOKUP($C22,[18]REKAP!$B$9:$E$200,4,0),"")</f>
        <v/>
      </c>
      <c r="BB22" s="15" t="str">
        <f>IFERROR(VLOOKUP($C22,[18]REKAP!$B$9:$G$200,6,0),"")</f>
        <v/>
      </c>
      <c r="BC22" s="15" t="str">
        <f>IFERROR(VLOOKUP($C22,[19]REKAP!$B$9:$D$200,3,0),"")</f>
        <v/>
      </c>
      <c r="BD22" s="15" t="str">
        <f>IFERROR(VLOOKUP($C22,[19]REKAP!$B$9:$E$200,4,0),"")</f>
        <v/>
      </c>
      <c r="BE22" s="15" t="str">
        <f>IFERROR(VLOOKUP($C22,[19]REKAP!$B$9:$G$200,6,0),"")</f>
        <v/>
      </c>
      <c r="BF22" s="15" t="str">
        <f>IFERROR(VLOOKUP($C22,[20]REKAP!$B$9:$D$200,3,0),"")</f>
        <v/>
      </c>
      <c r="BG22" s="15" t="str">
        <f>IFERROR(VLOOKUP($C22,[20]REKAP!$B$9:$E$200,4,0),"")</f>
        <v/>
      </c>
      <c r="BH22" s="15" t="str">
        <f>IFERROR(VLOOKUP($C22,[20]REKAP!$B$9:$G$200,6,0),"")</f>
        <v/>
      </c>
      <c r="BI22" s="15" t="str">
        <f>IFERROR(VLOOKUP($C22,[21]REKAP!$B$9:$D$200,3,0),"")</f>
        <v/>
      </c>
      <c r="BJ22" s="15" t="str">
        <f>IFERROR(VLOOKUP($C22,[21]REKAP!$B$9:$E$200,4,0),"")</f>
        <v/>
      </c>
      <c r="BK22" s="15" t="str">
        <f>IFERROR(VLOOKUP($C22,[21]REKAP!$B$9:$G$200,6,0),"")</f>
        <v/>
      </c>
      <c r="BL22" s="15" t="str">
        <f>IFERROR(VLOOKUP($C22,[22]REKAP!$B$9:$D$200,3,0),"")</f>
        <v/>
      </c>
      <c r="BM22" s="15" t="str">
        <f>IFERROR(VLOOKUP($C22,[22]REKAP!$B$9:$E$200,4,0),"")</f>
        <v/>
      </c>
      <c r="BN22" s="15" t="str">
        <f>IFERROR(VLOOKUP($C22,[22]REKAP!$B$9:$G$200,6,0),"")</f>
        <v/>
      </c>
      <c r="BO22" s="15" t="str">
        <f>IFERROR(VLOOKUP($C22,[23]REKAP!$B$9:$D$200,3,0),"")</f>
        <v/>
      </c>
      <c r="BP22" s="15" t="str">
        <f>IFERROR(VLOOKUP($C22,[23]REKAP!$B$9:$E$200,4,0),"")</f>
        <v/>
      </c>
      <c r="BQ22" s="15" t="str">
        <f>IFERROR(VLOOKUP($C22,[23]REKAP!$B$9:$G$200,6,0),"")</f>
        <v/>
      </c>
      <c r="BR22" s="15" t="str">
        <f>IFERROR(VLOOKUP($C22,[24]REKAP!$B$9:$D$200,3,0),"")</f>
        <v/>
      </c>
      <c r="BS22" s="15" t="str">
        <f>IFERROR(VLOOKUP($C22,[24]REKAP!$B$9:$E$200,4,0),"")</f>
        <v/>
      </c>
      <c r="BT22" s="15" t="str">
        <f>IFERROR(VLOOKUP($C22,[24]REKAP!$B$9:$G$200,6,0),"")</f>
        <v/>
      </c>
      <c r="BU22" s="15" t="str">
        <f>IFERROR(VLOOKUP($C22,[25]REKAP!$B$9:$D$200,3,0),"")</f>
        <v/>
      </c>
      <c r="BV22" s="15" t="str">
        <f>IFERROR(VLOOKUP($C22,[25]REKAP!$B$9:$E$200,4,0),"")</f>
        <v/>
      </c>
      <c r="BW22" s="15" t="str">
        <f>IFERROR(VLOOKUP($C22,[25]REKAP!$B$9:$G$200,6,0),"")</f>
        <v/>
      </c>
      <c r="BX22" s="15" t="str">
        <f>IFERROR(VLOOKUP($C22,[26]REKAP!$B$9:$D$200,3,0),"")</f>
        <v/>
      </c>
      <c r="BY22" s="15" t="str">
        <f>IFERROR(VLOOKUP($C22,[26]REKAP!$B$9:$E$200,4,0),"")</f>
        <v/>
      </c>
      <c r="BZ22" s="15" t="str">
        <f>IFERROR(VLOOKUP($C22,[26]REKAP!$B$9:$G$200,6,0),"")</f>
        <v/>
      </c>
      <c r="CA22" s="15" t="str">
        <f>IFERROR(VLOOKUP($C22,[27]REKAP!$B$9:$D$200,3,0),"")</f>
        <v/>
      </c>
      <c r="CB22" s="15" t="str">
        <f>IFERROR(VLOOKUP($C22,[27]REKAP!$B$9:$E$200,4,0),"")</f>
        <v/>
      </c>
      <c r="CC22" s="15" t="str">
        <f>IFERROR(VLOOKUP($C22,[27]REKAP!$B$9:$G$200,6,0),"")</f>
        <v/>
      </c>
      <c r="CD22" s="15" t="str">
        <f>IFERROR(VLOOKUP($C22,[28]REKAP!$B$9:$D$200,3,0),"")</f>
        <v/>
      </c>
      <c r="CE22" s="15" t="str">
        <f>IFERROR(VLOOKUP($C22,[28]REKAP!$B$9:$E$200,4,0),"")</f>
        <v/>
      </c>
      <c r="CF22" s="15" t="str">
        <f>IFERROR(VLOOKUP($C22,[28]REKAP!$B$9:$G$200,6,0),"")</f>
        <v/>
      </c>
      <c r="CG22" s="15" t="str">
        <f>IFERROR(VLOOKUP($C22,[29]REKAP!$B$9:$D$200,3,0),"")</f>
        <v/>
      </c>
      <c r="CH22" s="15" t="str">
        <f>IFERROR(VLOOKUP($C22,[29]REKAP!$B$9:$E$200,4,0),"")</f>
        <v/>
      </c>
      <c r="CI22" s="15" t="str">
        <f>IFERROR(VLOOKUP($C22,[29]REKAP!$B$9:$G$200,6,0),"")</f>
        <v/>
      </c>
      <c r="CJ22" s="15" t="str">
        <f>IFERROR(VLOOKUP($C22,[30]REKAP!$B$9:$D$200,3,0),"")</f>
        <v/>
      </c>
      <c r="CK22" s="15" t="str">
        <f>IFERROR(VLOOKUP($C22,[30]REKAP!$B$9:$E$200,4,0),"")</f>
        <v/>
      </c>
      <c r="CL22" s="15" t="str">
        <f>IFERROR(VLOOKUP($C22,[30]REKAP!$B$9:$G$200,6,0),"")</f>
        <v/>
      </c>
      <c r="CM22" s="15" t="str">
        <f>IFERROR(VLOOKUP($C22,[31]REKAP!$B$9:$D$200,3,0),"")</f>
        <v/>
      </c>
      <c r="CN22" s="15" t="str">
        <f>IFERROR(VLOOKUP($C22,[31]REKAP!$B$9:$E$200,4,0),"")</f>
        <v/>
      </c>
      <c r="CO22" s="15" t="str">
        <f>IFERROR(VLOOKUP($C22,[31]REKAP!$B$9:$G$200,6,0),"")</f>
        <v/>
      </c>
      <c r="CP22" s="15" t="str">
        <f>IFERROR(VLOOKUP($C22,[32]REKAP!$B$9:$D$200,3,0),"")</f>
        <v/>
      </c>
      <c r="CQ22" s="15" t="str">
        <f>IFERROR(VLOOKUP($C22,[32]REKAP!$B$9:$E$200,4,0),"")</f>
        <v/>
      </c>
      <c r="CR22" s="15" t="str">
        <f>IFERROR(VLOOKUP($C22,[32]REKAP!$B$9:$G$200,6,0),"")</f>
        <v/>
      </c>
      <c r="CS22" s="15" t="str">
        <f>IFERROR(VLOOKUP($C22,[33]REKAP!$B$9:$D$200,3,0),"")</f>
        <v/>
      </c>
      <c r="CT22" s="15" t="str">
        <f>IFERROR(VLOOKUP($C22,[33]REKAP!$B$9:$E$200,4,0),"")</f>
        <v/>
      </c>
      <c r="CU22" s="15" t="str">
        <f>IFERROR(VLOOKUP($C22,[33]REKAP!$B$9:$G$200,6,0),"")</f>
        <v/>
      </c>
      <c r="CV22" s="15" t="str">
        <f>IFERROR(VLOOKUP($C22,[34]REKAP!$B$9:$D$200,3,0),"")</f>
        <v/>
      </c>
      <c r="CW22" s="15" t="str">
        <f>IFERROR(VLOOKUP($C22,[34]REKAP!$B$9:$E$200,4,0),"")</f>
        <v/>
      </c>
      <c r="CX22" s="15" t="str">
        <f>IFERROR(VLOOKUP($C22,[34]REKAP!$B$9:$G$200,6,0),"")</f>
        <v/>
      </c>
    </row>
    <row r="23" spans="3:102" x14ac:dyDescent="0.25">
      <c r="C23" s="7" t="s">
        <v>66</v>
      </c>
      <c r="D23" s="5" t="str">
        <f>IFERROR(VLOOKUP(C23,DBASE!$C$7:$D$207,2,0),"")</f>
        <v>ROLL KEJU 500</v>
      </c>
      <c r="E23" s="15">
        <f t="shared" si="0"/>
        <v>28</v>
      </c>
      <c r="F23" s="15">
        <f t="shared" si="0"/>
        <v>1308216.5589999999</v>
      </c>
      <c r="H23" s="15">
        <f t="shared" si="0"/>
        <v>103957.32734211703</v>
      </c>
      <c r="J23" s="15">
        <f>IFERROR(VLOOKUP($C23,[4]REKAP!$B$9:$D$200,3,0),"")</f>
        <v>0</v>
      </c>
      <c r="K23" s="15">
        <f>IFERROR(VLOOKUP($C23,[4]REKAP!$B$9:$E$200,4,0),"")</f>
        <v>0</v>
      </c>
      <c r="L23" s="15">
        <f>IFERROR(VLOOKUP($C23,[4]REKAP!$B$9:$G$200,6,0),"")</f>
        <v>0</v>
      </c>
      <c r="M23" s="15" t="str">
        <f>IFERROR(VLOOKUP($C23,[5]REKAP!$B$9:$D$200,3,0),"")</f>
        <v/>
      </c>
      <c r="N23" s="15" t="str">
        <f>IFERROR(VLOOKUP($C23,[5]REKAP!$B$9:$E$200,4,0),"")</f>
        <v/>
      </c>
      <c r="O23" s="15" t="str">
        <f>IFERROR(VLOOKUP($C23,[5]REKAP!$B$9:$G$200,6,0),"")</f>
        <v/>
      </c>
      <c r="P23" s="15" t="str">
        <f>IFERROR(VLOOKUP($C23,[6]REKAP!$B$9:$D$200,3,0),"")</f>
        <v/>
      </c>
      <c r="Q23" s="15" t="str">
        <f>IFERROR(VLOOKUP($C23,[6]REKAP!$B$9:$E$200,4,0),"")</f>
        <v/>
      </c>
      <c r="R23" s="15" t="str">
        <f>IFERROR(VLOOKUP($C23,[6]REKAP!$B$9:$G$200,6,0),"")</f>
        <v/>
      </c>
      <c r="S23" s="15">
        <f>IFERROR(VLOOKUP($C23,[7]REKAP!$B$9:$D$200,3,0),"")</f>
        <v>4</v>
      </c>
      <c r="T23" s="15">
        <f>IFERROR(VLOOKUP($C23,[7]REKAP!$B$9:$E$200,4,0),"")</f>
        <v>186240</v>
      </c>
      <c r="U23" s="15">
        <f>IFERROR(VLOOKUP($C23,[7]REKAP!$B$9:$G$200,6,0),"")</f>
        <v>14202.966906016722</v>
      </c>
      <c r="V23" s="15">
        <f>IFERROR(VLOOKUP($C23,[8]REKAP!$B$9:$D$200,3,0),"")</f>
        <v>8</v>
      </c>
      <c r="W23" s="15">
        <f>IFERROR(VLOOKUP($C23,[8]REKAP!$B$9:$E$200,4,0),"")</f>
        <v>372000</v>
      </c>
      <c r="X23" s="15">
        <f>IFERROR(VLOOKUP($C23,[8]REKAP!$B$9:$G$200,6,0),"")</f>
        <v>27925.933812033443</v>
      </c>
      <c r="Y23" s="15">
        <f>IFERROR(VLOOKUP($C23,[9]REKAP!$B$9:$D$200,3,0),"")</f>
        <v>5</v>
      </c>
      <c r="Z23" s="15">
        <f>IFERROR(VLOOKUP($C23,[9]REKAP!$B$9:$E$200,4,0),"")</f>
        <v>232500</v>
      </c>
      <c r="AA23" s="15">
        <f>IFERROR(VLOOKUP($C23,[9]REKAP!$B$9:$G$200,6,0),"")</f>
        <v>17453.708632520902</v>
      </c>
      <c r="AB23" s="15">
        <f>IFERROR(VLOOKUP($C23,[10]REKAP!$B$9:$D$200,3,0),"")</f>
        <v>0</v>
      </c>
      <c r="AC23" s="15">
        <f>IFERROR(VLOOKUP($C23,[10]REKAP!$B$9:$E$200,4,0),"")</f>
        <v>0</v>
      </c>
      <c r="AD23" s="15">
        <f>IFERROR(VLOOKUP($C23,[10]REKAP!$B$9:$G$200,6,0),"")</f>
        <v>0</v>
      </c>
      <c r="AE23" s="15">
        <f>IFERROR(VLOOKUP($C23,[11]REKAP!$B$9:$D$199,3,0),"")</f>
        <v>3</v>
      </c>
      <c r="AF23" s="15">
        <f>IFERROR(VLOOKUP($C23,[11]REKAP!$B$9:$E$199,4,0),"")</f>
        <v>140609.4</v>
      </c>
      <c r="AG23" s="15">
        <f>IFERROR(VLOOKUP($C23,[11]REKAP!$B$9:$G$199,6,0),"")</f>
        <v>11581.625179512535</v>
      </c>
      <c r="AH23" s="15">
        <f>IFERROR(VLOOKUP($C23,[12]REKAP!$B$9:$D$200,3,0),"")</f>
        <v>8</v>
      </c>
      <c r="AI23" s="15">
        <f>IFERROR(VLOOKUP($C23,[12]REKAP!$B$9:$E$200,4,0),"")</f>
        <v>376867.15899999999</v>
      </c>
      <c r="AJ23" s="15">
        <f>IFERROR(VLOOKUP($C23,[12]REKAP!$B$9:$G$200,6,0),"")</f>
        <v>32793.092812033436</v>
      </c>
      <c r="AK23" s="15">
        <f>IFERROR(VLOOKUP($C23,[13]REKAP!$B$9:$D$200,3,0),"")</f>
        <v>0</v>
      </c>
      <c r="AL23" s="15">
        <f>IFERROR(VLOOKUP($C23,[13]REKAP!$B$9:$E$200,4,0),"")</f>
        <v>0</v>
      </c>
      <c r="AM23" s="15">
        <f>IFERROR(VLOOKUP($C23,[13]REKAP!$B$9:$G$200,6,0),"")</f>
        <v>0</v>
      </c>
      <c r="AN23" s="15">
        <f>IFERROR(VLOOKUP($C23,[14]REKAP!$B$9:$D$200,3,0),"")</f>
        <v>0</v>
      </c>
      <c r="AO23" s="15">
        <f>IFERROR(VLOOKUP($C23,[14]REKAP!$B$9:$E$200,4,0),"")</f>
        <v>0</v>
      </c>
      <c r="AP23" s="15">
        <f>IFERROR(VLOOKUP($C23,[14]REKAP!$B$9:$G$200,6,0),"")</f>
        <v>0</v>
      </c>
      <c r="AQ23" s="15">
        <f>IFERROR(VLOOKUP($C23,[15]REKAP!$B$9:$D$200,3,0),"")</f>
        <v>0</v>
      </c>
      <c r="AR23" s="15">
        <f>IFERROR(VLOOKUP($C23,[15]REKAP!$B$9:$E$200,4,0),"")</f>
        <v>0</v>
      </c>
      <c r="AS23" s="15">
        <f>IFERROR(VLOOKUP($C23,[15]REKAP!$B$9:$G$200,6,0),"")</f>
        <v>0</v>
      </c>
      <c r="AT23" s="15">
        <f>IFERROR(VLOOKUP($C23,[16]REKAP!$B$9:$D$200,3,0),"")</f>
        <v>0</v>
      </c>
      <c r="AU23" s="15">
        <f>IFERROR(VLOOKUP($C23,[16]REKAP!$B$9:$E$200,4,0),"")</f>
        <v>0</v>
      </c>
      <c r="AV23" s="15">
        <f>IFERROR(VLOOKUP($C23,[16]REKAP!$B$9:$G$200,6,0),"")</f>
        <v>0</v>
      </c>
      <c r="AW23" s="15">
        <f>IFERROR(VLOOKUP($C23,[17]REKAP!$B$9:$D$200,3,0),"")</f>
        <v>0</v>
      </c>
      <c r="AX23" s="15">
        <f>IFERROR(VLOOKUP($C23,[17]REKAP!$B$9:$E$200,4,0),"")</f>
        <v>0</v>
      </c>
      <c r="AY23" s="15">
        <f>IFERROR(VLOOKUP($C23,[17]REKAP!$B$9:$G$200,6,0),"")</f>
        <v>0</v>
      </c>
      <c r="AZ23" s="15" t="str">
        <f>IFERROR(VLOOKUP($C23,[18]REKAP!$B$9:$D$200,3,0),"")</f>
        <v/>
      </c>
      <c r="BA23" s="15" t="str">
        <f>IFERROR(VLOOKUP($C23,[18]REKAP!$B$9:$E$200,4,0),"")</f>
        <v/>
      </c>
      <c r="BB23" s="15" t="str">
        <f>IFERROR(VLOOKUP($C23,[18]REKAP!$B$9:$G$200,6,0),"")</f>
        <v/>
      </c>
      <c r="BC23" s="15" t="str">
        <f>IFERROR(VLOOKUP($C23,[19]REKAP!$B$9:$D$200,3,0),"")</f>
        <v/>
      </c>
      <c r="BD23" s="15" t="str">
        <f>IFERROR(VLOOKUP($C23,[19]REKAP!$B$9:$E$200,4,0),"")</f>
        <v/>
      </c>
      <c r="BE23" s="15" t="str">
        <f>IFERROR(VLOOKUP($C23,[19]REKAP!$B$9:$G$200,6,0),"")</f>
        <v/>
      </c>
      <c r="BF23" s="15" t="str">
        <f>IFERROR(VLOOKUP($C23,[20]REKAP!$B$9:$D$200,3,0),"")</f>
        <v/>
      </c>
      <c r="BG23" s="15" t="str">
        <f>IFERROR(VLOOKUP($C23,[20]REKAP!$B$9:$E$200,4,0),"")</f>
        <v/>
      </c>
      <c r="BH23" s="15" t="str">
        <f>IFERROR(VLOOKUP($C23,[20]REKAP!$B$9:$G$200,6,0),"")</f>
        <v/>
      </c>
      <c r="BI23" s="15" t="str">
        <f>IFERROR(VLOOKUP($C23,[21]REKAP!$B$9:$D$200,3,0),"")</f>
        <v/>
      </c>
      <c r="BJ23" s="15" t="str">
        <f>IFERROR(VLOOKUP($C23,[21]REKAP!$B$9:$E$200,4,0),"")</f>
        <v/>
      </c>
      <c r="BK23" s="15" t="str">
        <f>IFERROR(VLOOKUP($C23,[21]REKAP!$B$9:$G$200,6,0),"")</f>
        <v/>
      </c>
      <c r="BL23" s="15" t="str">
        <f>IFERROR(VLOOKUP($C23,[22]REKAP!$B$9:$D$200,3,0),"")</f>
        <v/>
      </c>
      <c r="BM23" s="15" t="str">
        <f>IFERROR(VLOOKUP($C23,[22]REKAP!$B$9:$E$200,4,0),"")</f>
        <v/>
      </c>
      <c r="BN23" s="15" t="str">
        <f>IFERROR(VLOOKUP($C23,[22]REKAP!$B$9:$G$200,6,0),"")</f>
        <v/>
      </c>
      <c r="BO23" s="15" t="str">
        <f>IFERROR(VLOOKUP($C23,[23]REKAP!$B$9:$D$200,3,0),"")</f>
        <v/>
      </c>
      <c r="BP23" s="15" t="str">
        <f>IFERROR(VLOOKUP($C23,[23]REKAP!$B$9:$E$200,4,0),"")</f>
        <v/>
      </c>
      <c r="BQ23" s="15" t="str">
        <f>IFERROR(VLOOKUP($C23,[23]REKAP!$B$9:$G$200,6,0),"")</f>
        <v/>
      </c>
      <c r="BR23" s="15" t="str">
        <f>IFERROR(VLOOKUP($C23,[24]REKAP!$B$9:$D$200,3,0),"")</f>
        <v/>
      </c>
      <c r="BS23" s="15" t="str">
        <f>IFERROR(VLOOKUP($C23,[24]REKAP!$B$9:$E$200,4,0),"")</f>
        <v/>
      </c>
      <c r="BT23" s="15" t="str">
        <f>IFERROR(VLOOKUP($C23,[24]REKAP!$B$9:$G$200,6,0),"")</f>
        <v/>
      </c>
      <c r="BU23" s="15" t="str">
        <f>IFERROR(VLOOKUP($C23,[25]REKAP!$B$9:$D$200,3,0),"")</f>
        <v/>
      </c>
      <c r="BV23" s="15" t="str">
        <f>IFERROR(VLOOKUP($C23,[25]REKAP!$B$9:$E$200,4,0),"")</f>
        <v/>
      </c>
      <c r="BW23" s="15" t="str">
        <f>IFERROR(VLOOKUP($C23,[25]REKAP!$B$9:$G$200,6,0),"")</f>
        <v/>
      </c>
      <c r="BX23" s="15" t="str">
        <f>IFERROR(VLOOKUP($C23,[26]REKAP!$B$9:$D$200,3,0),"")</f>
        <v/>
      </c>
      <c r="BY23" s="15" t="str">
        <f>IFERROR(VLOOKUP($C23,[26]REKAP!$B$9:$E$200,4,0),"")</f>
        <v/>
      </c>
      <c r="BZ23" s="15" t="str">
        <f>IFERROR(VLOOKUP($C23,[26]REKAP!$B$9:$G$200,6,0),"")</f>
        <v/>
      </c>
      <c r="CA23" s="15" t="str">
        <f>IFERROR(VLOOKUP($C23,[27]REKAP!$B$9:$D$200,3,0),"")</f>
        <v/>
      </c>
      <c r="CB23" s="15" t="str">
        <f>IFERROR(VLOOKUP($C23,[27]REKAP!$B$9:$E$200,4,0),"")</f>
        <v/>
      </c>
      <c r="CC23" s="15" t="str">
        <f>IFERROR(VLOOKUP($C23,[27]REKAP!$B$9:$G$200,6,0),"")</f>
        <v/>
      </c>
      <c r="CD23" s="15" t="str">
        <f>IFERROR(VLOOKUP($C23,[28]REKAP!$B$9:$D$200,3,0),"")</f>
        <v/>
      </c>
      <c r="CE23" s="15" t="str">
        <f>IFERROR(VLOOKUP($C23,[28]REKAP!$B$9:$E$200,4,0),"")</f>
        <v/>
      </c>
      <c r="CF23" s="15" t="str">
        <f>IFERROR(VLOOKUP($C23,[28]REKAP!$B$9:$G$200,6,0),"")</f>
        <v/>
      </c>
      <c r="CG23" s="15" t="str">
        <f>IFERROR(VLOOKUP($C23,[29]REKAP!$B$9:$D$200,3,0),"")</f>
        <v/>
      </c>
      <c r="CH23" s="15" t="str">
        <f>IFERROR(VLOOKUP($C23,[29]REKAP!$B$9:$E$200,4,0),"")</f>
        <v/>
      </c>
      <c r="CI23" s="15" t="str">
        <f>IFERROR(VLOOKUP($C23,[29]REKAP!$B$9:$G$200,6,0),"")</f>
        <v/>
      </c>
      <c r="CJ23" s="15" t="str">
        <f>IFERROR(VLOOKUP($C23,[30]REKAP!$B$9:$D$200,3,0),"")</f>
        <v/>
      </c>
      <c r="CK23" s="15" t="str">
        <f>IFERROR(VLOOKUP($C23,[30]REKAP!$B$9:$E$200,4,0),"")</f>
        <v/>
      </c>
      <c r="CL23" s="15" t="str">
        <f>IFERROR(VLOOKUP($C23,[30]REKAP!$B$9:$G$200,6,0),"")</f>
        <v/>
      </c>
      <c r="CM23" s="15" t="str">
        <f>IFERROR(VLOOKUP($C23,[31]REKAP!$B$9:$D$200,3,0),"")</f>
        <v/>
      </c>
      <c r="CN23" s="15" t="str">
        <f>IFERROR(VLOOKUP($C23,[31]REKAP!$B$9:$E$200,4,0),"")</f>
        <v/>
      </c>
      <c r="CO23" s="15" t="str">
        <f>IFERROR(VLOOKUP($C23,[31]REKAP!$B$9:$G$200,6,0),"")</f>
        <v/>
      </c>
      <c r="CP23" s="15" t="str">
        <f>IFERROR(VLOOKUP($C23,[32]REKAP!$B$9:$D$200,3,0),"")</f>
        <v/>
      </c>
      <c r="CQ23" s="15" t="str">
        <f>IFERROR(VLOOKUP($C23,[32]REKAP!$B$9:$E$200,4,0),"")</f>
        <v/>
      </c>
      <c r="CR23" s="15" t="str">
        <f>IFERROR(VLOOKUP($C23,[32]REKAP!$B$9:$G$200,6,0),"")</f>
        <v/>
      </c>
      <c r="CS23" s="15" t="str">
        <f>IFERROR(VLOOKUP($C23,[33]REKAP!$B$9:$D$200,3,0),"")</f>
        <v/>
      </c>
      <c r="CT23" s="15" t="str">
        <f>IFERROR(VLOOKUP($C23,[33]REKAP!$B$9:$E$200,4,0),"")</f>
        <v/>
      </c>
      <c r="CU23" s="15" t="str">
        <f>IFERROR(VLOOKUP($C23,[33]REKAP!$B$9:$G$200,6,0),"")</f>
        <v/>
      </c>
      <c r="CV23" s="15" t="str">
        <f>IFERROR(VLOOKUP($C23,[34]REKAP!$B$9:$D$200,3,0),"")</f>
        <v/>
      </c>
      <c r="CW23" s="15" t="str">
        <f>IFERROR(VLOOKUP($C23,[34]REKAP!$B$9:$E$200,4,0),"")</f>
        <v/>
      </c>
      <c r="CX23" s="15" t="str">
        <f>IFERROR(VLOOKUP($C23,[34]REKAP!$B$9:$G$200,6,0),"")</f>
        <v/>
      </c>
    </row>
    <row r="24" spans="3:102" x14ac:dyDescent="0.25">
      <c r="C24" s="7" t="s">
        <v>70</v>
      </c>
      <c r="D24" s="5" t="str">
        <f>IFERROR(VLOOKUP(C24,DBASE!$C$7:$D$207,2,0),"")</f>
        <v>ROLL KEJU 2000</v>
      </c>
      <c r="E24" s="15">
        <f t="shared" si="0"/>
        <v>6.333333333333333</v>
      </c>
      <c r="F24" s="15">
        <f t="shared" si="0"/>
        <v>585318.91200000001</v>
      </c>
      <c r="H24" s="15">
        <f t="shared" si="0"/>
        <v>17683.050326354649</v>
      </c>
      <c r="J24" s="15">
        <f>IFERROR(VLOOKUP($C24,[4]REKAP!$B$9:$D$200,3,0),"")</f>
        <v>0</v>
      </c>
      <c r="K24" s="15">
        <f>IFERROR(VLOOKUP($C24,[4]REKAP!$B$9:$E$200,4,0),"")</f>
        <v>0</v>
      </c>
      <c r="L24" s="15">
        <f>IFERROR(VLOOKUP($C24,[4]REKAP!$B$9:$G$200,6,0),"")</f>
        <v>0</v>
      </c>
      <c r="M24" s="15" t="str">
        <f>IFERROR(VLOOKUP($C24,[5]REKAP!$B$9:$D$200,3,0),"")</f>
        <v/>
      </c>
      <c r="N24" s="15" t="str">
        <f>IFERROR(VLOOKUP($C24,[5]REKAP!$B$9:$E$200,4,0),"")</f>
        <v/>
      </c>
      <c r="O24" s="15" t="str">
        <f>IFERROR(VLOOKUP($C24,[5]REKAP!$B$9:$G$200,6,0),"")</f>
        <v/>
      </c>
      <c r="P24" s="15" t="str">
        <f>IFERROR(VLOOKUP($C24,[6]REKAP!$B$9:$D$200,3,0),"")</f>
        <v/>
      </c>
      <c r="Q24" s="15" t="str">
        <f>IFERROR(VLOOKUP($C24,[6]REKAP!$B$9:$E$200,4,0),"")</f>
        <v/>
      </c>
      <c r="R24" s="15" t="str">
        <f>IFERROR(VLOOKUP($C24,[6]REKAP!$B$9:$G$200,6,0),"")</f>
        <v/>
      </c>
      <c r="S24" s="15">
        <f>IFERROR(VLOOKUP($C24,[7]REKAP!$B$9:$D$200,3,0),"")</f>
        <v>2</v>
      </c>
      <c r="T24" s="15">
        <f>IFERROR(VLOOKUP($C24,[7]REKAP!$B$9:$E$200,4,0),"")</f>
        <v>183912</v>
      </c>
      <c r="U24" s="15">
        <f>IFERROR(VLOOKUP($C24,[7]REKAP!$B$9:$G$200,6,0),"")</f>
        <v>4722.399939991592</v>
      </c>
      <c r="V24" s="15">
        <f>IFERROR(VLOOKUP($C24,[8]REKAP!$B$9:$D$200,3,0),"")</f>
        <v>0</v>
      </c>
      <c r="W24" s="15">
        <f>IFERROR(VLOOKUP($C24,[8]REKAP!$B$9:$E$200,4,0),"")</f>
        <v>0</v>
      </c>
      <c r="X24" s="15">
        <f>IFERROR(VLOOKUP($C24,[8]REKAP!$B$9:$G$200,6,0),"")</f>
        <v>0</v>
      </c>
      <c r="Y24" s="15">
        <f>IFERROR(VLOOKUP($C24,[9]REKAP!$B$9:$D$200,3,0),"")</f>
        <v>0</v>
      </c>
      <c r="Z24" s="15">
        <f>IFERROR(VLOOKUP($C24,[9]REKAP!$B$9:$E$200,4,0),"")</f>
        <v>0</v>
      </c>
      <c r="AA24" s="15">
        <f>IFERROR(VLOOKUP($C24,[9]REKAP!$B$9:$G$200,6,0),"")</f>
        <v>0</v>
      </c>
      <c r="AB24" s="15">
        <f>IFERROR(VLOOKUP($C24,[10]REKAP!$B$9:$D$200,3,0),"")</f>
        <v>0</v>
      </c>
      <c r="AC24" s="15">
        <f>IFERROR(VLOOKUP($C24,[10]REKAP!$B$9:$E$200,4,0),"")</f>
        <v>0</v>
      </c>
      <c r="AD24" s="15">
        <f>IFERROR(VLOOKUP($C24,[10]REKAP!$B$9:$G$200,6,0),"")</f>
        <v>0</v>
      </c>
      <c r="AE24" s="15">
        <f>IFERROR(VLOOKUP($C24,[11]REKAP!$B$9:$D$199,3,0),"")</f>
        <v>1</v>
      </c>
      <c r="AF24" s="15">
        <f>IFERROR(VLOOKUP($C24,[11]REKAP!$B$9:$E$199,4,0),"")</f>
        <v>92200</v>
      </c>
      <c r="AG24" s="15">
        <f>IFERROR(VLOOKUP($C24,[11]REKAP!$B$9:$G$199,6,0),"")</f>
        <v>2558.5550122376299</v>
      </c>
      <c r="AH24" s="15">
        <f>IFERROR(VLOOKUP($C24,[12]REKAP!$B$9:$D$200,3,0),"")</f>
        <v>3.333333333333333</v>
      </c>
      <c r="AI24" s="15">
        <f>IFERROR(VLOOKUP($C24,[12]REKAP!$B$9:$E$200,4,0),"")</f>
        <v>309206.91200000001</v>
      </c>
      <c r="AJ24" s="15">
        <f>IFERROR(VLOOKUP($C24,[12]REKAP!$B$9:$G$200,6,0),"")</f>
        <v>10402.095374125429</v>
      </c>
      <c r="AK24" s="15">
        <f>IFERROR(VLOOKUP($C24,[13]REKAP!$B$9:$D$200,3,0),"")</f>
        <v>0</v>
      </c>
      <c r="AL24" s="15">
        <f>IFERROR(VLOOKUP($C24,[13]REKAP!$B$9:$E$200,4,0),"")</f>
        <v>0</v>
      </c>
      <c r="AM24" s="15">
        <f>IFERROR(VLOOKUP($C24,[13]REKAP!$B$9:$G$200,6,0),"")</f>
        <v>0</v>
      </c>
      <c r="AN24" s="15">
        <f>IFERROR(VLOOKUP($C24,[14]REKAP!$B$9:$D$200,3,0),"")</f>
        <v>0</v>
      </c>
      <c r="AO24" s="15">
        <f>IFERROR(VLOOKUP($C24,[14]REKAP!$B$9:$E$200,4,0),"")</f>
        <v>0</v>
      </c>
      <c r="AP24" s="15">
        <f>IFERROR(VLOOKUP($C24,[14]REKAP!$B$9:$G$200,6,0),"")</f>
        <v>0</v>
      </c>
      <c r="AQ24" s="15">
        <f>IFERROR(VLOOKUP($C24,[15]REKAP!$B$9:$D$200,3,0),"")</f>
        <v>0</v>
      </c>
      <c r="AR24" s="15">
        <f>IFERROR(VLOOKUP($C24,[15]REKAP!$B$9:$E$200,4,0),"")</f>
        <v>0</v>
      </c>
      <c r="AS24" s="15">
        <f>IFERROR(VLOOKUP($C24,[15]REKAP!$B$9:$G$200,6,0),"")</f>
        <v>0</v>
      </c>
      <c r="AT24" s="15">
        <f>IFERROR(VLOOKUP($C24,[16]REKAP!$B$9:$D$200,3,0),"")</f>
        <v>0</v>
      </c>
      <c r="AU24" s="15">
        <f>IFERROR(VLOOKUP($C24,[16]REKAP!$B$9:$E$200,4,0),"")</f>
        <v>0</v>
      </c>
      <c r="AV24" s="15">
        <f>IFERROR(VLOOKUP($C24,[16]REKAP!$B$9:$G$200,6,0),"")</f>
        <v>0</v>
      </c>
      <c r="AW24" s="15">
        <f>IFERROR(VLOOKUP($C24,[17]REKAP!$B$9:$D$200,3,0),"")</f>
        <v>0</v>
      </c>
      <c r="AX24" s="15">
        <f>IFERROR(VLOOKUP($C24,[17]REKAP!$B$9:$E$200,4,0),"")</f>
        <v>0</v>
      </c>
      <c r="AY24" s="15">
        <f>IFERROR(VLOOKUP($C24,[17]REKAP!$B$9:$G$200,6,0),"")</f>
        <v>0</v>
      </c>
      <c r="AZ24" s="15" t="str">
        <f>IFERROR(VLOOKUP($C24,[18]REKAP!$B$9:$D$200,3,0),"")</f>
        <v/>
      </c>
      <c r="BA24" s="15" t="str">
        <f>IFERROR(VLOOKUP($C24,[18]REKAP!$B$9:$E$200,4,0),"")</f>
        <v/>
      </c>
      <c r="BB24" s="15" t="str">
        <f>IFERROR(VLOOKUP($C24,[18]REKAP!$B$9:$G$200,6,0),"")</f>
        <v/>
      </c>
      <c r="BC24" s="15" t="str">
        <f>IFERROR(VLOOKUP($C24,[19]REKAP!$B$9:$D$200,3,0),"")</f>
        <v/>
      </c>
      <c r="BD24" s="15" t="str">
        <f>IFERROR(VLOOKUP($C24,[19]REKAP!$B$9:$E$200,4,0),"")</f>
        <v/>
      </c>
      <c r="BE24" s="15" t="str">
        <f>IFERROR(VLOOKUP($C24,[19]REKAP!$B$9:$G$200,6,0),"")</f>
        <v/>
      </c>
      <c r="BF24" s="15" t="str">
        <f>IFERROR(VLOOKUP($C24,[20]REKAP!$B$9:$D$200,3,0),"")</f>
        <v/>
      </c>
      <c r="BG24" s="15" t="str">
        <f>IFERROR(VLOOKUP($C24,[20]REKAP!$B$9:$E$200,4,0),"")</f>
        <v/>
      </c>
      <c r="BH24" s="15" t="str">
        <f>IFERROR(VLOOKUP($C24,[20]REKAP!$B$9:$G$200,6,0),"")</f>
        <v/>
      </c>
      <c r="BI24" s="15" t="str">
        <f>IFERROR(VLOOKUP($C24,[21]REKAP!$B$9:$D$200,3,0),"")</f>
        <v/>
      </c>
      <c r="BJ24" s="15" t="str">
        <f>IFERROR(VLOOKUP($C24,[21]REKAP!$B$9:$E$200,4,0),"")</f>
        <v/>
      </c>
      <c r="BK24" s="15" t="str">
        <f>IFERROR(VLOOKUP($C24,[21]REKAP!$B$9:$G$200,6,0),"")</f>
        <v/>
      </c>
      <c r="BL24" s="15" t="str">
        <f>IFERROR(VLOOKUP($C24,[22]REKAP!$B$9:$D$200,3,0),"")</f>
        <v/>
      </c>
      <c r="BM24" s="15" t="str">
        <f>IFERROR(VLOOKUP($C24,[22]REKAP!$B$9:$E$200,4,0),"")</f>
        <v/>
      </c>
      <c r="BN24" s="15" t="str">
        <f>IFERROR(VLOOKUP($C24,[22]REKAP!$B$9:$G$200,6,0),"")</f>
        <v/>
      </c>
      <c r="BO24" s="15" t="str">
        <f>IFERROR(VLOOKUP($C24,[23]REKAP!$B$9:$D$200,3,0),"")</f>
        <v/>
      </c>
      <c r="BP24" s="15" t="str">
        <f>IFERROR(VLOOKUP($C24,[23]REKAP!$B$9:$E$200,4,0),"")</f>
        <v/>
      </c>
      <c r="BQ24" s="15" t="str">
        <f>IFERROR(VLOOKUP($C24,[23]REKAP!$B$9:$G$200,6,0),"")</f>
        <v/>
      </c>
      <c r="BR24" s="15" t="str">
        <f>IFERROR(VLOOKUP($C24,[24]REKAP!$B$9:$D$200,3,0),"")</f>
        <v/>
      </c>
      <c r="BS24" s="15" t="str">
        <f>IFERROR(VLOOKUP($C24,[24]REKAP!$B$9:$E$200,4,0),"")</f>
        <v/>
      </c>
      <c r="BT24" s="15" t="str">
        <f>IFERROR(VLOOKUP($C24,[24]REKAP!$B$9:$G$200,6,0),"")</f>
        <v/>
      </c>
      <c r="BU24" s="15" t="str">
        <f>IFERROR(VLOOKUP($C24,[25]REKAP!$B$9:$D$200,3,0),"")</f>
        <v/>
      </c>
      <c r="BV24" s="15" t="str">
        <f>IFERROR(VLOOKUP($C24,[25]REKAP!$B$9:$E$200,4,0),"")</f>
        <v/>
      </c>
      <c r="BW24" s="15" t="str">
        <f>IFERROR(VLOOKUP($C24,[25]REKAP!$B$9:$G$200,6,0),"")</f>
        <v/>
      </c>
      <c r="BX24" s="15" t="str">
        <f>IFERROR(VLOOKUP($C24,[26]REKAP!$B$9:$D$200,3,0),"")</f>
        <v/>
      </c>
      <c r="BY24" s="15" t="str">
        <f>IFERROR(VLOOKUP($C24,[26]REKAP!$B$9:$E$200,4,0),"")</f>
        <v/>
      </c>
      <c r="BZ24" s="15" t="str">
        <f>IFERROR(VLOOKUP($C24,[26]REKAP!$B$9:$G$200,6,0),"")</f>
        <v/>
      </c>
      <c r="CA24" s="15" t="str">
        <f>IFERROR(VLOOKUP($C24,[27]REKAP!$B$9:$D$200,3,0),"")</f>
        <v/>
      </c>
      <c r="CB24" s="15" t="str">
        <f>IFERROR(VLOOKUP($C24,[27]REKAP!$B$9:$E$200,4,0),"")</f>
        <v/>
      </c>
      <c r="CC24" s="15" t="str">
        <f>IFERROR(VLOOKUP($C24,[27]REKAP!$B$9:$G$200,6,0),"")</f>
        <v/>
      </c>
      <c r="CD24" s="15" t="str">
        <f>IFERROR(VLOOKUP($C24,[28]REKAP!$B$9:$D$200,3,0),"")</f>
        <v/>
      </c>
      <c r="CE24" s="15" t="str">
        <f>IFERROR(VLOOKUP($C24,[28]REKAP!$B$9:$E$200,4,0),"")</f>
        <v/>
      </c>
      <c r="CF24" s="15" t="str">
        <f>IFERROR(VLOOKUP($C24,[28]REKAP!$B$9:$G$200,6,0),"")</f>
        <v/>
      </c>
      <c r="CG24" s="15" t="str">
        <f>IFERROR(VLOOKUP($C24,[29]REKAP!$B$9:$D$200,3,0),"")</f>
        <v/>
      </c>
      <c r="CH24" s="15" t="str">
        <f>IFERROR(VLOOKUP($C24,[29]REKAP!$B$9:$E$200,4,0),"")</f>
        <v/>
      </c>
      <c r="CI24" s="15" t="str">
        <f>IFERROR(VLOOKUP($C24,[29]REKAP!$B$9:$G$200,6,0),"")</f>
        <v/>
      </c>
      <c r="CJ24" s="15" t="str">
        <f>IFERROR(VLOOKUP($C24,[30]REKAP!$B$9:$D$200,3,0),"")</f>
        <v/>
      </c>
      <c r="CK24" s="15" t="str">
        <f>IFERROR(VLOOKUP($C24,[30]REKAP!$B$9:$E$200,4,0),"")</f>
        <v/>
      </c>
      <c r="CL24" s="15" t="str">
        <f>IFERROR(VLOOKUP($C24,[30]REKAP!$B$9:$G$200,6,0),"")</f>
        <v/>
      </c>
      <c r="CM24" s="15" t="str">
        <f>IFERROR(VLOOKUP($C24,[31]REKAP!$B$9:$D$200,3,0),"")</f>
        <v/>
      </c>
      <c r="CN24" s="15" t="str">
        <f>IFERROR(VLOOKUP($C24,[31]REKAP!$B$9:$E$200,4,0),"")</f>
        <v/>
      </c>
      <c r="CO24" s="15" t="str">
        <f>IFERROR(VLOOKUP($C24,[31]REKAP!$B$9:$G$200,6,0),"")</f>
        <v/>
      </c>
      <c r="CP24" s="15" t="str">
        <f>IFERROR(VLOOKUP($C24,[32]REKAP!$B$9:$D$200,3,0),"")</f>
        <v/>
      </c>
      <c r="CQ24" s="15" t="str">
        <f>IFERROR(VLOOKUP($C24,[32]REKAP!$B$9:$E$200,4,0),"")</f>
        <v/>
      </c>
      <c r="CR24" s="15" t="str">
        <f>IFERROR(VLOOKUP($C24,[32]REKAP!$B$9:$G$200,6,0),"")</f>
        <v/>
      </c>
      <c r="CS24" s="15" t="str">
        <f>IFERROR(VLOOKUP($C24,[33]REKAP!$B$9:$D$200,3,0),"")</f>
        <v/>
      </c>
      <c r="CT24" s="15" t="str">
        <f>IFERROR(VLOOKUP($C24,[33]REKAP!$B$9:$E$200,4,0),"")</f>
        <v/>
      </c>
      <c r="CU24" s="15" t="str">
        <f>IFERROR(VLOOKUP($C24,[33]REKAP!$B$9:$G$200,6,0),"")</f>
        <v/>
      </c>
      <c r="CV24" s="15" t="str">
        <f>IFERROR(VLOOKUP($C24,[34]REKAP!$B$9:$D$200,3,0),"")</f>
        <v/>
      </c>
      <c r="CW24" s="15" t="str">
        <f>IFERROR(VLOOKUP($C24,[34]REKAP!$B$9:$E$200,4,0),"")</f>
        <v/>
      </c>
      <c r="CX24" s="15" t="str">
        <f>IFERROR(VLOOKUP($C24,[34]REKAP!$B$9:$G$200,6,0),"")</f>
        <v/>
      </c>
    </row>
    <row r="25" spans="3:102" x14ac:dyDescent="0.25">
      <c r="C25" s="7" t="s">
        <v>71</v>
      </c>
      <c r="D25" s="5" t="str">
        <f>IFERROR(VLOOKUP(C25,DBASE!$C$7:$D$207,2,0),"")</f>
        <v>ROLL COKLAT 2000</v>
      </c>
      <c r="E25" s="15">
        <f t="shared" si="0"/>
        <v>4.333333333333333</v>
      </c>
      <c r="F25" s="15">
        <f t="shared" si="0"/>
        <v>399972</v>
      </c>
      <c r="H25" s="15">
        <f t="shared" si="0"/>
        <v>11619.028301879394</v>
      </c>
      <c r="J25" s="15">
        <f>IFERROR(VLOOKUP($C25,[4]REKAP!$B$9:$D$200,3,0),"")</f>
        <v>0</v>
      </c>
      <c r="K25" s="15">
        <f>IFERROR(VLOOKUP($C25,[4]REKAP!$B$9:$E$200,4,0),"")</f>
        <v>0</v>
      </c>
      <c r="L25" s="15">
        <f>IFERROR(VLOOKUP($C25,[4]REKAP!$B$9:$G$200,6,0),"")</f>
        <v>0</v>
      </c>
      <c r="M25" s="15" t="str">
        <f>IFERROR(VLOOKUP($C25,[5]REKAP!$B$9:$D$200,3,0),"")</f>
        <v/>
      </c>
      <c r="N25" s="15" t="str">
        <f>IFERROR(VLOOKUP($C25,[5]REKAP!$B$9:$E$200,4,0),"")</f>
        <v/>
      </c>
      <c r="O25" s="15" t="str">
        <f>IFERROR(VLOOKUP($C25,[5]REKAP!$B$9:$G$200,6,0),"")</f>
        <v/>
      </c>
      <c r="P25" s="15" t="str">
        <f>IFERROR(VLOOKUP($C25,[6]REKAP!$B$9:$D$200,3,0),"")</f>
        <v/>
      </c>
      <c r="Q25" s="15" t="str">
        <f>IFERROR(VLOOKUP($C25,[6]REKAP!$B$9:$E$200,4,0),"")</f>
        <v/>
      </c>
      <c r="R25" s="15" t="str">
        <f>IFERROR(VLOOKUP($C25,[6]REKAP!$B$9:$G$200,6,0),"")</f>
        <v/>
      </c>
      <c r="S25" s="15">
        <f>IFERROR(VLOOKUP($C25,[7]REKAP!$B$9:$D$200,3,0),"")</f>
        <v>2</v>
      </c>
      <c r="T25" s="15">
        <f>IFERROR(VLOOKUP($C25,[7]REKAP!$B$9:$E$200,4,0),"")</f>
        <v>183912</v>
      </c>
      <c r="U25" s="15">
        <f>IFERROR(VLOOKUP($C25,[7]REKAP!$B$9:$G$200,6,0),"")</f>
        <v>4722.399939991592</v>
      </c>
      <c r="V25" s="15">
        <f>IFERROR(VLOOKUP($C25,[8]REKAP!$B$9:$D$200,3,0),"")</f>
        <v>0</v>
      </c>
      <c r="W25" s="15">
        <f>IFERROR(VLOOKUP($C25,[8]REKAP!$B$9:$E$200,4,0),"")</f>
        <v>0</v>
      </c>
      <c r="X25" s="15">
        <f>IFERROR(VLOOKUP($C25,[8]REKAP!$B$9:$G$200,6,0),"")</f>
        <v>0</v>
      </c>
      <c r="Y25" s="15">
        <f>IFERROR(VLOOKUP($C25,[9]REKAP!$B$9:$D$200,3,0),"")</f>
        <v>0</v>
      </c>
      <c r="Z25" s="15">
        <f>IFERROR(VLOOKUP($C25,[9]REKAP!$B$9:$E$200,4,0),"")</f>
        <v>0</v>
      </c>
      <c r="AA25" s="15">
        <f>IFERROR(VLOOKUP($C25,[9]REKAP!$B$9:$G$200,6,0),"")</f>
        <v>0</v>
      </c>
      <c r="AB25" s="15">
        <f>IFERROR(VLOOKUP($C25,[10]REKAP!$B$9:$D$200,3,0),"")</f>
        <v>0</v>
      </c>
      <c r="AC25" s="15">
        <f>IFERROR(VLOOKUP($C25,[10]REKAP!$B$9:$E$200,4,0),"")</f>
        <v>0</v>
      </c>
      <c r="AD25" s="15">
        <f>IFERROR(VLOOKUP($C25,[10]REKAP!$B$9:$G$200,6,0),"")</f>
        <v>0</v>
      </c>
      <c r="AE25" s="15">
        <f>IFERROR(VLOOKUP($C25,[11]REKAP!$B$9:$D$199,3,0),"")</f>
        <v>1</v>
      </c>
      <c r="AF25" s="15">
        <f>IFERROR(VLOOKUP($C25,[11]REKAP!$B$9:$E$199,4,0),"")</f>
        <v>92200</v>
      </c>
      <c r="AG25" s="15">
        <f>IFERROR(VLOOKUP($C25,[11]REKAP!$B$9:$G$199,6,0),"")</f>
        <v>2558.5550122376299</v>
      </c>
      <c r="AH25" s="15">
        <f>IFERROR(VLOOKUP($C25,[12]REKAP!$B$9:$D$200,3,0),"")</f>
        <v>1.3333333333333333</v>
      </c>
      <c r="AI25" s="15">
        <f>IFERROR(VLOOKUP($C25,[12]REKAP!$B$9:$E$200,4,0),"")</f>
        <v>123860</v>
      </c>
      <c r="AJ25" s="15">
        <f>IFERROR(VLOOKUP($C25,[12]REKAP!$B$9:$G$200,6,0),"")</f>
        <v>4338.0733496501725</v>
      </c>
      <c r="AK25" s="15">
        <f>IFERROR(VLOOKUP($C25,[13]REKAP!$B$9:$D$200,3,0),"")</f>
        <v>0</v>
      </c>
      <c r="AL25" s="15">
        <f>IFERROR(VLOOKUP($C25,[13]REKAP!$B$9:$E$200,4,0),"")</f>
        <v>0</v>
      </c>
      <c r="AM25" s="15">
        <f>IFERROR(VLOOKUP($C25,[13]REKAP!$B$9:$G$200,6,0),"")</f>
        <v>0</v>
      </c>
      <c r="AN25" s="15">
        <f>IFERROR(VLOOKUP($C25,[14]REKAP!$B$9:$D$200,3,0),"")</f>
        <v>0</v>
      </c>
      <c r="AO25" s="15">
        <f>IFERROR(VLOOKUP($C25,[14]REKAP!$B$9:$E$200,4,0),"")</f>
        <v>0</v>
      </c>
      <c r="AP25" s="15">
        <f>IFERROR(VLOOKUP($C25,[14]REKAP!$B$9:$G$200,6,0),"")</f>
        <v>0</v>
      </c>
      <c r="AQ25" s="15">
        <f>IFERROR(VLOOKUP($C25,[15]REKAP!$B$9:$D$200,3,0),"")</f>
        <v>0</v>
      </c>
      <c r="AR25" s="15">
        <f>IFERROR(VLOOKUP($C25,[15]REKAP!$B$9:$E$200,4,0),"")</f>
        <v>0</v>
      </c>
      <c r="AS25" s="15">
        <f>IFERROR(VLOOKUP($C25,[15]REKAP!$B$9:$G$200,6,0),"")</f>
        <v>0</v>
      </c>
      <c r="AT25" s="15">
        <f>IFERROR(VLOOKUP($C25,[16]REKAP!$B$9:$D$200,3,0),"")</f>
        <v>0</v>
      </c>
      <c r="AU25" s="15">
        <f>IFERROR(VLOOKUP($C25,[16]REKAP!$B$9:$E$200,4,0),"")</f>
        <v>0</v>
      </c>
      <c r="AV25" s="15">
        <f>IFERROR(VLOOKUP($C25,[16]REKAP!$B$9:$G$200,6,0),"")</f>
        <v>0</v>
      </c>
      <c r="AW25" s="15">
        <f>IFERROR(VLOOKUP($C25,[17]REKAP!$B$9:$D$200,3,0),"")</f>
        <v>0</v>
      </c>
      <c r="AX25" s="15">
        <f>IFERROR(VLOOKUP($C25,[17]REKAP!$B$9:$E$200,4,0),"")</f>
        <v>0</v>
      </c>
      <c r="AY25" s="15">
        <f>IFERROR(VLOOKUP($C25,[17]REKAP!$B$9:$G$200,6,0),"")</f>
        <v>0</v>
      </c>
      <c r="AZ25" s="15" t="str">
        <f>IFERROR(VLOOKUP($C25,[18]REKAP!$B$9:$D$200,3,0),"")</f>
        <v/>
      </c>
      <c r="BA25" s="15" t="str">
        <f>IFERROR(VLOOKUP($C25,[18]REKAP!$B$9:$E$200,4,0),"")</f>
        <v/>
      </c>
      <c r="BB25" s="15" t="str">
        <f>IFERROR(VLOOKUP($C25,[18]REKAP!$B$9:$G$200,6,0),"")</f>
        <v/>
      </c>
      <c r="BC25" s="15" t="str">
        <f>IFERROR(VLOOKUP($C25,[19]REKAP!$B$9:$D$200,3,0),"")</f>
        <v/>
      </c>
      <c r="BD25" s="15" t="str">
        <f>IFERROR(VLOOKUP($C25,[19]REKAP!$B$9:$E$200,4,0),"")</f>
        <v/>
      </c>
      <c r="BE25" s="15" t="str">
        <f>IFERROR(VLOOKUP($C25,[19]REKAP!$B$9:$G$200,6,0),"")</f>
        <v/>
      </c>
      <c r="BF25" s="15" t="str">
        <f>IFERROR(VLOOKUP($C25,[20]REKAP!$B$9:$D$200,3,0),"")</f>
        <v/>
      </c>
      <c r="BG25" s="15" t="str">
        <f>IFERROR(VLOOKUP($C25,[20]REKAP!$B$9:$E$200,4,0),"")</f>
        <v/>
      </c>
      <c r="BH25" s="15" t="str">
        <f>IFERROR(VLOOKUP($C25,[20]REKAP!$B$9:$G$200,6,0),"")</f>
        <v/>
      </c>
      <c r="BI25" s="15" t="str">
        <f>IFERROR(VLOOKUP($C25,[21]REKAP!$B$9:$D$200,3,0),"")</f>
        <v/>
      </c>
      <c r="BJ25" s="15" t="str">
        <f>IFERROR(VLOOKUP($C25,[21]REKAP!$B$9:$E$200,4,0),"")</f>
        <v/>
      </c>
      <c r="BK25" s="15" t="str">
        <f>IFERROR(VLOOKUP($C25,[21]REKAP!$B$9:$G$200,6,0),"")</f>
        <v/>
      </c>
      <c r="BL25" s="15" t="str">
        <f>IFERROR(VLOOKUP($C25,[22]REKAP!$B$9:$D$200,3,0),"")</f>
        <v/>
      </c>
      <c r="BM25" s="15" t="str">
        <f>IFERROR(VLOOKUP($C25,[22]REKAP!$B$9:$E$200,4,0),"")</f>
        <v/>
      </c>
      <c r="BN25" s="15" t="str">
        <f>IFERROR(VLOOKUP($C25,[22]REKAP!$B$9:$G$200,6,0),"")</f>
        <v/>
      </c>
      <c r="BO25" s="15" t="str">
        <f>IFERROR(VLOOKUP($C25,[23]REKAP!$B$9:$D$200,3,0),"")</f>
        <v/>
      </c>
      <c r="BP25" s="15" t="str">
        <f>IFERROR(VLOOKUP($C25,[23]REKAP!$B$9:$E$200,4,0),"")</f>
        <v/>
      </c>
      <c r="BQ25" s="15" t="str">
        <f>IFERROR(VLOOKUP($C25,[23]REKAP!$B$9:$G$200,6,0),"")</f>
        <v/>
      </c>
      <c r="BR25" s="15" t="str">
        <f>IFERROR(VLOOKUP($C25,[24]REKAP!$B$9:$D$200,3,0),"")</f>
        <v/>
      </c>
      <c r="BS25" s="15" t="str">
        <f>IFERROR(VLOOKUP($C25,[24]REKAP!$B$9:$E$200,4,0),"")</f>
        <v/>
      </c>
      <c r="BT25" s="15" t="str">
        <f>IFERROR(VLOOKUP($C25,[24]REKAP!$B$9:$G$200,6,0),"")</f>
        <v/>
      </c>
      <c r="BU25" s="15" t="str">
        <f>IFERROR(VLOOKUP($C25,[25]REKAP!$B$9:$D$200,3,0),"")</f>
        <v/>
      </c>
      <c r="BV25" s="15" t="str">
        <f>IFERROR(VLOOKUP($C25,[25]REKAP!$B$9:$E$200,4,0),"")</f>
        <v/>
      </c>
      <c r="BW25" s="15" t="str">
        <f>IFERROR(VLOOKUP($C25,[25]REKAP!$B$9:$G$200,6,0),"")</f>
        <v/>
      </c>
      <c r="BX25" s="15" t="str">
        <f>IFERROR(VLOOKUP($C25,[26]REKAP!$B$9:$D$200,3,0),"")</f>
        <v/>
      </c>
      <c r="BY25" s="15" t="str">
        <f>IFERROR(VLOOKUP($C25,[26]REKAP!$B$9:$E$200,4,0),"")</f>
        <v/>
      </c>
      <c r="BZ25" s="15" t="str">
        <f>IFERROR(VLOOKUP($C25,[26]REKAP!$B$9:$G$200,6,0),"")</f>
        <v/>
      </c>
      <c r="CA25" s="15" t="str">
        <f>IFERROR(VLOOKUP($C25,[27]REKAP!$B$9:$D$200,3,0),"")</f>
        <v/>
      </c>
      <c r="CB25" s="15" t="str">
        <f>IFERROR(VLOOKUP($C25,[27]REKAP!$B$9:$E$200,4,0),"")</f>
        <v/>
      </c>
      <c r="CC25" s="15" t="str">
        <f>IFERROR(VLOOKUP($C25,[27]REKAP!$B$9:$G$200,6,0),"")</f>
        <v/>
      </c>
      <c r="CD25" s="15" t="str">
        <f>IFERROR(VLOOKUP($C25,[28]REKAP!$B$9:$D$200,3,0),"")</f>
        <v/>
      </c>
      <c r="CE25" s="15" t="str">
        <f>IFERROR(VLOOKUP($C25,[28]REKAP!$B$9:$E$200,4,0),"")</f>
        <v/>
      </c>
      <c r="CF25" s="15" t="str">
        <f>IFERROR(VLOOKUP($C25,[28]REKAP!$B$9:$G$200,6,0),"")</f>
        <v/>
      </c>
      <c r="CG25" s="15" t="str">
        <f>IFERROR(VLOOKUP($C25,[29]REKAP!$B$9:$D$200,3,0),"")</f>
        <v/>
      </c>
      <c r="CH25" s="15" t="str">
        <f>IFERROR(VLOOKUP($C25,[29]REKAP!$B$9:$E$200,4,0),"")</f>
        <v/>
      </c>
      <c r="CI25" s="15" t="str">
        <f>IFERROR(VLOOKUP($C25,[29]REKAP!$B$9:$G$200,6,0),"")</f>
        <v/>
      </c>
      <c r="CJ25" s="15" t="str">
        <f>IFERROR(VLOOKUP($C25,[30]REKAP!$B$9:$D$200,3,0),"")</f>
        <v/>
      </c>
      <c r="CK25" s="15" t="str">
        <f>IFERROR(VLOOKUP($C25,[30]REKAP!$B$9:$E$200,4,0),"")</f>
        <v/>
      </c>
      <c r="CL25" s="15" t="str">
        <f>IFERROR(VLOOKUP($C25,[30]REKAP!$B$9:$G$200,6,0),"")</f>
        <v/>
      </c>
      <c r="CM25" s="15" t="str">
        <f>IFERROR(VLOOKUP($C25,[31]REKAP!$B$9:$D$200,3,0),"")</f>
        <v/>
      </c>
      <c r="CN25" s="15" t="str">
        <f>IFERROR(VLOOKUP($C25,[31]REKAP!$B$9:$E$200,4,0),"")</f>
        <v/>
      </c>
      <c r="CO25" s="15" t="str">
        <f>IFERROR(VLOOKUP($C25,[31]REKAP!$B$9:$G$200,6,0),"")</f>
        <v/>
      </c>
      <c r="CP25" s="15" t="str">
        <f>IFERROR(VLOOKUP($C25,[32]REKAP!$B$9:$D$200,3,0),"")</f>
        <v/>
      </c>
      <c r="CQ25" s="15" t="str">
        <f>IFERROR(VLOOKUP($C25,[32]REKAP!$B$9:$E$200,4,0),"")</f>
        <v/>
      </c>
      <c r="CR25" s="15" t="str">
        <f>IFERROR(VLOOKUP($C25,[32]REKAP!$B$9:$G$200,6,0),"")</f>
        <v/>
      </c>
      <c r="CS25" s="15" t="str">
        <f>IFERROR(VLOOKUP($C25,[33]REKAP!$B$9:$D$200,3,0),"")</f>
        <v/>
      </c>
      <c r="CT25" s="15" t="str">
        <f>IFERROR(VLOOKUP($C25,[33]REKAP!$B$9:$E$200,4,0),"")</f>
        <v/>
      </c>
      <c r="CU25" s="15" t="str">
        <f>IFERROR(VLOOKUP($C25,[33]REKAP!$B$9:$G$200,6,0),"")</f>
        <v/>
      </c>
      <c r="CV25" s="15" t="str">
        <f>IFERROR(VLOOKUP($C25,[34]REKAP!$B$9:$D$200,3,0),"")</f>
        <v/>
      </c>
      <c r="CW25" s="15" t="str">
        <f>IFERROR(VLOOKUP($C25,[34]REKAP!$B$9:$E$200,4,0),"")</f>
        <v/>
      </c>
      <c r="CX25" s="15" t="str">
        <f>IFERROR(VLOOKUP($C25,[34]REKAP!$B$9:$G$200,6,0),"")</f>
        <v/>
      </c>
    </row>
    <row r="26" spans="3:102" x14ac:dyDescent="0.25">
      <c r="C26" s="7" t="s">
        <v>72</v>
      </c>
      <c r="D26" s="5" t="str">
        <f>IFERROR(VLOOKUP(C26,DBASE!$C$7:$D$207,2,0),"")</f>
        <v>AHH KEJU 500</v>
      </c>
      <c r="E26" s="15">
        <f t="shared" ref="E26:H41" si="1">SUMIF($J$8:$BP$8,E$8,$J26:$BP26)</f>
        <v>15</v>
      </c>
      <c r="F26" s="15">
        <f t="shared" si="1"/>
        <v>1168527.76</v>
      </c>
      <c r="H26" s="15">
        <f t="shared" si="1"/>
        <v>43537.932637997059</v>
      </c>
      <c r="J26" s="15">
        <f>IFERROR(VLOOKUP($C26,[4]REKAP!$B$9:$D$200,3,0),"")</f>
        <v>0</v>
      </c>
      <c r="K26" s="15">
        <f>IFERROR(VLOOKUP($C26,[4]REKAP!$B$9:$E$200,4,0),"")</f>
        <v>0</v>
      </c>
      <c r="L26" s="15">
        <f>IFERROR(VLOOKUP($C26,[4]REKAP!$B$9:$G$200,6,0),"")</f>
        <v>0</v>
      </c>
      <c r="M26" s="15" t="str">
        <f>IFERROR(VLOOKUP($C26,[5]REKAP!$B$9:$D$200,3,0),"")</f>
        <v/>
      </c>
      <c r="N26" s="15" t="str">
        <f>IFERROR(VLOOKUP($C26,[5]REKAP!$B$9:$E$200,4,0),"")</f>
        <v/>
      </c>
      <c r="O26" s="15" t="str">
        <f>IFERROR(VLOOKUP($C26,[5]REKAP!$B$9:$G$200,6,0),"")</f>
        <v/>
      </c>
      <c r="P26" s="15" t="str">
        <f>IFERROR(VLOOKUP($C26,[6]REKAP!$B$9:$D$200,3,0),"")</f>
        <v/>
      </c>
      <c r="Q26" s="15" t="str">
        <f>IFERROR(VLOOKUP($C26,[6]REKAP!$B$9:$E$200,4,0),"")</f>
        <v/>
      </c>
      <c r="R26" s="15" t="str">
        <f>IFERROR(VLOOKUP($C26,[6]REKAP!$B$9:$G$200,6,0),"")</f>
        <v/>
      </c>
      <c r="S26" s="15">
        <f>IFERROR(VLOOKUP($C26,[7]REKAP!$B$9:$D$200,3,0),"")</f>
        <v>1</v>
      </c>
      <c r="T26" s="15">
        <f>IFERROR(VLOOKUP($C26,[7]REKAP!$B$9:$E$200,4,0),"")</f>
        <v>78500</v>
      </c>
      <c r="U26" s="15">
        <f>IFERROR(VLOOKUP($C26,[7]REKAP!$B$9:$G$200,6,0),"")</f>
        <v>3490.7417265041877</v>
      </c>
      <c r="V26" s="15">
        <f>IFERROR(VLOOKUP($C26,[8]REKAP!$B$9:$D$200,3,0),"")</f>
        <v>4</v>
      </c>
      <c r="W26" s="15">
        <f>IFERROR(VLOOKUP($C26,[8]REKAP!$B$9:$E$200,4,0),"")</f>
        <v>314000</v>
      </c>
      <c r="X26" s="15">
        <f>IFERROR(VLOOKUP($C26,[8]REKAP!$B$9:$G$200,6,0),"")</f>
        <v>13962.966906016751</v>
      </c>
      <c r="Y26" s="15">
        <f>IFERROR(VLOOKUP($C26,[9]REKAP!$B$9:$D$200,3,0),"")</f>
        <v>2</v>
      </c>
      <c r="Z26" s="15">
        <f>IFERROR(VLOOKUP($C26,[9]REKAP!$B$9:$E$200,4,0),"")</f>
        <v>157000</v>
      </c>
      <c r="AA26" s="15">
        <f>IFERROR(VLOOKUP($C26,[9]REKAP!$B$9:$G$200,6,0),"")</f>
        <v>6981.4834530083754</v>
      </c>
      <c r="AB26" s="15">
        <f>IFERROR(VLOOKUP($C26,[10]REKAP!$B$9:$D$200,3,0),"")</f>
        <v>1</v>
      </c>
      <c r="AC26" s="15">
        <f>IFERROR(VLOOKUP($C26,[10]REKAP!$B$9:$E$200,4,0),"")</f>
        <v>78000</v>
      </c>
      <c r="AD26" s="15">
        <f>IFERROR(VLOOKUP($C26,[10]REKAP!$B$9:$G$200,6,0),"")</f>
        <v>3009.3725690584688</v>
      </c>
      <c r="AE26" s="15">
        <f>IFERROR(VLOOKUP($C26,[11]REKAP!$B$9:$D$199,3,0),"")</f>
        <v>5</v>
      </c>
      <c r="AF26" s="15">
        <f>IFERROR(VLOOKUP($C26,[11]REKAP!$B$9:$E$199,4,0),"")</f>
        <v>388148</v>
      </c>
      <c r="AG26" s="15">
        <f>IFERROR(VLOOKUP($C26,[11]REKAP!$B$9:$G$199,6,0),"")</f>
        <v>13194.862845292344</v>
      </c>
      <c r="AH26" s="15">
        <f>IFERROR(VLOOKUP($C26,[12]REKAP!$B$9:$D$200,3,0),"")</f>
        <v>2</v>
      </c>
      <c r="AI26" s="15">
        <f>IFERROR(VLOOKUP($C26,[12]REKAP!$B$9:$E$200,4,0),"")</f>
        <v>152879.76</v>
      </c>
      <c r="AJ26" s="15">
        <f>IFERROR(VLOOKUP($C26,[12]REKAP!$B$9:$G$200,6,0),"")</f>
        <v>2898.5051381169324</v>
      </c>
      <c r="AK26" s="15">
        <f>IFERROR(VLOOKUP($C26,[13]REKAP!$B$9:$D$200,3,0),"")</f>
        <v>0</v>
      </c>
      <c r="AL26" s="15">
        <f>IFERROR(VLOOKUP($C26,[13]REKAP!$B$9:$E$200,4,0),"")</f>
        <v>0</v>
      </c>
      <c r="AM26" s="15">
        <f>IFERROR(VLOOKUP($C26,[13]REKAP!$B$9:$G$200,6,0),"")</f>
        <v>0</v>
      </c>
      <c r="AN26" s="15">
        <f>IFERROR(VLOOKUP($C26,[14]REKAP!$B$9:$D$200,3,0),"")</f>
        <v>0</v>
      </c>
      <c r="AO26" s="15">
        <f>IFERROR(VLOOKUP($C26,[14]REKAP!$B$9:$E$200,4,0),"")</f>
        <v>0</v>
      </c>
      <c r="AP26" s="15">
        <f>IFERROR(VLOOKUP($C26,[14]REKAP!$B$9:$G$200,6,0),"")</f>
        <v>0</v>
      </c>
      <c r="AQ26" s="15">
        <f>IFERROR(VLOOKUP($C26,[15]REKAP!$B$9:$D$200,3,0),"")</f>
        <v>0</v>
      </c>
      <c r="AR26" s="15">
        <f>IFERROR(VLOOKUP($C26,[15]REKAP!$B$9:$E$200,4,0),"")</f>
        <v>0</v>
      </c>
      <c r="AS26" s="15">
        <f>IFERROR(VLOOKUP($C26,[15]REKAP!$B$9:$G$200,6,0),"")</f>
        <v>0</v>
      </c>
      <c r="AT26" s="15">
        <f>IFERROR(VLOOKUP($C26,[16]REKAP!$B$9:$D$200,3,0),"")</f>
        <v>0</v>
      </c>
      <c r="AU26" s="15">
        <f>IFERROR(VLOOKUP($C26,[16]REKAP!$B$9:$E$200,4,0),"")</f>
        <v>0</v>
      </c>
      <c r="AV26" s="15">
        <f>IFERROR(VLOOKUP($C26,[16]REKAP!$B$9:$G$200,6,0),"")</f>
        <v>0</v>
      </c>
      <c r="AW26" s="15">
        <f>IFERROR(VLOOKUP($C26,[17]REKAP!$B$9:$D$200,3,0),"")</f>
        <v>0</v>
      </c>
      <c r="AX26" s="15">
        <f>IFERROR(VLOOKUP($C26,[17]REKAP!$B$9:$E$200,4,0),"")</f>
        <v>0</v>
      </c>
      <c r="AY26" s="15">
        <f>IFERROR(VLOOKUP($C26,[17]REKAP!$B$9:$G$200,6,0),"")</f>
        <v>0</v>
      </c>
      <c r="AZ26" s="15" t="str">
        <f>IFERROR(VLOOKUP($C26,[18]REKAP!$B$9:$D$200,3,0),"")</f>
        <v/>
      </c>
      <c r="BA26" s="15" t="str">
        <f>IFERROR(VLOOKUP($C26,[18]REKAP!$B$9:$E$200,4,0),"")</f>
        <v/>
      </c>
      <c r="BB26" s="15" t="str">
        <f>IFERROR(VLOOKUP($C26,[18]REKAP!$B$9:$G$200,6,0),"")</f>
        <v/>
      </c>
      <c r="BC26" s="15" t="str">
        <f>IFERROR(VLOOKUP($C26,[19]REKAP!$B$9:$D$200,3,0),"")</f>
        <v/>
      </c>
      <c r="BD26" s="15" t="str">
        <f>IFERROR(VLOOKUP($C26,[19]REKAP!$B$9:$E$200,4,0),"")</f>
        <v/>
      </c>
      <c r="BE26" s="15" t="str">
        <f>IFERROR(VLOOKUP($C26,[19]REKAP!$B$9:$G$200,6,0),"")</f>
        <v/>
      </c>
      <c r="BF26" s="15" t="str">
        <f>IFERROR(VLOOKUP($C26,[20]REKAP!$B$9:$D$200,3,0),"")</f>
        <v/>
      </c>
      <c r="BG26" s="15" t="str">
        <f>IFERROR(VLOOKUP($C26,[20]REKAP!$B$9:$E$200,4,0),"")</f>
        <v/>
      </c>
      <c r="BH26" s="15" t="str">
        <f>IFERROR(VLOOKUP($C26,[20]REKAP!$B$9:$G$200,6,0),"")</f>
        <v/>
      </c>
      <c r="BI26" s="15" t="str">
        <f>IFERROR(VLOOKUP($C26,[21]REKAP!$B$9:$D$200,3,0),"")</f>
        <v/>
      </c>
      <c r="BJ26" s="15" t="str">
        <f>IFERROR(VLOOKUP($C26,[21]REKAP!$B$9:$E$200,4,0),"")</f>
        <v/>
      </c>
      <c r="BK26" s="15" t="str">
        <f>IFERROR(VLOOKUP($C26,[21]REKAP!$B$9:$G$200,6,0),"")</f>
        <v/>
      </c>
      <c r="BL26" s="15" t="str">
        <f>IFERROR(VLOOKUP($C26,[22]REKAP!$B$9:$D$200,3,0),"")</f>
        <v/>
      </c>
      <c r="BM26" s="15" t="str">
        <f>IFERROR(VLOOKUP($C26,[22]REKAP!$B$9:$E$200,4,0),"")</f>
        <v/>
      </c>
      <c r="BN26" s="15" t="str">
        <f>IFERROR(VLOOKUP($C26,[22]REKAP!$B$9:$G$200,6,0),"")</f>
        <v/>
      </c>
      <c r="BO26" s="15" t="str">
        <f>IFERROR(VLOOKUP($C26,[23]REKAP!$B$9:$D$200,3,0),"")</f>
        <v/>
      </c>
      <c r="BP26" s="15" t="str">
        <f>IFERROR(VLOOKUP($C26,[23]REKAP!$B$9:$E$200,4,0),"")</f>
        <v/>
      </c>
      <c r="BQ26" s="15" t="str">
        <f>IFERROR(VLOOKUP($C26,[23]REKAP!$B$9:$G$200,6,0),"")</f>
        <v/>
      </c>
      <c r="BR26" s="15" t="str">
        <f>IFERROR(VLOOKUP($C26,[24]REKAP!$B$9:$D$200,3,0),"")</f>
        <v/>
      </c>
      <c r="BS26" s="15" t="str">
        <f>IFERROR(VLOOKUP($C26,[24]REKAP!$B$9:$E$200,4,0),"")</f>
        <v/>
      </c>
      <c r="BT26" s="15" t="str">
        <f>IFERROR(VLOOKUP($C26,[24]REKAP!$B$9:$G$200,6,0),"")</f>
        <v/>
      </c>
      <c r="BU26" s="15" t="str">
        <f>IFERROR(VLOOKUP($C26,[25]REKAP!$B$9:$D$200,3,0),"")</f>
        <v/>
      </c>
      <c r="BV26" s="15" t="str">
        <f>IFERROR(VLOOKUP($C26,[25]REKAP!$B$9:$E$200,4,0),"")</f>
        <v/>
      </c>
      <c r="BW26" s="15" t="str">
        <f>IFERROR(VLOOKUP($C26,[25]REKAP!$B$9:$G$200,6,0),"")</f>
        <v/>
      </c>
      <c r="BX26" s="15" t="str">
        <f>IFERROR(VLOOKUP($C26,[26]REKAP!$B$9:$D$200,3,0),"")</f>
        <v/>
      </c>
      <c r="BY26" s="15" t="str">
        <f>IFERROR(VLOOKUP($C26,[26]REKAP!$B$9:$E$200,4,0),"")</f>
        <v/>
      </c>
      <c r="BZ26" s="15" t="str">
        <f>IFERROR(VLOOKUP($C26,[26]REKAP!$B$9:$G$200,6,0),"")</f>
        <v/>
      </c>
      <c r="CA26" s="15" t="str">
        <f>IFERROR(VLOOKUP($C26,[27]REKAP!$B$9:$D$200,3,0),"")</f>
        <v/>
      </c>
      <c r="CB26" s="15" t="str">
        <f>IFERROR(VLOOKUP($C26,[27]REKAP!$B$9:$E$200,4,0),"")</f>
        <v/>
      </c>
      <c r="CC26" s="15" t="str">
        <f>IFERROR(VLOOKUP($C26,[27]REKAP!$B$9:$G$200,6,0),"")</f>
        <v/>
      </c>
      <c r="CD26" s="15" t="str">
        <f>IFERROR(VLOOKUP($C26,[28]REKAP!$B$9:$D$200,3,0),"")</f>
        <v/>
      </c>
      <c r="CE26" s="15" t="str">
        <f>IFERROR(VLOOKUP($C26,[28]REKAP!$B$9:$E$200,4,0),"")</f>
        <v/>
      </c>
      <c r="CF26" s="15" t="str">
        <f>IFERROR(VLOOKUP($C26,[28]REKAP!$B$9:$G$200,6,0),"")</f>
        <v/>
      </c>
      <c r="CG26" s="15" t="str">
        <f>IFERROR(VLOOKUP($C26,[29]REKAP!$B$9:$D$200,3,0),"")</f>
        <v/>
      </c>
      <c r="CH26" s="15" t="str">
        <f>IFERROR(VLOOKUP($C26,[29]REKAP!$B$9:$E$200,4,0),"")</f>
        <v/>
      </c>
      <c r="CI26" s="15" t="str">
        <f>IFERROR(VLOOKUP($C26,[29]REKAP!$B$9:$G$200,6,0),"")</f>
        <v/>
      </c>
      <c r="CJ26" s="15" t="str">
        <f>IFERROR(VLOOKUP($C26,[30]REKAP!$B$9:$D$200,3,0),"")</f>
        <v/>
      </c>
      <c r="CK26" s="15" t="str">
        <f>IFERROR(VLOOKUP($C26,[30]REKAP!$B$9:$E$200,4,0),"")</f>
        <v/>
      </c>
      <c r="CL26" s="15" t="str">
        <f>IFERROR(VLOOKUP($C26,[30]REKAP!$B$9:$G$200,6,0),"")</f>
        <v/>
      </c>
      <c r="CM26" s="15" t="str">
        <f>IFERROR(VLOOKUP($C26,[31]REKAP!$B$9:$D$200,3,0),"")</f>
        <v/>
      </c>
      <c r="CN26" s="15" t="str">
        <f>IFERROR(VLOOKUP($C26,[31]REKAP!$B$9:$E$200,4,0),"")</f>
        <v/>
      </c>
      <c r="CO26" s="15" t="str">
        <f>IFERROR(VLOOKUP($C26,[31]REKAP!$B$9:$G$200,6,0),"")</f>
        <v/>
      </c>
      <c r="CP26" s="15" t="str">
        <f>IFERROR(VLOOKUP($C26,[32]REKAP!$B$9:$D$200,3,0),"")</f>
        <v/>
      </c>
      <c r="CQ26" s="15" t="str">
        <f>IFERROR(VLOOKUP($C26,[32]REKAP!$B$9:$E$200,4,0),"")</f>
        <v/>
      </c>
      <c r="CR26" s="15" t="str">
        <f>IFERROR(VLOOKUP($C26,[32]REKAP!$B$9:$G$200,6,0),"")</f>
        <v/>
      </c>
      <c r="CS26" s="15" t="str">
        <f>IFERROR(VLOOKUP($C26,[33]REKAP!$B$9:$D$200,3,0),"")</f>
        <v/>
      </c>
      <c r="CT26" s="15" t="str">
        <f>IFERROR(VLOOKUP($C26,[33]REKAP!$B$9:$E$200,4,0),"")</f>
        <v/>
      </c>
      <c r="CU26" s="15" t="str">
        <f>IFERROR(VLOOKUP($C26,[33]REKAP!$B$9:$G$200,6,0),"")</f>
        <v/>
      </c>
      <c r="CV26" s="15" t="str">
        <f>IFERROR(VLOOKUP($C26,[34]REKAP!$B$9:$D$200,3,0),"")</f>
        <v/>
      </c>
      <c r="CW26" s="15" t="str">
        <f>IFERROR(VLOOKUP($C26,[34]REKAP!$B$9:$E$200,4,0),"")</f>
        <v/>
      </c>
      <c r="CX26" s="15" t="str">
        <f>IFERROR(VLOOKUP($C26,[34]REKAP!$B$9:$G$200,6,0),"")</f>
        <v/>
      </c>
    </row>
    <row r="27" spans="3:102" x14ac:dyDescent="0.25">
      <c r="C27" s="7" t="s">
        <v>131</v>
      </c>
      <c r="D27" s="5" t="str">
        <f>IFERROR(VLOOKUP(C27,DBASE!$C$7:$D$207,2,0),"")</f>
        <v>AHH KEJU 2000</v>
      </c>
      <c r="E27" s="15">
        <f t="shared" si="1"/>
        <v>1.3333333333333333</v>
      </c>
      <c r="F27" s="15">
        <f t="shared" si="1"/>
        <v>123560</v>
      </c>
      <c r="H27" s="15">
        <f t="shared" si="1"/>
        <v>3771.2101406713482</v>
      </c>
      <c r="J27" s="15" t="str">
        <f>IFERROR(VLOOKUP($C27,[4]REKAP!$B$9:$D$200,3,0),"")</f>
        <v/>
      </c>
      <c r="K27" s="15" t="str">
        <f>IFERROR(VLOOKUP($C27,[4]REKAP!$B$9:$E$200,4,0),"")</f>
        <v/>
      </c>
      <c r="L27" s="15" t="str">
        <f>IFERROR(VLOOKUP($C27,[4]REKAP!$B$9:$G$200,6,0),"")</f>
        <v/>
      </c>
      <c r="M27" s="15" t="str">
        <f>IFERROR(VLOOKUP($C27,[5]REKAP!$B$9:$D$200,3,0),"")</f>
        <v/>
      </c>
      <c r="N27" s="15" t="str">
        <f>IFERROR(VLOOKUP($C27,[5]REKAP!$B$9:$E$200,4,0),"")</f>
        <v/>
      </c>
      <c r="O27" s="15" t="str">
        <f>IFERROR(VLOOKUP($C27,[5]REKAP!$B$9:$G$200,6,0),"")</f>
        <v/>
      </c>
      <c r="P27" s="15" t="str">
        <f>IFERROR(VLOOKUP($C27,[6]REKAP!$B$9:$D$200,3,0),"")</f>
        <v/>
      </c>
      <c r="Q27" s="15" t="str">
        <f>IFERROR(VLOOKUP($C27,[6]REKAP!$B$9:$E$200,4,0),"")</f>
        <v/>
      </c>
      <c r="R27" s="15" t="str">
        <f>IFERROR(VLOOKUP($C27,[6]REKAP!$B$9:$G$200,6,0),"")</f>
        <v/>
      </c>
      <c r="S27" s="15" t="str">
        <f>IFERROR(VLOOKUP($C27,[7]REKAP!$B$9:$D$200,3,0),"")</f>
        <v/>
      </c>
      <c r="T27" s="15" t="str">
        <f>IFERROR(VLOOKUP($C27,[7]REKAP!$B$9:$E$200,4,0),"")</f>
        <v/>
      </c>
      <c r="U27" s="15" t="str">
        <f>IFERROR(VLOOKUP($C27,[7]REKAP!$B$9:$G$200,6,0),"")</f>
        <v/>
      </c>
      <c r="V27" s="15" t="str">
        <f>IFERROR(VLOOKUP($C27,[8]REKAP!$B$9:$D$200,3,0),"")</f>
        <v/>
      </c>
      <c r="W27" s="15" t="str">
        <f>IFERROR(VLOOKUP($C27,[8]REKAP!$B$9:$E$200,4,0),"")</f>
        <v/>
      </c>
      <c r="X27" s="15" t="str">
        <f>IFERROR(VLOOKUP($C27,[8]REKAP!$B$9:$G$200,6,0),"")</f>
        <v/>
      </c>
      <c r="Y27" s="15" t="str">
        <f>IFERROR(VLOOKUP($C27,[9]REKAP!$B$9:$D$200,3,0),"")</f>
        <v/>
      </c>
      <c r="Z27" s="15" t="str">
        <f>IFERROR(VLOOKUP($C27,[9]REKAP!$B$9:$E$200,4,0),"")</f>
        <v/>
      </c>
      <c r="AA27" s="15" t="str">
        <f>IFERROR(VLOOKUP($C27,[9]REKAP!$B$9:$G$200,6,0),"")</f>
        <v/>
      </c>
      <c r="AB27" s="15">
        <f>IFERROR(VLOOKUP($C27,[10]REKAP!$B$9:$D$200,3,0),"")</f>
        <v>0</v>
      </c>
      <c r="AC27" s="15">
        <f>IFERROR(VLOOKUP($C27,[10]REKAP!$B$9:$E$200,4,0),"")</f>
        <v>0</v>
      </c>
      <c r="AD27" s="15">
        <f>IFERROR(VLOOKUP($C27,[10]REKAP!$B$9:$G$200,6,0),"")</f>
        <v>0</v>
      </c>
      <c r="AE27" s="15">
        <f>IFERROR(VLOOKUP($C27,[11]REKAP!$B$9:$D$199,3,0),"")</f>
        <v>1</v>
      </c>
      <c r="AF27" s="15">
        <f>IFERROR(VLOOKUP($C27,[11]REKAP!$B$9:$E$199,4,0),"")</f>
        <v>92200</v>
      </c>
      <c r="AG27" s="15">
        <f>IFERROR(VLOOKUP($C27,[11]REKAP!$B$9:$G$199,6,0),"")</f>
        <v>2358.4076055035111</v>
      </c>
      <c r="AH27" s="15">
        <f>IFERROR(VLOOKUP($C27,[12]REKAP!$B$9:$D$200,3,0),"")</f>
        <v>0.33333333333333331</v>
      </c>
      <c r="AI27" s="15">
        <f>IFERROR(VLOOKUP($C27,[12]REKAP!$B$9:$E$200,4,0),"")</f>
        <v>31360</v>
      </c>
      <c r="AJ27" s="15">
        <f>IFERROR(VLOOKUP($C27,[12]REKAP!$B$9:$G$200,6,0),"")</f>
        <v>1412.802535167837</v>
      </c>
      <c r="AK27" s="15" t="str">
        <f>IFERROR(VLOOKUP($C27,[13]REKAP!$B$9:$D$200,3,0),"")</f>
        <v/>
      </c>
      <c r="AL27" s="15" t="str">
        <f>IFERROR(VLOOKUP($C27,[13]REKAP!$B$9:$E$200,4,0),"")</f>
        <v/>
      </c>
      <c r="AM27" s="15" t="str">
        <f>IFERROR(VLOOKUP($C27,[13]REKAP!$B$9:$G$200,6,0),"")</f>
        <v/>
      </c>
      <c r="AN27" s="15" t="str">
        <f>IFERROR(VLOOKUP($C27,[14]REKAP!$B$9:$D$200,3,0),"")</f>
        <v/>
      </c>
      <c r="AO27" s="15" t="str">
        <f>IFERROR(VLOOKUP($C27,[14]REKAP!$B$9:$E$200,4,0),"")</f>
        <v/>
      </c>
      <c r="AP27" s="15" t="str">
        <f>IFERROR(VLOOKUP($C27,[14]REKAP!$B$9:$G$200,6,0),"")</f>
        <v/>
      </c>
      <c r="AQ27" s="15" t="str">
        <f>IFERROR(VLOOKUP($C27,[15]REKAP!$B$9:$D$200,3,0),"")</f>
        <v/>
      </c>
      <c r="AR27" s="15" t="str">
        <f>IFERROR(VLOOKUP($C27,[15]REKAP!$B$9:$E$200,4,0),"")</f>
        <v/>
      </c>
      <c r="AS27" s="15" t="str">
        <f>IFERROR(VLOOKUP($C27,[15]REKAP!$B$9:$G$200,6,0),"")</f>
        <v/>
      </c>
      <c r="AT27" s="15" t="str">
        <f>IFERROR(VLOOKUP($C27,[16]REKAP!$B$9:$D$200,3,0),"")</f>
        <v/>
      </c>
      <c r="AU27" s="15" t="str">
        <f>IFERROR(VLOOKUP($C27,[16]REKAP!$B$9:$E$200,4,0),"")</f>
        <v/>
      </c>
      <c r="AV27" s="15" t="str">
        <f>IFERROR(VLOOKUP($C27,[16]REKAP!$B$9:$G$200,6,0),"")</f>
        <v/>
      </c>
      <c r="AW27" s="15" t="str">
        <f>IFERROR(VLOOKUP($C27,[17]REKAP!$B$9:$D$200,3,0),"")</f>
        <v/>
      </c>
      <c r="AX27" s="15" t="str">
        <f>IFERROR(VLOOKUP($C27,[17]REKAP!$B$9:$E$200,4,0),"")</f>
        <v/>
      </c>
      <c r="AY27" s="15" t="str">
        <f>IFERROR(VLOOKUP($C27,[17]REKAP!$B$9:$G$200,6,0),"")</f>
        <v/>
      </c>
      <c r="AZ27" s="15" t="str">
        <f>IFERROR(VLOOKUP($C27,[18]REKAP!$B$9:$D$200,3,0),"")</f>
        <v/>
      </c>
      <c r="BA27" s="15" t="str">
        <f>IFERROR(VLOOKUP($C27,[18]REKAP!$B$9:$E$200,4,0),"")</f>
        <v/>
      </c>
      <c r="BB27" s="15" t="str">
        <f>IFERROR(VLOOKUP($C27,[18]REKAP!$B$9:$G$200,6,0),"")</f>
        <v/>
      </c>
      <c r="BC27" s="15" t="str">
        <f>IFERROR(VLOOKUP($C27,[19]REKAP!$B$9:$D$200,3,0),"")</f>
        <v/>
      </c>
      <c r="BD27" s="15" t="str">
        <f>IFERROR(VLOOKUP($C27,[19]REKAP!$B$9:$E$200,4,0),"")</f>
        <v/>
      </c>
      <c r="BE27" s="15" t="str">
        <f>IFERROR(VLOOKUP($C27,[19]REKAP!$B$9:$G$200,6,0),"")</f>
        <v/>
      </c>
      <c r="BF27" s="15" t="str">
        <f>IFERROR(VLOOKUP($C27,[20]REKAP!$B$9:$D$200,3,0),"")</f>
        <v/>
      </c>
      <c r="BG27" s="15" t="str">
        <f>IFERROR(VLOOKUP($C27,[20]REKAP!$B$9:$E$200,4,0),"")</f>
        <v/>
      </c>
      <c r="BH27" s="15" t="str">
        <f>IFERROR(VLOOKUP($C27,[20]REKAP!$B$9:$G$200,6,0),"")</f>
        <v/>
      </c>
      <c r="BI27" s="15" t="str">
        <f>IFERROR(VLOOKUP($C27,[21]REKAP!$B$9:$D$200,3,0),"")</f>
        <v/>
      </c>
      <c r="BJ27" s="15" t="str">
        <f>IFERROR(VLOOKUP($C27,[21]REKAP!$B$9:$E$200,4,0),"")</f>
        <v/>
      </c>
      <c r="BK27" s="15" t="str">
        <f>IFERROR(VLOOKUP($C27,[21]REKAP!$B$9:$G$200,6,0),"")</f>
        <v/>
      </c>
      <c r="BL27" s="15" t="str">
        <f>IFERROR(VLOOKUP($C27,[22]REKAP!$B$9:$D$200,3,0),"")</f>
        <v/>
      </c>
      <c r="BM27" s="15" t="str">
        <f>IFERROR(VLOOKUP($C27,[22]REKAP!$B$9:$E$200,4,0),"")</f>
        <v/>
      </c>
      <c r="BN27" s="15" t="str">
        <f>IFERROR(VLOOKUP($C27,[22]REKAP!$B$9:$G$200,6,0),"")</f>
        <v/>
      </c>
      <c r="BO27" s="15" t="str">
        <f>IFERROR(VLOOKUP($C27,[23]REKAP!$B$9:$D$200,3,0),"")</f>
        <v/>
      </c>
      <c r="BP27" s="15" t="str">
        <f>IFERROR(VLOOKUP($C27,[23]REKAP!$B$9:$E$200,4,0),"")</f>
        <v/>
      </c>
      <c r="BQ27" s="15" t="str">
        <f>IFERROR(VLOOKUP($C27,[23]REKAP!$B$9:$G$200,6,0),"")</f>
        <v/>
      </c>
      <c r="BR27" s="15" t="str">
        <f>IFERROR(VLOOKUP($C27,[24]REKAP!$B$9:$D$200,3,0),"")</f>
        <v/>
      </c>
      <c r="BS27" s="15" t="str">
        <f>IFERROR(VLOOKUP($C27,[24]REKAP!$B$9:$E$200,4,0),"")</f>
        <v/>
      </c>
      <c r="BT27" s="15" t="str">
        <f>IFERROR(VLOOKUP($C27,[24]REKAP!$B$9:$G$200,6,0),"")</f>
        <v/>
      </c>
      <c r="BU27" s="15" t="str">
        <f>IFERROR(VLOOKUP($C27,[25]REKAP!$B$9:$D$200,3,0),"")</f>
        <v/>
      </c>
      <c r="BV27" s="15" t="str">
        <f>IFERROR(VLOOKUP($C27,[25]REKAP!$B$9:$E$200,4,0),"")</f>
        <v/>
      </c>
      <c r="BW27" s="15" t="str">
        <f>IFERROR(VLOOKUP($C27,[25]REKAP!$B$9:$G$200,6,0),"")</f>
        <v/>
      </c>
      <c r="BX27" s="15" t="str">
        <f>IFERROR(VLOOKUP($C27,[26]REKAP!$B$9:$D$200,3,0),"")</f>
        <v/>
      </c>
      <c r="BY27" s="15" t="str">
        <f>IFERROR(VLOOKUP($C27,[26]REKAP!$B$9:$E$200,4,0),"")</f>
        <v/>
      </c>
      <c r="BZ27" s="15" t="str">
        <f>IFERROR(VLOOKUP($C27,[26]REKAP!$B$9:$G$200,6,0),"")</f>
        <v/>
      </c>
      <c r="CA27" s="15" t="str">
        <f>IFERROR(VLOOKUP($C27,[27]REKAP!$B$9:$D$200,3,0),"")</f>
        <v/>
      </c>
      <c r="CB27" s="15" t="str">
        <f>IFERROR(VLOOKUP($C27,[27]REKAP!$B$9:$E$200,4,0),"")</f>
        <v/>
      </c>
      <c r="CC27" s="15" t="str">
        <f>IFERROR(VLOOKUP($C27,[27]REKAP!$B$9:$G$200,6,0),"")</f>
        <v/>
      </c>
      <c r="CD27" s="15" t="str">
        <f>IFERROR(VLOOKUP($C27,[28]REKAP!$B$9:$D$200,3,0),"")</f>
        <v/>
      </c>
      <c r="CE27" s="15" t="str">
        <f>IFERROR(VLOOKUP($C27,[28]REKAP!$B$9:$E$200,4,0),"")</f>
        <v/>
      </c>
      <c r="CF27" s="15" t="str">
        <f>IFERROR(VLOOKUP($C27,[28]REKAP!$B$9:$G$200,6,0),"")</f>
        <v/>
      </c>
      <c r="CG27" s="15" t="str">
        <f>IFERROR(VLOOKUP($C27,[29]REKAP!$B$9:$D$200,3,0),"")</f>
        <v/>
      </c>
      <c r="CH27" s="15" t="str">
        <f>IFERROR(VLOOKUP($C27,[29]REKAP!$B$9:$E$200,4,0),"")</f>
        <v/>
      </c>
      <c r="CI27" s="15" t="str">
        <f>IFERROR(VLOOKUP($C27,[29]REKAP!$B$9:$G$200,6,0),"")</f>
        <v/>
      </c>
      <c r="CJ27" s="15" t="str">
        <f>IFERROR(VLOOKUP($C27,[30]REKAP!$B$9:$D$200,3,0),"")</f>
        <v/>
      </c>
      <c r="CK27" s="15" t="str">
        <f>IFERROR(VLOOKUP($C27,[30]REKAP!$B$9:$E$200,4,0),"")</f>
        <v/>
      </c>
      <c r="CL27" s="15" t="str">
        <f>IFERROR(VLOOKUP($C27,[30]REKAP!$B$9:$G$200,6,0),"")</f>
        <v/>
      </c>
      <c r="CM27" s="15" t="str">
        <f>IFERROR(VLOOKUP($C27,[31]REKAP!$B$9:$D$200,3,0),"")</f>
        <v/>
      </c>
      <c r="CN27" s="15" t="str">
        <f>IFERROR(VLOOKUP($C27,[31]REKAP!$B$9:$E$200,4,0),"")</f>
        <v/>
      </c>
      <c r="CO27" s="15" t="str">
        <f>IFERROR(VLOOKUP($C27,[31]REKAP!$B$9:$G$200,6,0),"")</f>
        <v/>
      </c>
      <c r="CP27" s="15" t="str">
        <f>IFERROR(VLOOKUP($C27,[32]REKAP!$B$9:$D$200,3,0),"")</f>
        <v/>
      </c>
      <c r="CQ27" s="15" t="str">
        <f>IFERROR(VLOOKUP($C27,[32]REKAP!$B$9:$E$200,4,0),"")</f>
        <v/>
      </c>
      <c r="CR27" s="15" t="str">
        <f>IFERROR(VLOOKUP($C27,[32]REKAP!$B$9:$G$200,6,0),"")</f>
        <v/>
      </c>
      <c r="CS27" s="15" t="str">
        <f>IFERROR(VLOOKUP($C27,[33]REKAP!$B$9:$D$200,3,0),"")</f>
        <v/>
      </c>
      <c r="CT27" s="15" t="str">
        <f>IFERROR(VLOOKUP($C27,[33]REKAP!$B$9:$E$200,4,0),"")</f>
        <v/>
      </c>
      <c r="CU27" s="15" t="str">
        <f>IFERROR(VLOOKUP($C27,[33]REKAP!$B$9:$G$200,6,0),"")</f>
        <v/>
      </c>
      <c r="CV27" s="15" t="str">
        <f>IFERROR(VLOOKUP($C27,[34]REKAP!$B$9:$D$200,3,0),"")</f>
        <v/>
      </c>
      <c r="CW27" s="15" t="str">
        <f>IFERROR(VLOOKUP($C27,[34]REKAP!$B$9:$E$200,4,0),"")</f>
        <v/>
      </c>
      <c r="CX27" s="15" t="str">
        <f>IFERROR(VLOOKUP($C27,[34]REKAP!$B$9:$G$200,6,0),"")</f>
        <v/>
      </c>
    </row>
    <row r="28" spans="3:102" x14ac:dyDescent="0.25">
      <c r="C28" s="7" t="s">
        <v>73</v>
      </c>
      <c r="D28" s="5" t="str">
        <f>IFERROR(VLOOKUP(C28,DBASE!$C$7:$D$207,2,0),"")</f>
        <v>SELIMUT KEJU 500</v>
      </c>
      <c r="E28" s="15">
        <f t="shared" si="1"/>
        <v>23.2</v>
      </c>
      <c r="F28" s="15">
        <f t="shared" si="1"/>
        <v>1808271.28</v>
      </c>
      <c r="H28" s="15">
        <f t="shared" si="1"/>
        <v>69671.110756631475</v>
      </c>
      <c r="J28" s="15">
        <f>IFERROR(VLOOKUP($C28,[4]REKAP!$B$9:$D$200,3,0),"")</f>
        <v>0</v>
      </c>
      <c r="K28" s="15">
        <f>IFERROR(VLOOKUP($C28,[4]REKAP!$B$9:$E$200,4,0),"")</f>
        <v>0</v>
      </c>
      <c r="L28" s="15">
        <f>IFERROR(VLOOKUP($C28,[4]REKAP!$B$9:$G$200,6,0),"")</f>
        <v>0</v>
      </c>
      <c r="M28" s="15" t="str">
        <f>IFERROR(VLOOKUP($C28,[5]REKAP!$B$9:$D$200,3,0),"")</f>
        <v/>
      </c>
      <c r="N28" s="15" t="str">
        <f>IFERROR(VLOOKUP($C28,[5]REKAP!$B$9:$E$200,4,0),"")</f>
        <v/>
      </c>
      <c r="O28" s="15" t="str">
        <f>IFERROR(VLOOKUP($C28,[5]REKAP!$B$9:$G$200,6,0),"")</f>
        <v/>
      </c>
      <c r="P28" s="15" t="str">
        <f>IFERROR(VLOOKUP($C28,[6]REKAP!$B$9:$D$200,3,0),"")</f>
        <v/>
      </c>
      <c r="Q28" s="15" t="str">
        <f>IFERROR(VLOOKUP($C28,[6]REKAP!$B$9:$E$200,4,0),"")</f>
        <v/>
      </c>
      <c r="R28" s="15" t="str">
        <f>IFERROR(VLOOKUP($C28,[6]REKAP!$B$9:$G$200,6,0),"")</f>
        <v/>
      </c>
      <c r="S28" s="15">
        <f>IFERROR(VLOOKUP($C28,[7]REKAP!$B$9:$D$200,3,0),"")</f>
        <v>1</v>
      </c>
      <c r="T28" s="15">
        <f>IFERROR(VLOOKUP($C28,[7]REKAP!$B$9:$E$200,4,0),"")</f>
        <v>77600</v>
      </c>
      <c r="U28" s="15">
        <f>IFERROR(VLOOKUP($C28,[7]REKAP!$B$9:$G$200,6,0),"")</f>
        <v>2660.3375326134264</v>
      </c>
      <c r="V28" s="15">
        <f>IFERROR(VLOOKUP($C28,[8]REKAP!$B$9:$D$200,3,0),"")</f>
        <v>6</v>
      </c>
      <c r="W28" s="15">
        <f>IFERROR(VLOOKUP($C28,[8]REKAP!$B$9:$E$200,4,0),"")</f>
        <v>471000</v>
      </c>
      <c r="X28" s="15">
        <f>IFERROR(VLOOKUP($C28,[8]REKAP!$B$9:$G$200,6,0),"")</f>
        <v>21362.025195680559</v>
      </c>
      <c r="Y28" s="15">
        <f>IFERROR(VLOOKUP($C28,[9]REKAP!$B$9:$D$200,3,0),"")</f>
        <v>5</v>
      </c>
      <c r="Z28" s="15">
        <f>IFERROR(VLOOKUP($C28,[9]REKAP!$B$9:$E$200,4,0),"")</f>
        <v>391500</v>
      </c>
      <c r="AA28" s="15">
        <f>IFERROR(VLOOKUP($C28,[9]REKAP!$B$9:$G$200,6,0),"")</f>
        <v>16801.687663067132</v>
      </c>
      <c r="AB28" s="15">
        <f>IFERROR(VLOOKUP($C28,[10]REKAP!$B$9:$D$200,3,0),"")</f>
        <v>6</v>
      </c>
      <c r="AC28" s="15">
        <f>IFERROR(VLOOKUP($C28,[10]REKAP!$B$9:$E$200,4,0),"")</f>
        <v>469500</v>
      </c>
      <c r="AD28" s="15">
        <f>IFERROR(VLOOKUP($C28,[10]REKAP!$B$9:$G$200,6,0),"")</f>
        <v>19862.025195680559</v>
      </c>
      <c r="AE28" s="15">
        <f>IFERROR(VLOOKUP($C28,[11]REKAP!$B$9:$D$199,3,0),"")</f>
        <v>1</v>
      </c>
      <c r="AF28" s="15">
        <f>IFERROR(VLOOKUP($C28,[11]REKAP!$B$9:$E$199,4,0),"")</f>
        <v>76824</v>
      </c>
      <c r="AG28" s="15">
        <f>IFERROR(VLOOKUP($C28,[11]REKAP!$B$9:$G$199,6,0),"")</f>
        <v>1884.3375326134264</v>
      </c>
      <c r="AH28" s="15">
        <f>IFERROR(VLOOKUP($C28,[12]REKAP!$B$9:$D$200,3,0),"")</f>
        <v>4.2</v>
      </c>
      <c r="AI28" s="15">
        <f>IFERROR(VLOOKUP($C28,[12]REKAP!$B$9:$E$200,4,0),"")</f>
        <v>321847.27999999997</v>
      </c>
      <c r="AJ28" s="15">
        <f>IFERROR(VLOOKUP($C28,[12]REKAP!$B$9:$G$200,6,0),"")</f>
        <v>7100.6976369763752</v>
      </c>
      <c r="AK28" s="15">
        <f>IFERROR(VLOOKUP($C28,[13]REKAP!$B$9:$D$200,3,0),"")</f>
        <v>0</v>
      </c>
      <c r="AL28" s="15">
        <f>IFERROR(VLOOKUP($C28,[13]REKAP!$B$9:$E$200,4,0),"")</f>
        <v>0</v>
      </c>
      <c r="AM28" s="15">
        <f>IFERROR(VLOOKUP($C28,[13]REKAP!$B$9:$G$200,6,0),"")</f>
        <v>0</v>
      </c>
      <c r="AN28" s="15">
        <f>IFERROR(VLOOKUP($C28,[14]REKAP!$B$9:$D$200,3,0),"")</f>
        <v>0</v>
      </c>
      <c r="AO28" s="15">
        <f>IFERROR(VLOOKUP($C28,[14]REKAP!$B$9:$E$200,4,0),"")</f>
        <v>0</v>
      </c>
      <c r="AP28" s="15">
        <f>IFERROR(VLOOKUP($C28,[14]REKAP!$B$9:$G$200,6,0),"")</f>
        <v>0</v>
      </c>
      <c r="AQ28" s="15">
        <f>IFERROR(VLOOKUP($C28,[15]REKAP!$B$9:$D$200,3,0),"")</f>
        <v>0</v>
      </c>
      <c r="AR28" s="15">
        <f>IFERROR(VLOOKUP($C28,[15]REKAP!$B$9:$E$200,4,0),"")</f>
        <v>0</v>
      </c>
      <c r="AS28" s="15">
        <f>IFERROR(VLOOKUP($C28,[15]REKAP!$B$9:$G$200,6,0),"")</f>
        <v>0</v>
      </c>
      <c r="AT28" s="15">
        <f>IFERROR(VLOOKUP($C28,[16]REKAP!$B$9:$D$200,3,0),"")</f>
        <v>0</v>
      </c>
      <c r="AU28" s="15">
        <f>IFERROR(VLOOKUP($C28,[16]REKAP!$B$9:$E$200,4,0),"")</f>
        <v>0</v>
      </c>
      <c r="AV28" s="15">
        <f>IFERROR(VLOOKUP($C28,[16]REKAP!$B$9:$G$200,6,0),"")</f>
        <v>0</v>
      </c>
      <c r="AW28" s="15">
        <f>IFERROR(VLOOKUP($C28,[17]REKAP!$B$9:$D$200,3,0),"")</f>
        <v>0</v>
      </c>
      <c r="AX28" s="15">
        <f>IFERROR(VLOOKUP($C28,[17]REKAP!$B$9:$E$200,4,0),"")</f>
        <v>0</v>
      </c>
      <c r="AY28" s="15">
        <f>IFERROR(VLOOKUP($C28,[17]REKAP!$B$9:$G$200,6,0),"")</f>
        <v>0</v>
      </c>
      <c r="AZ28" s="15" t="str">
        <f>IFERROR(VLOOKUP($C28,[18]REKAP!$B$9:$D$200,3,0),"")</f>
        <v/>
      </c>
      <c r="BA28" s="15" t="str">
        <f>IFERROR(VLOOKUP($C28,[18]REKAP!$B$9:$E$200,4,0),"")</f>
        <v/>
      </c>
      <c r="BB28" s="15" t="str">
        <f>IFERROR(VLOOKUP($C28,[18]REKAP!$B$9:$G$200,6,0),"")</f>
        <v/>
      </c>
      <c r="BC28" s="15" t="str">
        <f>IFERROR(VLOOKUP($C28,[19]REKAP!$B$9:$D$200,3,0),"")</f>
        <v/>
      </c>
      <c r="BD28" s="15" t="str">
        <f>IFERROR(VLOOKUP($C28,[19]REKAP!$B$9:$E$200,4,0),"")</f>
        <v/>
      </c>
      <c r="BE28" s="15" t="str">
        <f>IFERROR(VLOOKUP($C28,[19]REKAP!$B$9:$G$200,6,0),"")</f>
        <v/>
      </c>
      <c r="BF28" s="15" t="str">
        <f>IFERROR(VLOOKUP($C28,[20]REKAP!$B$9:$D$200,3,0),"")</f>
        <v/>
      </c>
      <c r="BG28" s="15" t="str">
        <f>IFERROR(VLOOKUP($C28,[20]REKAP!$B$9:$E$200,4,0),"")</f>
        <v/>
      </c>
      <c r="BH28" s="15" t="str">
        <f>IFERROR(VLOOKUP($C28,[20]REKAP!$B$9:$G$200,6,0),"")</f>
        <v/>
      </c>
      <c r="BI28" s="15" t="str">
        <f>IFERROR(VLOOKUP($C28,[21]REKAP!$B$9:$D$200,3,0),"")</f>
        <v/>
      </c>
      <c r="BJ28" s="15" t="str">
        <f>IFERROR(VLOOKUP($C28,[21]REKAP!$B$9:$E$200,4,0),"")</f>
        <v/>
      </c>
      <c r="BK28" s="15" t="str">
        <f>IFERROR(VLOOKUP($C28,[21]REKAP!$B$9:$G$200,6,0),"")</f>
        <v/>
      </c>
      <c r="BL28" s="15" t="str">
        <f>IFERROR(VLOOKUP($C28,[22]REKAP!$B$9:$D$200,3,0),"")</f>
        <v/>
      </c>
      <c r="BM28" s="15" t="str">
        <f>IFERROR(VLOOKUP($C28,[22]REKAP!$B$9:$E$200,4,0),"")</f>
        <v/>
      </c>
      <c r="BN28" s="15" t="str">
        <f>IFERROR(VLOOKUP($C28,[22]REKAP!$B$9:$G$200,6,0),"")</f>
        <v/>
      </c>
      <c r="BO28" s="15" t="str">
        <f>IFERROR(VLOOKUP($C28,[23]REKAP!$B$9:$D$200,3,0),"")</f>
        <v/>
      </c>
      <c r="BP28" s="15" t="str">
        <f>IFERROR(VLOOKUP($C28,[23]REKAP!$B$9:$E$200,4,0),"")</f>
        <v/>
      </c>
      <c r="BQ28" s="15" t="str">
        <f>IFERROR(VLOOKUP($C28,[23]REKAP!$B$9:$G$200,6,0),"")</f>
        <v/>
      </c>
      <c r="BR28" s="15" t="str">
        <f>IFERROR(VLOOKUP($C28,[24]REKAP!$B$9:$D$200,3,0),"")</f>
        <v/>
      </c>
      <c r="BS28" s="15" t="str">
        <f>IFERROR(VLOOKUP($C28,[24]REKAP!$B$9:$E$200,4,0),"")</f>
        <v/>
      </c>
      <c r="BT28" s="15" t="str">
        <f>IFERROR(VLOOKUP($C28,[24]REKAP!$B$9:$G$200,6,0),"")</f>
        <v/>
      </c>
      <c r="BU28" s="15" t="str">
        <f>IFERROR(VLOOKUP($C28,[25]REKAP!$B$9:$D$200,3,0),"")</f>
        <v/>
      </c>
      <c r="BV28" s="15" t="str">
        <f>IFERROR(VLOOKUP($C28,[25]REKAP!$B$9:$E$200,4,0),"")</f>
        <v/>
      </c>
      <c r="BW28" s="15" t="str">
        <f>IFERROR(VLOOKUP($C28,[25]REKAP!$B$9:$G$200,6,0),"")</f>
        <v/>
      </c>
      <c r="BX28" s="15" t="str">
        <f>IFERROR(VLOOKUP($C28,[26]REKAP!$B$9:$D$200,3,0),"")</f>
        <v/>
      </c>
      <c r="BY28" s="15" t="str">
        <f>IFERROR(VLOOKUP($C28,[26]REKAP!$B$9:$E$200,4,0),"")</f>
        <v/>
      </c>
      <c r="BZ28" s="15" t="str">
        <f>IFERROR(VLOOKUP($C28,[26]REKAP!$B$9:$G$200,6,0),"")</f>
        <v/>
      </c>
      <c r="CA28" s="15" t="str">
        <f>IFERROR(VLOOKUP($C28,[27]REKAP!$B$9:$D$200,3,0),"")</f>
        <v/>
      </c>
      <c r="CB28" s="15" t="str">
        <f>IFERROR(VLOOKUP($C28,[27]REKAP!$B$9:$E$200,4,0),"")</f>
        <v/>
      </c>
      <c r="CC28" s="15" t="str">
        <f>IFERROR(VLOOKUP($C28,[27]REKAP!$B$9:$G$200,6,0),"")</f>
        <v/>
      </c>
      <c r="CD28" s="15" t="str">
        <f>IFERROR(VLOOKUP($C28,[28]REKAP!$B$9:$D$200,3,0),"")</f>
        <v/>
      </c>
      <c r="CE28" s="15" t="str">
        <f>IFERROR(VLOOKUP($C28,[28]REKAP!$B$9:$E$200,4,0),"")</f>
        <v/>
      </c>
      <c r="CF28" s="15" t="str">
        <f>IFERROR(VLOOKUP($C28,[28]REKAP!$B$9:$G$200,6,0),"")</f>
        <v/>
      </c>
      <c r="CG28" s="15" t="str">
        <f>IFERROR(VLOOKUP($C28,[29]REKAP!$B$9:$D$200,3,0),"")</f>
        <v/>
      </c>
      <c r="CH28" s="15" t="str">
        <f>IFERROR(VLOOKUP($C28,[29]REKAP!$B$9:$E$200,4,0),"")</f>
        <v/>
      </c>
      <c r="CI28" s="15" t="str">
        <f>IFERROR(VLOOKUP($C28,[29]REKAP!$B$9:$G$200,6,0),"")</f>
        <v/>
      </c>
      <c r="CJ28" s="15" t="str">
        <f>IFERROR(VLOOKUP($C28,[30]REKAP!$B$9:$D$200,3,0),"")</f>
        <v/>
      </c>
      <c r="CK28" s="15" t="str">
        <f>IFERROR(VLOOKUP($C28,[30]REKAP!$B$9:$E$200,4,0),"")</f>
        <v/>
      </c>
      <c r="CL28" s="15" t="str">
        <f>IFERROR(VLOOKUP($C28,[30]REKAP!$B$9:$G$200,6,0),"")</f>
        <v/>
      </c>
      <c r="CM28" s="15" t="str">
        <f>IFERROR(VLOOKUP($C28,[31]REKAP!$B$9:$D$200,3,0),"")</f>
        <v/>
      </c>
      <c r="CN28" s="15" t="str">
        <f>IFERROR(VLOOKUP($C28,[31]REKAP!$B$9:$E$200,4,0),"")</f>
        <v/>
      </c>
      <c r="CO28" s="15" t="str">
        <f>IFERROR(VLOOKUP($C28,[31]REKAP!$B$9:$G$200,6,0),"")</f>
        <v/>
      </c>
      <c r="CP28" s="15" t="str">
        <f>IFERROR(VLOOKUP($C28,[32]REKAP!$B$9:$D$200,3,0),"")</f>
        <v/>
      </c>
      <c r="CQ28" s="15" t="str">
        <f>IFERROR(VLOOKUP($C28,[32]REKAP!$B$9:$E$200,4,0),"")</f>
        <v/>
      </c>
      <c r="CR28" s="15" t="str">
        <f>IFERROR(VLOOKUP($C28,[32]REKAP!$B$9:$G$200,6,0),"")</f>
        <v/>
      </c>
      <c r="CS28" s="15" t="str">
        <f>IFERROR(VLOOKUP($C28,[33]REKAP!$B$9:$D$200,3,0),"")</f>
        <v/>
      </c>
      <c r="CT28" s="15" t="str">
        <f>IFERROR(VLOOKUP($C28,[33]REKAP!$B$9:$E$200,4,0),"")</f>
        <v/>
      </c>
      <c r="CU28" s="15" t="str">
        <f>IFERROR(VLOOKUP($C28,[33]REKAP!$B$9:$G$200,6,0),"")</f>
        <v/>
      </c>
      <c r="CV28" s="15" t="str">
        <f>IFERROR(VLOOKUP($C28,[34]REKAP!$B$9:$D$200,3,0),"")</f>
        <v/>
      </c>
      <c r="CW28" s="15" t="str">
        <f>IFERROR(VLOOKUP($C28,[34]REKAP!$B$9:$E$200,4,0),"")</f>
        <v/>
      </c>
      <c r="CX28" s="15" t="str">
        <f>IFERROR(VLOOKUP($C28,[34]REKAP!$B$9:$G$200,6,0),"")</f>
        <v/>
      </c>
    </row>
    <row r="29" spans="3:102" x14ac:dyDescent="0.25">
      <c r="C29" s="7" t="s">
        <v>74</v>
      </c>
      <c r="D29" s="5" t="str">
        <f>IFERROR(VLOOKUP(C29,DBASE!$C$7:$D$207,2,0),"")</f>
        <v>SELIMUT COKLAT 500</v>
      </c>
      <c r="E29" s="15">
        <f t="shared" si="1"/>
        <v>16.2</v>
      </c>
      <c r="F29" s="15">
        <f t="shared" si="1"/>
        <v>1263259.76</v>
      </c>
      <c r="H29" s="15">
        <f t="shared" si="1"/>
        <v>49237.2280283375</v>
      </c>
      <c r="J29" s="15">
        <f>IFERROR(VLOOKUP($C29,[4]REKAP!$B$9:$D$200,3,0),"")</f>
        <v>0</v>
      </c>
      <c r="K29" s="15">
        <f>IFERROR(VLOOKUP($C29,[4]REKAP!$B$9:$E$200,4,0),"")</f>
        <v>0</v>
      </c>
      <c r="L29" s="15">
        <f>IFERROR(VLOOKUP($C29,[4]REKAP!$B$9:$G$200,6,0),"")</f>
        <v>0</v>
      </c>
      <c r="M29" s="15" t="str">
        <f>IFERROR(VLOOKUP($C29,[5]REKAP!$B$9:$D$200,3,0),"")</f>
        <v/>
      </c>
      <c r="N29" s="15" t="str">
        <f>IFERROR(VLOOKUP($C29,[5]REKAP!$B$9:$E$200,4,0),"")</f>
        <v/>
      </c>
      <c r="O29" s="15" t="str">
        <f>IFERROR(VLOOKUP($C29,[5]REKAP!$B$9:$G$200,6,0),"")</f>
        <v/>
      </c>
      <c r="P29" s="15" t="str">
        <f>IFERROR(VLOOKUP($C29,[6]REKAP!$B$9:$D$200,3,0),"")</f>
        <v/>
      </c>
      <c r="Q29" s="15" t="str">
        <f>IFERROR(VLOOKUP($C29,[6]REKAP!$B$9:$E$200,4,0),"")</f>
        <v/>
      </c>
      <c r="R29" s="15" t="str">
        <f>IFERROR(VLOOKUP($C29,[6]REKAP!$B$9:$G$200,6,0),"")</f>
        <v/>
      </c>
      <c r="S29" s="15">
        <f>IFERROR(VLOOKUP($C29,[7]REKAP!$B$9:$D$200,3,0),"")</f>
        <v>2</v>
      </c>
      <c r="T29" s="15">
        <f>IFERROR(VLOOKUP($C29,[7]REKAP!$B$9:$E$200,4,0),"")</f>
        <v>155200</v>
      </c>
      <c r="U29" s="15">
        <f>IFERROR(VLOOKUP($C29,[7]REKAP!$B$9:$G$200,6,0),"")</f>
        <v>5320.6750652268529</v>
      </c>
      <c r="V29" s="15">
        <f>IFERROR(VLOOKUP($C29,[8]REKAP!$B$9:$D$200,3,0),"")</f>
        <v>3</v>
      </c>
      <c r="W29" s="15">
        <f>IFERROR(VLOOKUP($C29,[8]REKAP!$B$9:$E$200,4,0),"")</f>
        <v>235500</v>
      </c>
      <c r="X29" s="15">
        <f>IFERROR(VLOOKUP($C29,[8]REKAP!$B$9:$G$200,6,0),"")</f>
        <v>10681.012597840279</v>
      </c>
      <c r="Y29" s="15">
        <f>IFERROR(VLOOKUP($C29,[9]REKAP!$B$9:$D$200,3,0),"")</f>
        <v>4</v>
      </c>
      <c r="Z29" s="15">
        <f>IFERROR(VLOOKUP($C29,[9]REKAP!$B$9:$E$200,4,0),"")</f>
        <v>313000</v>
      </c>
      <c r="AA29" s="15">
        <f>IFERROR(VLOOKUP($C29,[9]REKAP!$B$9:$G$200,6,0),"")</f>
        <v>13241.350130453706</v>
      </c>
      <c r="AB29" s="15">
        <f>IFERROR(VLOOKUP($C29,[10]REKAP!$B$9:$D$200,3,0),"")</f>
        <v>4</v>
      </c>
      <c r="AC29" s="15">
        <f>IFERROR(VLOOKUP($C29,[10]REKAP!$B$9:$E$200,4,0),"")</f>
        <v>313000</v>
      </c>
      <c r="AD29" s="15">
        <f>IFERROR(VLOOKUP($C29,[10]REKAP!$B$9:$G$200,6,0),"")</f>
        <v>13241.350130453706</v>
      </c>
      <c r="AE29" s="15">
        <f>IFERROR(VLOOKUP($C29,[11]REKAP!$B$9:$D$199,3,0),"")</f>
        <v>1</v>
      </c>
      <c r="AF29" s="15">
        <f>IFERROR(VLOOKUP($C29,[11]REKAP!$B$9:$E$199,4,0),"")</f>
        <v>76824</v>
      </c>
      <c r="AG29" s="15">
        <f>IFERROR(VLOOKUP($C29,[11]REKAP!$B$9:$G$199,6,0),"")</f>
        <v>1884.3375326134264</v>
      </c>
      <c r="AH29" s="15">
        <f>IFERROR(VLOOKUP($C29,[12]REKAP!$B$9:$D$200,3,0),"")</f>
        <v>2.2000000000000002</v>
      </c>
      <c r="AI29" s="15">
        <f>IFERROR(VLOOKUP($C29,[12]REKAP!$B$9:$E$200,4,0),"")</f>
        <v>169735.76</v>
      </c>
      <c r="AJ29" s="15">
        <f>IFERROR(VLOOKUP($C29,[12]REKAP!$B$9:$G$200,6,0),"")</f>
        <v>4868.5025717495328</v>
      </c>
      <c r="AK29" s="15">
        <f>IFERROR(VLOOKUP($C29,[13]REKAP!$B$9:$D$200,3,0),"")</f>
        <v>0</v>
      </c>
      <c r="AL29" s="15">
        <f>IFERROR(VLOOKUP($C29,[13]REKAP!$B$9:$E$200,4,0),"")</f>
        <v>0</v>
      </c>
      <c r="AM29" s="15">
        <f>IFERROR(VLOOKUP($C29,[13]REKAP!$B$9:$G$200,6,0),"")</f>
        <v>0</v>
      </c>
      <c r="AN29" s="15">
        <f>IFERROR(VLOOKUP($C29,[14]REKAP!$B$9:$D$200,3,0),"")</f>
        <v>0</v>
      </c>
      <c r="AO29" s="15">
        <f>IFERROR(VLOOKUP($C29,[14]REKAP!$B$9:$E$200,4,0),"")</f>
        <v>0</v>
      </c>
      <c r="AP29" s="15">
        <f>IFERROR(VLOOKUP($C29,[14]REKAP!$B$9:$G$200,6,0),"")</f>
        <v>0</v>
      </c>
      <c r="AQ29" s="15">
        <f>IFERROR(VLOOKUP($C29,[15]REKAP!$B$9:$D$200,3,0),"")</f>
        <v>0</v>
      </c>
      <c r="AR29" s="15">
        <f>IFERROR(VLOOKUP($C29,[15]REKAP!$B$9:$E$200,4,0),"")</f>
        <v>0</v>
      </c>
      <c r="AS29" s="15">
        <f>IFERROR(VLOOKUP($C29,[15]REKAP!$B$9:$G$200,6,0),"")</f>
        <v>0</v>
      </c>
      <c r="AT29" s="15">
        <f>IFERROR(VLOOKUP($C29,[16]REKAP!$B$9:$D$200,3,0),"")</f>
        <v>0</v>
      </c>
      <c r="AU29" s="15">
        <f>IFERROR(VLOOKUP($C29,[16]REKAP!$B$9:$E$200,4,0),"")</f>
        <v>0</v>
      </c>
      <c r="AV29" s="15">
        <f>IFERROR(VLOOKUP($C29,[16]REKAP!$B$9:$G$200,6,0),"")</f>
        <v>0</v>
      </c>
      <c r="AW29" s="15">
        <f>IFERROR(VLOOKUP($C29,[17]REKAP!$B$9:$D$200,3,0),"")</f>
        <v>0</v>
      </c>
      <c r="AX29" s="15">
        <f>IFERROR(VLOOKUP($C29,[17]REKAP!$B$9:$E$200,4,0),"")</f>
        <v>0</v>
      </c>
      <c r="AY29" s="15">
        <f>IFERROR(VLOOKUP($C29,[17]REKAP!$B$9:$G$200,6,0),"")</f>
        <v>0</v>
      </c>
      <c r="AZ29" s="15" t="str">
        <f>IFERROR(VLOOKUP($C29,[18]REKAP!$B$9:$D$200,3,0),"")</f>
        <v/>
      </c>
      <c r="BA29" s="15" t="str">
        <f>IFERROR(VLOOKUP($C29,[18]REKAP!$B$9:$E$200,4,0),"")</f>
        <v/>
      </c>
      <c r="BB29" s="15" t="str">
        <f>IFERROR(VLOOKUP($C29,[18]REKAP!$B$9:$G$200,6,0),"")</f>
        <v/>
      </c>
      <c r="BC29" s="15" t="str">
        <f>IFERROR(VLOOKUP($C29,[19]REKAP!$B$9:$D$200,3,0),"")</f>
        <v/>
      </c>
      <c r="BD29" s="15" t="str">
        <f>IFERROR(VLOOKUP($C29,[19]REKAP!$B$9:$E$200,4,0),"")</f>
        <v/>
      </c>
      <c r="BE29" s="15" t="str">
        <f>IFERROR(VLOOKUP($C29,[19]REKAP!$B$9:$G$200,6,0),"")</f>
        <v/>
      </c>
      <c r="BF29" s="15" t="str">
        <f>IFERROR(VLOOKUP($C29,[20]REKAP!$B$9:$D$200,3,0),"")</f>
        <v/>
      </c>
      <c r="BG29" s="15" t="str">
        <f>IFERROR(VLOOKUP($C29,[20]REKAP!$B$9:$E$200,4,0),"")</f>
        <v/>
      </c>
      <c r="BH29" s="15" t="str">
        <f>IFERROR(VLOOKUP($C29,[20]REKAP!$B$9:$G$200,6,0),"")</f>
        <v/>
      </c>
      <c r="BI29" s="15" t="str">
        <f>IFERROR(VLOOKUP($C29,[21]REKAP!$B$9:$D$200,3,0),"")</f>
        <v/>
      </c>
      <c r="BJ29" s="15" t="str">
        <f>IFERROR(VLOOKUP($C29,[21]REKAP!$B$9:$E$200,4,0),"")</f>
        <v/>
      </c>
      <c r="BK29" s="15" t="str">
        <f>IFERROR(VLOOKUP($C29,[21]REKAP!$B$9:$G$200,6,0),"")</f>
        <v/>
      </c>
      <c r="BL29" s="15" t="str">
        <f>IFERROR(VLOOKUP($C29,[22]REKAP!$B$9:$D$200,3,0),"")</f>
        <v/>
      </c>
      <c r="BM29" s="15" t="str">
        <f>IFERROR(VLOOKUP($C29,[22]REKAP!$B$9:$E$200,4,0),"")</f>
        <v/>
      </c>
      <c r="BN29" s="15" t="str">
        <f>IFERROR(VLOOKUP($C29,[22]REKAP!$B$9:$G$200,6,0),"")</f>
        <v/>
      </c>
      <c r="BO29" s="15" t="str">
        <f>IFERROR(VLOOKUP($C29,[23]REKAP!$B$9:$D$200,3,0),"")</f>
        <v/>
      </c>
      <c r="BP29" s="15" t="str">
        <f>IFERROR(VLOOKUP($C29,[23]REKAP!$B$9:$E$200,4,0),"")</f>
        <v/>
      </c>
      <c r="BQ29" s="15" t="str">
        <f>IFERROR(VLOOKUP($C29,[23]REKAP!$B$9:$G$200,6,0),"")</f>
        <v/>
      </c>
      <c r="BR29" s="15" t="str">
        <f>IFERROR(VLOOKUP($C29,[24]REKAP!$B$9:$D$200,3,0),"")</f>
        <v/>
      </c>
      <c r="BS29" s="15" t="str">
        <f>IFERROR(VLOOKUP($C29,[24]REKAP!$B$9:$E$200,4,0),"")</f>
        <v/>
      </c>
      <c r="BT29" s="15" t="str">
        <f>IFERROR(VLOOKUP($C29,[24]REKAP!$B$9:$G$200,6,0),"")</f>
        <v/>
      </c>
      <c r="BU29" s="15" t="str">
        <f>IFERROR(VLOOKUP($C29,[25]REKAP!$B$9:$D$200,3,0),"")</f>
        <v/>
      </c>
      <c r="BV29" s="15" t="str">
        <f>IFERROR(VLOOKUP($C29,[25]REKAP!$B$9:$E$200,4,0),"")</f>
        <v/>
      </c>
      <c r="BW29" s="15" t="str">
        <f>IFERROR(VLOOKUP($C29,[25]REKAP!$B$9:$G$200,6,0),"")</f>
        <v/>
      </c>
      <c r="BX29" s="15" t="str">
        <f>IFERROR(VLOOKUP($C29,[26]REKAP!$B$9:$D$200,3,0),"")</f>
        <v/>
      </c>
      <c r="BY29" s="15" t="str">
        <f>IFERROR(VLOOKUP($C29,[26]REKAP!$B$9:$E$200,4,0),"")</f>
        <v/>
      </c>
      <c r="BZ29" s="15" t="str">
        <f>IFERROR(VLOOKUP($C29,[26]REKAP!$B$9:$G$200,6,0),"")</f>
        <v/>
      </c>
      <c r="CA29" s="15" t="str">
        <f>IFERROR(VLOOKUP($C29,[27]REKAP!$B$9:$D$200,3,0),"")</f>
        <v/>
      </c>
      <c r="CB29" s="15" t="str">
        <f>IFERROR(VLOOKUP($C29,[27]REKAP!$B$9:$E$200,4,0),"")</f>
        <v/>
      </c>
      <c r="CC29" s="15" t="str">
        <f>IFERROR(VLOOKUP($C29,[27]REKAP!$B$9:$G$200,6,0),"")</f>
        <v/>
      </c>
      <c r="CD29" s="15" t="str">
        <f>IFERROR(VLOOKUP($C29,[28]REKAP!$B$9:$D$200,3,0),"")</f>
        <v/>
      </c>
      <c r="CE29" s="15" t="str">
        <f>IFERROR(VLOOKUP($C29,[28]REKAP!$B$9:$E$200,4,0),"")</f>
        <v/>
      </c>
      <c r="CF29" s="15" t="str">
        <f>IFERROR(VLOOKUP($C29,[28]REKAP!$B$9:$G$200,6,0),"")</f>
        <v/>
      </c>
      <c r="CG29" s="15" t="str">
        <f>IFERROR(VLOOKUP($C29,[29]REKAP!$B$9:$D$200,3,0),"")</f>
        <v/>
      </c>
      <c r="CH29" s="15" t="str">
        <f>IFERROR(VLOOKUP($C29,[29]REKAP!$B$9:$E$200,4,0),"")</f>
        <v/>
      </c>
      <c r="CI29" s="15" t="str">
        <f>IFERROR(VLOOKUP($C29,[29]REKAP!$B$9:$G$200,6,0),"")</f>
        <v/>
      </c>
      <c r="CJ29" s="15" t="str">
        <f>IFERROR(VLOOKUP($C29,[30]REKAP!$B$9:$D$200,3,0),"")</f>
        <v/>
      </c>
      <c r="CK29" s="15" t="str">
        <f>IFERROR(VLOOKUP($C29,[30]REKAP!$B$9:$E$200,4,0),"")</f>
        <v/>
      </c>
      <c r="CL29" s="15" t="str">
        <f>IFERROR(VLOOKUP($C29,[30]REKAP!$B$9:$G$200,6,0),"")</f>
        <v/>
      </c>
      <c r="CM29" s="15" t="str">
        <f>IFERROR(VLOOKUP($C29,[31]REKAP!$B$9:$D$200,3,0),"")</f>
        <v/>
      </c>
      <c r="CN29" s="15" t="str">
        <f>IFERROR(VLOOKUP($C29,[31]REKAP!$B$9:$E$200,4,0),"")</f>
        <v/>
      </c>
      <c r="CO29" s="15" t="str">
        <f>IFERROR(VLOOKUP($C29,[31]REKAP!$B$9:$G$200,6,0),"")</f>
        <v/>
      </c>
      <c r="CP29" s="15" t="str">
        <f>IFERROR(VLOOKUP($C29,[32]REKAP!$B$9:$D$200,3,0),"")</f>
        <v/>
      </c>
      <c r="CQ29" s="15" t="str">
        <f>IFERROR(VLOOKUP($C29,[32]REKAP!$B$9:$E$200,4,0),"")</f>
        <v/>
      </c>
      <c r="CR29" s="15" t="str">
        <f>IFERROR(VLOOKUP($C29,[32]REKAP!$B$9:$G$200,6,0),"")</f>
        <v/>
      </c>
      <c r="CS29" s="15" t="str">
        <f>IFERROR(VLOOKUP($C29,[33]REKAP!$B$9:$D$200,3,0),"")</f>
        <v/>
      </c>
      <c r="CT29" s="15" t="str">
        <f>IFERROR(VLOOKUP($C29,[33]REKAP!$B$9:$E$200,4,0),"")</f>
        <v/>
      </c>
      <c r="CU29" s="15" t="str">
        <f>IFERROR(VLOOKUP($C29,[33]REKAP!$B$9:$G$200,6,0),"")</f>
        <v/>
      </c>
      <c r="CV29" s="15" t="str">
        <f>IFERROR(VLOOKUP($C29,[34]REKAP!$B$9:$D$200,3,0),"")</f>
        <v/>
      </c>
      <c r="CW29" s="15" t="str">
        <f>IFERROR(VLOOKUP($C29,[34]REKAP!$B$9:$E$200,4,0),"")</f>
        <v/>
      </c>
      <c r="CX29" s="15" t="str">
        <f>IFERROR(VLOOKUP($C29,[34]REKAP!$B$9:$G$200,6,0),"")</f>
        <v/>
      </c>
    </row>
    <row r="30" spans="3:102" x14ac:dyDescent="0.25">
      <c r="C30" s="7" t="s">
        <v>130</v>
      </c>
      <c r="D30" s="5" t="str">
        <f>IFERROR(VLOOKUP(C30,DBASE!$C$7:$D$207,2,0),"")</f>
        <v>SELIMUT KEJU 2000</v>
      </c>
      <c r="E30" s="15">
        <f t="shared" si="1"/>
        <v>5</v>
      </c>
      <c r="F30" s="15">
        <f t="shared" si="1"/>
        <v>464780</v>
      </c>
      <c r="H30" s="15">
        <f t="shared" si="1"/>
        <v>15037.750571428551</v>
      </c>
      <c r="J30" s="15" t="str">
        <f>IFERROR(VLOOKUP($C30,[4]REKAP!$B$9:$D$200,3,0),"")</f>
        <v/>
      </c>
      <c r="K30" s="15" t="str">
        <f>IFERROR(VLOOKUP($C30,[4]REKAP!$B$9:$E$200,4,0),"")</f>
        <v/>
      </c>
      <c r="L30" s="15" t="str">
        <f>IFERROR(VLOOKUP($C30,[4]REKAP!$B$9:$G$200,6,0),"")</f>
        <v/>
      </c>
      <c r="M30" s="15" t="str">
        <f>IFERROR(VLOOKUP($C30,[5]REKAP!$B$9:$D$200,3,0),"")</f>
        <v/>
      </c>
      <c r="N30" s="15" t="str">
        <f>IFERROR(VLOOKUP($C30,[5]REKAP!$B$9:$E$200,4,0),"")</f>
        <v/>
      </c>
      <c r="O30" s="15" t="str">
        <f>IFERROR(VLOOKUP($C30,[5]REKAP!$B$9:$G$200,6,0),"")</f>
        <v/>
      </c>
      <c r="P30" s="15" t="str">
        <f>IFERROR(VLOOKUP($C30,[6]REKAP!$B$9:$D$200,3,0),"")</f>
        <v/>
      </c>
      <c r="Q30" s="15" t="str">
        <f>IFERROR(VLOOKUP($C30,[6]REKAP!$B$9:$E$200,4,0),"")</f>
        <v/>
      </c>
      <c r="R30" s="15" t="str">
        <f>IFERROR(VLOOKUP($C30,[6]REKAP!$B$9:$G$200,6,0),"")</f>
        <v/>
      </c>
      <c r="S30" s="15" t="str">
        <f>IFERROR(VLOOKUP($C30,[7]REKAP!$B$9:$D$200,3,0),"")</f>
        <v/>
      </c>
      <c r="T30" s="15" t="str">
        <f>IFERROR(VLOOKUP($C30,[7]REKAP!$B$9:$E$200,4,0),"")</f>
        <v/>
      </c>
      <c r="U30" s="15" t="str">
        <f>IFERROR(VLOOKUP($C30,[7]REKAP!$B$9:$G$200,6,0),"")</f>
        <v/>
      </c>
      <c r="V30" s="15" t="str">
        <f>IFERROR(VLOOKUP($C30,[8]REKAP!$B$9:$D$200,3,0),"")</f>
        <v/>
      </c>
      <c r="W30" s="15" t="str">
        <f>IFERROR(VLOOKUP($C30,[8]REKAP!$B$9:$E$200,4,0),"")</f>
        <v/>
      </c>
      <c r="X30" s="15" t="str">
        <f>IFERROR(VLOOKUP($C30,[8]REKAP!$B$9:$G$200,6,0),"")</f>
        <v/>
      </c>
      <c r="Y30" s="15" t="str">
        <f>IFERROR(VLOOKUP($C30,[9]REKAP!$B$9:$D$200,3,0),"")</f>
        <v/>
      </c>
      <c r="Z30" s="15" t="str">
        <f>IFERROR(VLOOKUP($C30,[9]REKAP!$B$9:$E$200,4,0),"")</f>
        <v/>
      </c>
      <c r="AA30" s="15" t="str">
        <f>IFERROR(VLOOKUP($C30,[9]REKAP!$B$9:$G$200,6,0),"")</f>
        <v/>
      </c>
      <c r="AB30" s="15">
        <f>IFERROR(VLOOKUP($C30,[10]REKAP!$B$9:$D$200,3,0),"")</f>
        <v>2</v>
      </c>
      <c r="AC30" s="15">
        <f>IFERROR(VLOOKUP($C30,[10]REKAP!$B$9:$E$200,4,0),"")</f>
        <v>185500</v>
      </c>
      <c r="AD30" s="15">
        <f>IFERROR(VLOOKUP($C30,[10]REKAP!$B$9:$G$200,6,0),"")</f>
        <v>5603.1002285714203</v>
      </c>
      <c r="AE30" s="15">
        <f>IFERROR(VLOOKUP($C30,[11]REKAP!$B$9:$D$199,3,0),"")</f>
        <v>2</v>
      </c>
      <c r="AF30" s="15">
        <f>IFERROR(VLOOKUP($C30,[11]REKAP!$B$9:$E$199,4,0),"")</f>
        <v>185200</v>
      </c>
      <c r="AG30" s="15">
        <f>IFERROR(VLOOKUP($C30,[11]REKAP!$B$9:$G$199,6,0),"")</f>
        <v>5303.1002285714203</v>
      </c>
      <c r="AH30" s="15">
        <f>IFERROR(VLOOKUP($C30,[12]REKAP!$B$9:$D$200,3,0),"")</f>
        <v>1</v>
      </c>
      <c r="AI30" s="15">
        <f>IFERROR(VLOOKUP($C30,[12]REKAP!$B$9:$E$200,4,0),"")</f>
        <v>94080</v>
      </c>
      <c r="AJ30" s="15">
        <f>IFERROR(VLOOKUP($C30,[12]REKAP!$B$9:$G$200,6,0),"")</f>
        <v>4131.5501142857102</v>
      </c>
      <c r="AK30" s="15" t="str">
        <f>IFERROR(VLOOKUP($C30,[13]REKAP!$B$9:$D$200,3,0),"")</f>
        <v/>
      </c>
      <c r="AL30" s="15" t="str">
        <f>IFERROR(VLOOKUP($C30,[13]REKAP!$B$9:$E$200,4,0),"")</f>
        <v/>
      </c>
      <c r="AM30" s="15" t="str">
        <f>IFERROR(VLOOKUP($C30,[13]REKAP!$B$9:$G$200,6,0),"")</f>
        <v/>
      </c>
      <c r="AN30" s="15" t="str">
        <f>IFERROR(VLOOKUP($C30,[14]REKAP!$B$9:$D$200,3,0),"")</f>
        <v/>
      </c>
      <c r="AO30" s="15" t="str">
        <f>IFERROR(VLOOKUP($C30,[14]REKAP!$B$9:$E$200,4,0),"")</f>
        <v/>
      </c>
      <c r="AP30" s="15" t="str">
        <f>IFERROR(VLOOKUP($C30,[14]REKAP!$B$9:$G$200,6,0),"")</f>
        <v/>
      </c>
      <c r="AQ30" s="15" t="str">
        <f>IFERROR(VLOOKUP($C30,[15]REKAP!$B$9:$D$200,3,0),"")</f>
        <v/>
      </c>
      <c r="AR30" s="15" t="str">
        <f>IFERROR(VLOOKUP($C30,[15]REKAP!$B$9:$E$200,4,0),"")</f>
        <v/>
      </c>
      <c r="AS30" s="15" t="str">
        <f>IFERROR(VLOOKUP($C30,[15]REKAP!$B$9:$G$200,6,0),"")</f>
        <v/>
      </c>
      <c r="AT30" s="15" t="str">
        <f>IFERROR(VLOOKUP($C30,[16]REKAP!$B$9:$D$200,3,0),"")</f>
        <v/>
      </c>
      <c r="AU30" s="15" t="str">
        <f>IFERROR(VLOOKUP($C30,[16]REKAP!$B$9:$E$200,4,0),"")</f>
        <v/>
      </c>
      <c r="AV30" s="15" t="str">
        <f>IFERROR(VLOOKUP($C30,[16]REKAP!$B$9:$G$200,6,0),"")</f>
        <v/>
      </c>
      <c r="AW30" s="15" t="str">
        <f>IFERROR(VLOOKUP($C30,[17]REKAP!$B$9:$D$200,3,0),"")</f>
        <v/>
      </c>
      <c r="AX30" s="15" t="str">
        <f>IFERROR(VLOOKUP($C30,[17]REKAP!$B$9:$E$200,4,0),"")</f>
        <v/>
      </c>
      <c r="AY30" s="15" t="str">
        <f>IFERROR(VLOOKUP($C30,[17]REKAP!$B$9:$G$200,6,0),"")</f>
        <v/>
      </c>
      <c r="AZ30" s="15" t="str">
        <f>IFERROR(VLOOKUP($C30,[18]REKAP!$B$9:$D$200,3,0),"")</f>
        <v/>
      </c>
      <c r="BA30" s="15" t="str">
        <f>IFERROR(VLOOKUP($C30,[18]REKAP!$B$9:$E$200,4,0),"")</f>
        <v/>
      </c>
      <c r="BB30" s="15" t="str">
        <f>IFERROR(VLOOKUP($C30,[18]REKAP!$B$9:$G$200,6,0),"")</f>
        <v/>
      </c>
      <c r="BC30" s="15" t="str">
        <f>IFERROR(VLOOKUP($C30,[19]REKAP!$B$9:$D$200,3,0),"")</f>
        <v/>
      </c>
      <c r="BD30" s="15" t="str">
        <f>IFERROR(VLOOKUP($C30,[19]REKAP!$B$9:$E$200,4,0),"")</f>
        <v/>
      </c>
      <c r="BE30" s="15" t="str">
        <f>IFERROR(VLOOKUP($C30,[19]REKAP!$B$9:$G$200,6,0),"")</f>
        <v/>
      </c>
      <c r="BF30" s="15" t="str">
        <f>IFERROR(VLOOKUP($C30,[20]REKAP!$B$9:$D$200,3,0),"")</f>
        <v/>
      </c>
      <c r="BG30" s="15" t="str">
        <f>IFERROR(VLOOKUP($C30,[20]REKAP!$B$9:$E$200,4,0),"")</f>
        <v/>
      </c>
      <c r="BH30" s="15" t="str">
        <f>IFERROR(VLOOKUP($C30,[20]REKAP!$B$9:$G$200,6,0),"")</f>
        <v/>
      </c>
      <c r="BI30" s="15" t="str">
        <f>IFERROR(VLOOKUP($C30,[21]REKAP!$B$9:$D$200,3,0),"")</f>
        <v/>
      </c>
      <c r="BJ30" s="15" t="str">
        <f>IFERROR(VLOOKUP($C30,[21]REKAP!$B$9:$E$200,4,0),"")</f>
        <v/>
      </c>
      <c r="BK30" s="15" t="str">
        <f>IFERROR(VLOOKUP($C30,[21]REKAP!$B$9:$G$200,6,0),"")</f>
        <v/>
      </c>
      <c r="BL30" s="15" t="str">
        <f>IFERROR(VLOOKUP($C30,[22]REKAP!$B$9:$D$200,3,0),"")</f>
        <v/>
      </c>
      <c r="BM30" s="15" t="str">
        <f>IFERROR(VLOOKUP($C30,[22]REKAP!$B$9:$E$200,4,0),"")</f>
        <v/>
      </c>
      <c r="BN30" s="15" t="str">
        <f>IFERROR(VLOOKUP($C30,[22]REKAP!$B$9:$G$200,6,0),"")</f>
        <v/>
      </c>
      <c r="BO30" s="15" t="str">
        <f>IFERROR(VLOOKUP($C30,[23]REKAP!$B$9:$D$200,3,0),"")</f>
        <v/>
      </c>
      <c r="BP30" s="15" t="str">
        <f>IFERROR(VLOOKUP($C30,[23]REKAP!$B$9:$E$200,4,0),"")</f>
        <v/>
      </c>
      <c r="BQ30" s="15" t="str">
        <f>IFERROR(VLOOKUP($C30,[23]REKAP!$B$9:$G$200,6,0),"")</f>
        <v/>
      </c>
      <c r="BR30" s="15" t="str">
        <f>IFERROR(VLOOKUP($C30,[24]REKAP!$B$9:$D$200,3,0),"")</f>
        <v/>
      </c>
      <c r="BS30" s="15" t="str">
        <f>IFERROR(VLOOKUP($C30,[24]REKAP!$B$9:$E$200,4,0),"")</f>
        <v/>
      </c>
      <c r="BT30" s="15" t="str">
        <f>IFERROR(VLOOKUP($C30,[24]REKAP!$B$9:$G$200,6,0),"")</f>
        <v/>
      </c>
      <c r="BU30" s="15" t="str">
        <f>IFERROR(VLOOKUP($C30,[25]REKAP!$B$9:$D$200,3,0),"")</f>
        <v/>
      </c>
      <c r="BV30" s="15" t="str">
        <f>IFERROR(VLOOKUP($C30,[25]REKAP!$B$9:$E$200,4,0),"")</f>
        <v/>
      </c>
      <c r="BW30" s="15" t="str">
        <f>IFERROR(VLOOKUP($C30,[25]REKAP!$B$9:$G$200,6,0),"")</f>
        <v/>
      </c>
      <c r="BX30" s="15" t="str">
        <f>IFERROR(VLOOKUP($C30,[26]REKAP!$B$9:$D$200,3,0),"")</f>
        <v/>
      </c>
      <c r="BY30" s="15" t="str">
        <f>IFERROR(VLOOKUP($C30,[26]REKAP!$B$9:$E$200,4,0),"")</f>
        <v/>
      </c>
      <c r="BZ30" s="15" t="str">
        <f>IFERROR(VLOOKUP($C30,[26]REKAP!$B$9:$G$200,6,0),"")</f>
        <v/>
      </c>
      <c r="CA30" s="15" t="str">
        <f>IFERROR(VLOOKUP($C30,[27]REKAP!$B$9:$D$200,3,0),"")</f>
        <v/>
      </c>
      <c r="CB30" s="15" t="str">
        <f>IFERROR(VLOOKUP($C30,[27]REKAP!$B$9:$E$200,4,0),"")</f>
        <v/>
      </c>
      <c r="CC30" s="15" t="str">
        <f>IFERROR(VLOOKUP($C30,[27]REKAP!$B$9:$G$200,6,0),"")</f>
        <v/>
      </c>
      <c r="CD30" s="15" t="str">
        <f>IFERROR(VLOOKUP($C30,[28]REKAP!$B$9:$D$200,3,0),"")</f>
        <v/>
      </c>
      <c r="CE30" s="15" t="str">
        <f>IFERROR(VLOOKUP($C30,[28]REKAP!$B$9:$E$200,4,0),"")</f>
        <v/>
      </c>
      <c r="CF30" s="15" t="str">
        <f>IFERROR(VLOOKUP($C30,[28]REKAP!$B$9:$G$200,6,0),"")</f>
        <v/>
      </c>
      <c r="CG30" s="15" t="str">
        <f>IFERROR(VLOOKUP($C30,[29]REKAP!$B$9:$D$200,3,0),"")</f>
        <v/>
      </c>
      <c r="CH30" s="15" t="str">
        <f>IFERROR(VLOOKUP($C30,[29]REKAP!$B$9:$E$200,4,0),"")</f>
        <v/>
      </c>
      <c r="CI30" s="15" t="str">
        <f>IFERROR(VLOOKUP($C30,[29]REKAP!$B$9:$G$200,6,0),"")</f>
        <v/>
      </c>
      <c r="CJ30" s="15" t="str">
        <f>IFERROR(VLOOKUP($C30,[30]REKAP!$B$9:$D$200,3,0),"")</f>
        <v/>
      </c>
      <c r="CK30" s="15" t="str">
        <f>IFERROR(VLOOKUP($C30,[30]REKAP!$B$9:$E$200,4,0),"")</f>
        <v/>
      </c>
      <c r="CL30" s="15" t="str">
        <f>IFERROR(VLOOKUP($C30,[30]REKAP!$B$9:$G$200,6,0),"")</f>
        <v/>
      </c>
      <c r="CM30" s="15" t="str">
        <f>IFERROR(VLOOKUP($C30,[31]REKAP!$B$9:$D$200,3,0),"")</f>
        <v/>
      </c>
      <c r="CN30" s="15" t="str">
        <f>IFERROR(VLOOKUP($C30,[31]REKAP!$B$9:$E$200,4,0),"")</f>
        <v/>
      </c>
      <c r="CO30" s="15" t="str">
        <f>IFERROR(VLOOKUP($C30,[31]REKAP!$B$9:$G$200,6,0),"")</f>
        <v/>
      </c>
      <c r="CP30" s="15" t="str">
        <f>IFERROR(VLOOKUP($C30,[32]REKAP!$B$9:$D$200,3,0),"")</f>
        <v/>
      </c>
      <c r="CQ30" s="15" t="str">
        <f>IFERROR(VLOOKUP($C30,[32]REKAP!$B$9:$E$200,4,0),"")</f>
        <v/>
      </c>
      <c r="CR30" s="15" t="str">
        <f>IFERROR(VLOOKUP($C30,[32]REKAP!$B$9:$G$200,6,0),"")</f>
        <v/>
      </c>
      <c r="CS30" s="15" t="str">
        <f>IFERROR(VLOOKUP($C30,[33]REKAP!$B$9:$D$200,3,0),"")</f>
        <v/>
      </c>
      <c r="CT30" s="15" t="str">
        <f>IFERROR(VLOOKUP($C30,[33]REKAP!$B$9:$E$200,4,0),"")</f>
        <v/>
      </c>
      <c r="CU30" s="15" t="str">
        <f>IFERROR(VLOOKUP($C30,[33]REKAP!$B$9:$G$200,6,0),"")</f>
        <v/>
      </c>
      <c r="CV30" s="15" t="str">
        <f>IFERROR(VLOOKUP($C30,[34]REKAP!$B$9:$D$200,3,0),"")</f>
        <v/>
      </c>
      <c r="CW30" s="15" t="str">
        <f>IFERROR(VLOOKUP($C30,[34]REKAP!$B$9:$E$200,4,0),"")</f>
        <v/>
      </c>
      <c r="CX30" s="15" t="str">
        <f>IFERROR(VLOOKUP($C30,[34]REKAP!$B$9:$G$200,6,0),"")</f>
        <v/>
      </c>
    </row>
    <row r="31" spans="3:102" x14ac:dyDescent="0.25">
      <c r="C31" s="7" t="s">
        <v>40</v>
      </c>
      <c r="D31" s="5" t="str">
        <f>IFERROR(VLOOKUP(C31,DBASE!$C$7:$D$207,2,0),"")</f>
        <v>PASTA</v>
      </c>
      <c r="E31" s="15">
        <f t="shared" si="1"/>
        <v>6</v>
      </c>
      <c r="F31" s="15">
        <f t="shared" si="1"/>
        <v>640000</v>
      </c>
      <c r="H31" s="15">
        <f t="shared" si="1"/>
        <v>20240.126061419956</v>
      </c>
      <c r="J31" s="15">
        <f>IFERROR(VLOOKUP($C31,[4]REKAP!$B$9:$D$200,3,0),"")</f>
        <v>0</v>
      </c>
      <c r="K31" s="15">
        <f>IFERROR(VLOOKUP($C31,[4]REKAP!$B$9:$E$200,4,0),"")</f>
        <v>0</v>
      </c>
      <c r="L31" s="15">
        <f>IFERROR(VLOOKUP($C31,[4]REKAP!$B$9:$G$200,6,0),"")</f>
        <v>0</v>
      </c>
      <c r="M31" s="15" t="str">
        <f>IFERROR(VLOOKUP($C31,[5]REKAP!$B$9:$D$200,3,0),"")</f>
        <v/>
      </c>
      <c r="N31" s="15" t="str">
        <f>IFERROR(VLOOKUP($C31,[5]REKAP!$B$9:$E$200,4,0),"")</f>
        <v/>
      </c>
      <c r="O31" s="15" t="str">
        <f>IFERROR(VLOOKUP($C31,[5]REKAP!$B$9:$G$200,6,0),"")</f>
        <v/>
      </c>
      <c r="P31" s="15" t="str">
        <f>IFERROR(VLOOKUP($C31,[6]REKAP!$B$9:$D$200,3,0),"")</f>
        <v/>
      </c>
      <c r="Q31" s="15" t="str">
        <f>IFERROR(VLOOKUP($C31,[6]REKAP!$B$9:$E$200,4,0),"")</f>
        <v/>
      </c>
      <c r="R31" s="15" t="str">
        <f>IFERROR(VLOOKUP($C31,[6]REKAP!$B$9:$G$200,6,0),"")</f>
        <v/>
      </c>
      <c r="S31" s="15">
        <f>IFERROR(VLOOKUP($C31,[7]REKAP!$B$9:$D$200,3,0),"")</f>
        <v>0</v>
      </c>
      <c r="T31" s="15">
        <f>IFERROR(VLOOKUP($C31,[7]REKAP!$B$9:$E$200,4,0),"")</f>
        <v>0</v>
      </c>
      <c r="U31" s="15">
        <f>IFERROR(VLOOKUP($C31,[7]REKAP!$B$9:$G$200,6,0),"")</f>
        <v>0</v>
      </c>
      <c r="V31" s="15">
        <f>IFERROR(VLOOKUP($C31,[8]REKAP!$B$9:$D$200,3,0),"")</f>
        <v>1</v>
      </c>
      <c r="W31" s="15">
        <f>IFERROR(VLOOKUP($C31,[8]REKAP!$B$9:$E$200,4,0),"")</f>
        <v>107000</v>
      </c>
      <c r="X31" s="15">
        <f>IFERROR(VLOOKUP($C31,[8]REKAP!$B$9:$G$200,6,0),"")</f>
        <v>3706.6876769033261</v>
      </c>
      <c r="Y31" s="15">
        <f>IFERROR(VLOOKUP($C31,[9]REKAP!$B$9:$D$200,3,0),"")</f>
        <v>2</v>
      </c>
      <c r="Z31" s="15">
        <f>IFERROR(VLOOKUP($C31,[9]REKAP!$B$9:$E$200,4,0),"")</f>
        <v>214000</v>
      </c>
      <c r="AA31" s="15">
        <f>IFERROR(VLOOKUP($C31,[9]REKAP!$B$9:$G$200,6,0),"")</f>
        <v>7413.3753538066521</v>
      </c>
      <c r="AB31" s="15">
        <f>IFERROR(VLOOKUP($C31,[10]REKAP!$B$9:$D$200,3,0),"")</f>
        <v>1</v>
      </c>
      <c r="AC31" s="15">
        <f>IFERROR(VLOOKUP($C31,[10]REKAP!$B$9:$E$200,4,0),"")</f>
        <v>106000</v>
      </c>
      <c r="AD31" s="15">
        <f>IFERROR(VLOOKUP($C31,[10]REKAP!$B$9:$G$200,6,0),"")</f>
        <v>2706.6876769033261</v>
      </c>
      <c r="AE31" s="15">
        <f>IFERROR(VLOOKUP($C31,[11]REKAP!$B$9:$D$199,3,0),"")</f>
        <v>1</v>
      </c>
      <c r="AF31" s="15">
        <f>IFERROR(VLOOKUP($C31,[11]REKAP!$B$9:$E$199,4,0),"")</f>
        <v>107000</v>
      </c>
      <c r="AG31" s="15">
        <f>IFERROR(VLOOKUP($C31,[11]REKAP!$B$9:$G$199,6,0),"")</f>
        <v>3706.6876769033261</v>
      </c>
      <c r="AH31" s="15">
        <f>IFERROR(VLOOKUP($C31,[12]REKAP!$B$9:$D$200,3,0),"")</f>
        <v>1</v>
      </c>
      <c r="AI31" s="15">
        <f>IFERROR(VLOOKUP($C31,[12]REKAP!$B$9:$E$200,4,0),"")</f>
        <v>106000</v>
      </c>
      <c r="AJ31" s="15">
        <f>IFERROR(VLOOKUP($C31,[12]REKAP!$B$9:$G$200,6,0),"")</f>
        <v>2706.6876769033261</v>
      </c>
      <c r="AK31" s="15">
        <f>IFERROR(VLOOKUP($C31,[13]REKAP!$B$9:$D$200,3,0),"")</f>
        <v>0</v>
      </c>
      <c r="AL31" s="15">
        <f>IFERROR(VLOOKUP($C31,[13]REKAP!$B$9:$E$200,4,0),"")</f>
        <v>0</v>
      </c>
      <c r="AM31" s="15">
        <f>IFERROR(VLOOKUP($C31,[13]REKAP!$B$9:$G$200,6,0),"")</f>
        <v>0</v>
      </c>
      <c r="AN31" s="15">
        <f>IFERROR(VLOOKUP($C31,[14]REKAP!$B$9:$D$200,3,0),"")</f>
        <v>0</v>
      </c>
      <c r="AO31" s="15">
        <f>IFERROR(VLOOKUP($C31,[14]REKAP!$B$9:$E$200,4,0),"")</f>
        <v>0</v>
      </c>
      <c r="AP31" s="15">
        <f>IFERROR(VLOOKUP($C31,[14]REKAP!$B$9:$G$200,6,0),"")</f>
        <v>0</v>
      </c>
      <c r="AQ31" s="15">
        <f>IFERROR(VLOOKUP($C31,[15]REKAP!$B$9:$D$200,3,0),"")</f>
        <v>0</v>
      </c>
      <c r="AR31" s="15">
        <f>IFERROR(VLOOKUP($C31,[15]REKAP!$B$9:$E$200,4,0),"")</f>
        <v>0</v>
      </c>
      <c r="AS31" s="15">
        <f>IFERROR(VLOOKUP($C31,[15]REKAP!$B$9:$G$200,6,0),"")</f>
        <v>0</v>
      </c>
      <c r="AT31" s="15">
        <f>IFERROR(VLOOKUP($C31,[16]REKAP!$B$9:$D$200,3,0),"")</f>
        <v>0</v>
      </c>
      <c r="AU31" s="15">
        <f>IFERROR(VLOOKUP($C31,[16]REKAP!$B$9:$E$200,4,0),"")</f>
        <v>0</v>
      </c>
      <c r="AV31" s="15">
        <f>IFERROR(VLOOKUP($C31,[16]REKAP!$B$9:$G$200,6,0),"")</f>
        <v>0</v>
      </c>
      <c r="AW31" s="15">
        <f>IFERROR(VLOOKUP($C31,[17]REKAP!$B$9:$D$200,3,0),"")</f>
        <v>0</v>
      </c>
      <c r="AX31" s="15">
        <f>IFERROR(VLOOKUP($C31,[17]REKAP!$B$9:$E$200,4,0),"")</f>
        <v>0</v>
      </c>
      <c r="AY31" s="15">
        <f>IFERROR(VLOOKUP($C31,[17]REKAP!$B$9:$G$200,6,0),"")</f>
        <v>0</v>
      </c>
      <c r="AZ31" s="15" t="str">
        <f>IFERROR(VLOOKUP($C31,[18]REKAP!$B$9:$D$200,3,0),"")</f>
        <v/>
      </c>
      <c r="BA31" s="15" t="str">
        <f>IFERROR(VLOOKUP($C31,[18]REKAP!$B$9:$E$200,4,0),"")</f>
        <v/>
      </c>
      <c r="BB31" s="15" t="str">
        <f>IFERROR(VLOOKUP($C31,[18]REKAP!$B$9:$G$200,6,0),"")</f>
        <v/>
      </c>
      <c r="BC31" s="15" t="str">
        <f>IFERROR(VLOOKUP($C31,[19]REKAP!$B$9:$D$200,3,0),"")</f>
        <v/>
      </c>
      <c r="BD31" s="15" t="str">
        <f>IFERROR(VLOOKUP($C31,[19]REKAP!$B$9:$E$200,4,0),"")</f>
        <v/>
      </c>
      <c r="BE31" s="15" t="str">
        <f>IFERROR(VLOOKUP($C31,[19]REKAP!$B$9:$G$200,6,0),"")</f>
        <v/>
      </c>
      <c r="BF31" s="15" t="str">
        <f>IFERROR(VLOOKUP($C31,[20]REKAP!$B$9:$D$200,3,0),"")</f>
        <v/>
      </c>
      <c r="BG31" s="15" t="str">
        <f>IFERROR(VLOOKUP($C31,[20]REKAP!$B$9:$E$200,4,0),"")</f>
        <v/>
      </c>
      <c r="BH31" s="15" t="str">
        <f>IFERROR(VLOOKUP($C31,[20]REKAP!$B$9:$G$200,6,0),"")</f>
        <v/>
      </c>
      <c r="BI31" s="15" t="str">
        <f>IFERROR(VLOOKUP($C31,[21]REKAP!$B$9:$D$200,3,0),"")</f>
        <v/>
      </c>
      <c r="BJ31" s="15" t="str">
        <f>IFERROR(VLOOKUP($C31,[21]REKAP!$B$9:$E$200,4,0),"")</f>
        <v/>
      </c>
      <c r="BK31" s="15" t="str">
        <f>IFERROR(VLOOKUP($C31,[21]REKAP!$B$9:$G$200,6,0),"")</f>
        <v/>
      </c>
      <c r="BL31" s="15" t="str">
        <f>IFERROR(VLOOKUP($C31,[22]REKAP!$B$9:$D$200,3,0),"")</f>
        <v/>
      </c>
      <c r="BM31" s="15" t="str">
        <f>IFERROR(VLOOKUP($C31,[22]REKAP!$B$9:$E$200,4,0),"")</f>
        <v/>
      </c>
      <c r="BN31" s="15" t="str">
        <f>IFERROR(VLOOKUP($C31,[22]REKAP!$B$9:$G$200,6,0),"")</f>
        <v/>
      </c>
      <c r="BO31" s="15" t="str">
        <f>IFERROR(VLOOKUP($C31,[23]REKAP!$B$9:$D$200,3,0),"")</f>
        <v/>
      </c>
      <c r="BP31" s="15" t="str">
        <f>IFERROR(VLOOKUP($C31,[23]REKAP!$B$9:$E$200,4,0),"")</f>
        <v/>
      </c>
      <c r="BQ31" s="15" t="str">
        <f>IFERROR(VLOOKUP($C31,[23]REKAP!$B$9:$G$200,6,0),"")</f>
        <v/>
      </c>
      <c r="BR31" s="15" t="str">
        <f>IFERROR(VLOOKUP($C31,[24]REKAP!$B$9:$D$200,3,0),"")</f>
        <v/>
      </c>
      <c r="BS31" s="15" t="str">
        <f>IFERROR(VLOOKUP($C31,[24]REKAP!$B$9:$E$200,4,0),"")</f>
        <v/>
      </c>
      <c r="BT31" s="15" t="str">
        <f>IFERROR(VLOOKUP($C31,[24]REKAP!$B$9:$G$200,6,0),"")</f>
        <v/>
      </c>
      <c r="BU31" s="15" t="str">
        <f>IFERROR(VLOOKUP($C31,[25]REKAP!$B$9:$D$200,3,0),"")</f>
        <v/>
      </c>
      <c r="BV31" s="15" t="str">
        <f>IFERROR(VLOOKUP($C31,[25]REKAP!$B$9:$E$200,4,0),"")</f>
        <v/>
      </c>
      <c r="BW31" s="15" t="str">
        <f>IFERROR(VLOOKUP($C31,[25]REKAP!$B$9:$G$200,6,0),"")</f>
        <v/>
      </c>
      <c r="BX31" s="15" t="str">
        <f>IFERROR(VLOOKUP($C31,[26]REKAP!$B$9:$D$200,3,0),"")</f>
        <v/>
      </c>
      <c r="BY31" s="15" t="str">
        <f>IFERROR(VLOOKUP($C31,[26]REKAP!$B$9:$E$200,4,0),"")</f>
        <v/>
      </c>
      <c r="BZ31" s="15" t="str">
        <f>IFERROR(VLOOKUP($C31,[26]REKAP!$B$9:$G$200,6,0),"")</f>
        <v/>
      </c>
      <c r="CA31" s="15" t="str">
        <f>IFERROR(VLOOKUP($C31,[27]REKAP!$B$9:$D$200,3,0),"")</f>
        <v/>
      </c>
      <c r="CB31" s="15" t="str">
        <f>IFERROR(VLOOKUP($C31,[27]REKAP!$B$9:$E$200,4,0),"")</f>
        <v/>
      </c>
      <c r="CC31" s="15" t="str">
        <f>IFERROR(VLOOKUP($C31,[27]REKAP!$B$9:$G$200,6,0),"")</f>
        <v/>
      </c>
      <c r="CD31" s="15" t="str">
        <f>IFERROR(VLOOKUP($C31,[28]REKAP!$B$9:$D$200,3,0),"")</f>
        <v/>
      </c>
      <c r="CE31" s="15" t="str">
        <f>IFERROR(VLOOKUP($C31,[28]REKAP!$B$9:$E$200,4,0),"")</f>
        <v/>
      </c>
      <c r="CF31" s="15" t="str">
        <f>IFERROR(VLOOKUP($C31,[28]REKAP!$B$9:$G$200,6,0),"")</f>
        <v/>
      </c>
      <c r="CG31" s="15" t="str">
        <f>IFERROR(VLOOKUP($C31,[29]REKAP!$B$9:$D$200,3,0),"")</f>
        <v/>
      </c>
      <c r="CH31" s="15" t="str">
        <f>IFERROR(VLOOKUP($C31,[29]REKAP!$B$9:$E$200,4,0),"")</f>
        <v/>
      </c>
      <c r="CI31" s="15" t="str">
        <f>IFERROR(VLOOKUP($C31,[29]REKAP!$B$9:$G$200,6,0),"")</f>
        <v/>
      </c>
      <c r="CJ31" s="15" t="str">
        <f>IFERROR(VLOOKUP($C31,[30]REKAP!$B$9:$D$200,3,0),"")</f>
        <v/>
      </c>
      <c r="CK31" s="15" t="str">
        <f>IFERROR(VLOOKUP($C31,[30]REKAP!$B$9:$E$200,4,0),"")</f>
        <v/>
      </c>
      <c r="CL31" s="15" t="str">
        <f>IFERROR(VLOOKUP($C31,[30]REKAP!$B$9:$G$200,6,0),"")</f>
        <v/>
      </c>
      <c r="CM31" s="15" t="str">
        <f>IFERROR(VLOOKUP($C31,[31]REKAP!$B$9:$D$200,3,0),"")</f>
        <v/>
      </c>
      <c r="CN31" s="15" t="str">
        <f>IFERROR(VLOOKUP($C31,[31]REKAP!$B$9:$E$200,4,0),"")</f>
        <v/>
      </c>
      <c r="CO31" s="15" t="str">
        <f>IFERROR(VLOOKUP($C31,[31]REKAP!$B$9:$G$200,6,0),"")</f>
        <v/>
      </c>
      <c r="CP31" s="15" t="str">
        <f>IFERROR(VLOOKUP($C31,[32]REKAP!$B$9:$D$200,3,0),"")</f>
        <v/>
      </c>
      <c r="CQ31" s="15" t="str">
        <f>IFERROR(VLOOKUP($C31,[32]REKAP!$B$9:$E$200,4,0),"")</f>
        <v/>
      </c>
      <c r="CR31" s="15" t="str">
        <f>IFERROR(VLOOKUP($C31,[32]REKAP!$B$9:$G$200,6,0),"")</f>
        <v/>
      </c>
      <c r="CS31" s="15" t="str">
        <f>IFERROR(VLOOKUP($C31,[33]REKAP!$B$9:$D$200,3,0),"")</f>
        <v/>
      </c>
      <c r="CT31" s="15" t="str">
        <f>IFERROR(VLOOKUP($C31,[33]REKAP!$B$9:$E$200,4,0),"")</f>
        <v/>
      </c>
      <c r="CU31" s="15" t="str">
        <f>IFERROR(VLOOKUP($C31,[33]REKAP!$B$9:$G$200,6,0),"")</f>
        <v/>
      </c>
      <c r="CV31" s="15" t="str">
        <f>IFERROR(VLOOKUP($C31,[34]REKAP!$B$9:$D$200,3,0),"")</f>
        <v/>
      </c>
      <c r="CW31" s="15" t="str">
        <f>IFERROR(VLOOKUP($C31,[34]REKAP!$B$9:$E$200,4,0),"")</f>
        <v/>
      </c>
      <c r="CX31" s="15" t="str">
        <f>IFERROR(VLOOKUP($C31,[34]REKAP!$B$9:$G$200,6,0),"")</f>
        <v/>
      </c>
    </row>
    <row r="32" spans="3:102" x14ac:dyDescent="0.25">
      <c r="C32" s="7" t="s">
        <v>136</v>
      </c>
      <c r="D32" s="5" t="str">
        <f>IFERROR(VLOOKUP(C32,DBASE!$C$7:$D$207,2,0),"")</f>
        <v>NEXTAR 42GR</v>
      </c>
      <c r="E32" s="15">
        <f t="shared" si="1"/>
        <v>0.5</v>
      </c>
      <c r="F32" s="15">
        <f t="shared" si="1"/>
        <v>47530</v>
      </c>
      <c r="H32" s="15">
        <f t="shared" si="1"/>
        <v>2062.6325483606561</v>
      </c>
      <c r="J32" s="15" t="str">
        <f>IFERROR(VLOOKUP($C32,[4]REKAP!$B$9:$D$200,3,0),"")</f>
        <v/>
      </c>
      <c r="K32" s="15" t="str">
        <f>IFERROR(VLOOKUP($C32,[4]REKAP!$B$9:$E$200,4,0),"")</f>
        <v/>
      </c>
      <c r="L32" s="15" t="str">
        <f>IFERROR(VLOOKUP($C32,[4]REKAP!$B$9:$G$200,6,0),"")</f>
        <v/>
      </c>
      <c r="M32" s="15" t="str">
        <f>IFERROR(VLOOKUP($C32,[5]REKAP!$B$9:$D$200,3,0),"")</f>
        <v/>
      </c>
      <c r="N32" s="15" t="str">
        <f>IFERROR(VLOOKUP($C32,[5]REKAP!$B$9:$E$200,4,0),"")</f>
        <v/>
      </c>
      <c r="O32" s="15" t="str">
        <f>IFERROR(VLOOKUP($C32,[5]REKAP!$B$9:$G$200,6,0),"")</f>
        <v/>
      </c>
      <c r="P32" s="15" t="str">
        <f>IFERROR(VLOOKUP($C32,[6]REKAP!$B$9:$D$200,3,0),"")</f>
        <v/>
      </c>
      <c r="Q32" s="15" t="str">
        <f>IFERROR(VLOOKUP($C32,[6]REKAP!$B$9:$E$200,4,0),"")</f>
        <v/>
      </c>
      <c r="R32" s="15" t="str">
        <f>IFERROR(VLOOKUP($C32,[6]REKAP!$B$9:$G$200,6,0),"")</f>
        <v/>
      </c>
      <c r="S32" s="15" t="str">
        <f>IFERROR(VLOOKUP($C32,[7]REKAP!$B$9:$D$200,3,0),"")</f>
        <v/>
      </c>
      <c r="T32" s="15" t="str">
        <f>IFERROR(VLOOKUP($C32,[7]REKAP!$B$9:$E$200,4,0),"")</f>
        <v/>
      </c>
      <c r="U32" s="15" t="str">
        <f>IFERROR(VLOOKUP($C32,[7]REKAP!$B$9:$G$200,6,0),"")</f>
        <v/>
      </c>
      <c r="V32" s="15" t="str">
        <f>IFERROR(VLOOKUP($C32,[8]REKAP!$B$9:$D$200,3,0),"")</f>
        <v/>
      </c>
      <c r="W32" s="15" t="str">
        <f>IFERROR(VLOOKUP($C32,[8]REKAP!$B$9:$E$200,4,0),"")</f>
        <v/>
      </c>
      <c r="X32" s="15" t="str">
        <f>IFERROR(VLOOKUP($C32,[8]REKAP!$B$9:$G$200,6,0),"")</f>
        <v/>
      </c>
      <c r="Y32" s="15" t="str">
        <f>IFERROR(VLOOKUP($C32,[9]REKAP!$B$9:$D$200,3,0),"")</f>
        <v/>
      </c>
      <c r="Z32" s="15" t="str">
        <f>IFERROR(VLOOKUP($C32,[9]REKAP!$B$9:$E$200,4,0),"")</f>
        <v/>
      </c>
      <c r="AA32" s="15" t="str">
        <f>IFERROR(VLOOKUP($C32,[9]REKAP!$B$9:$G$200,6,0),"")</f>
        <v/>
      </c>
      <c r="AB32" s="15" t="str">
        <f>IFERROR(VLOOKUP($C32,[10]REKAP!$B$9:$D$200,3,0),"")</f>
        <v/>
      </c>
      <c r="AC32" s="15" t="str">
        <f>IFERROR(VLOOKUP($C32,[10]REKAP!$B$9:$E$200,4,0),"")</f>
        <v/>
      </c>
      <c r="AD32" s="15" t="str">
        <f>IFERROR(VLOOKUP($C32,[10]REKAP!$B$9:$G$200,6,0),"")</f>
        <v/>
      </c>
      <c r="AE32" s="15">
        <f>IFERROR(VLOOKUP($C32,[11]REKAP!$B$9:$D$199,3,0),"")</f>
        <v>0</v>
      </c>
      <c r="AF32" s="15">
        <f>IFERROR(VLOOKUP($C32,[11]REKAP!$B$9:$E$199,4,0),"")</f>
        <v>0</v>
      </c>
      <c r="AG32" s="15">
        <f>IFERROR(VLOOKUP($C32,[11]REKAP!$B$9:$G$199,6,0),"")</f>
        <v>0</v>
      </c>
      <c r="AH32" s="15">
        <f>IFERROR(VLOOKUP($C32,[12]REKAP!$B$9:$D$200,3,0),"")</f>
        <v>0.5</v>
      </c>
      <c r="AI32" s="15">
        <f>IFERROR(VLOOKUP($C32,[12]REKAP!$B$9:$E$200,4,0),"")</f>
        <v>47530</v>
      </c>
      <c r="AJ32" s="15">
        <f>IFERROR(VLOOKUP($C32,[12]REKAP!$B$9:$G$200,6,0),"")</f>
        <v>2062.6325483606561</v>
      </c>
      <c r="AK32" s="15" t="str">
        <f>IFERROR(VLOOKUP($C32,[13]REKAP!$B$9:$D$200,3,0),"")</f>
        <v/>
      </c>
      <c r="AL32" s="15" t="str">
        <f>IFERROR(VLOOKUP($C32,[13]REKAP!$B$9:$E$200,4,0),"")</f>
        <v/>
      </c>
      <c r="AM32" s="15" t="str">
        <f>IFERROR(VLOOKUP($C32,[13]REKAP!$B$9:$G$200,6,0),"")</f>
        <v/>
      </c>
      <c r="AN32" s="15" t="str">
        <f>IFERROR(VLOOKUP($C32,[14]REKAP!$B$9:$D$200,3,0),"")</f>
        <v/>
      </c>
      <c r="AO32" s="15" t="str">
        <f>IFERROR(VLOOKUP($C32,[14]REKAP!$B$9:$E$200,4,0),"")</f>
        <v/>
      </c>
      <c r="AP32" s="15" t="str">
        <f>IFERROR(VLOOKUP($C32,[14]REKAP!$B$9:$G$200,6,0),"")</f>
        <v/>
      </c>
      <c r="AQ32" s="15" t="str">
        <f>IFERROR(VLOOKUP($C32,[15]REKAP!$B$9:$D$200,3,0),"")</f>
        <v/>
      </c>
      <c r="AR32" s="15" t="str">
        <f>IFERROR(VLOOKUP($C32,[15]REKAP!$B$9:$E$200,4,0),"")</f>
        <v/>
      </c>
      <c r="AS32" s="15" t="str">
        <f>IFERROR(VLOOKUP($C32,[15]REKAP!$B$9:$G$200,6,0),"")</f>
        <v/>
      </c>
      <c r="AT32" s="15" t="str">
        <f>IFERROR(VLOOKUP($C32,[16]REKAP!$B$9:$D$200,3,0),"")</f>
        <v/>
      </c>
      <c r="AU32" s="15" t="str">
        <f>IFERROR(VLOOKUP($C32,[16]REKAP!$B$9:$E$200,4,0),"")</f>
        <v/>
      </c>
      <c r="AV32" s="15" t="str">
        <f>IFERROR(VLOOKUP($C32,[16]REKAP!$B$9:$G$200,6,0),"")</f>
        <v/>
      </c>
      <c r="AW32" s="15" t="str">
        <f>IFERROR(VLOOKUP($C32,[17]REKAP!$B$9:$D$200,3,0),"")</f>
        <v/>
      </c>
      <c r="AX32" s="15" t="str">
        <f>IFERROR(VLOOKUP($C32,[17]REKAP!$B$9:$E$200,4,0),"")</f>
        <v/>
      </c>
      <c r="AY32" s="15" t="str">
        <f>IFERROR(VLOOKUP($C32,[17]REKAP!$B$9:$G$200,6,0),"")</f>
        <v/>
      </c>
      <c r="AZ32" s="15" t="str">
        <f>IFERROR(VLOOKUP($C32,[18]REKAP!$B$9:$D$200,3,0),"")</f>
        <v/>
      </c>
      <c r="BA32" s="15" t="str">
        <f>IFERROR(VLOOKUP($C32,[18]REKAP!$B$9:$E$200,4,0),"")</f>
        <v/>
      </c>
      <c r="BB32" s="15" t="str">
        <f>IFERROR(VLOOKUP($C32,[18]REKAP!$B$9:$G$200,6,0),"")</f>
        <v/>
      </c>
      <c r="BC32" s="15" t="str">
        <f>IFERROR(VLOOKUP($C32,[19]REKAP!$B$9:$D$200,3,0),"")</f>
        <v/>
      </c>
      <c r="BD32" s="15" t="str">
        <f>IFERROR(VLOOKUP($C32,[19]REKAP!$B$9:$E$200,4,0),"")</f>
        <v/>
      </c>
      <c r="BE32" s="15" t="str">
        <f>IFERROR(VLOOKUP($C32,[19]REKAP!$B$9:$G$200,6,0),"")</f>
        <v/>
      </c>
      <c r="BF32" s="15" t="str">
        <f>IFERROR(VLOOKUP($C32,[20]REKAP!$B$9:$D$200,3,0),"")</f>
        <v/>
      </c>
      <c r="BG32" s="15" t="str">
        <f>IFERROR(VLOOKUP($C32,[20]REKAP!$B$9:$E$200,4,0),"")</f>
        <v/>
      </c>
      <c r="BH32" s="15" t="str">
        <f>IFERROR(VLOOKUP($C32,[20]REKAP!$B$9:$G$200,6,0),"")</f>
        <v/>
      </c>
      <c r="BI32" s="15" t="str">
        <f>IFERROR(VLOOKUP($C32,[21]REKAP!$B$9:$D$200,3,0),"")</f>
        <v/>
      </c>
      <c r="BJ32" s="15" t="str">
        <f>IFERROR(VLOOKUP($C32,[21]REKAP!$B$9:$E$200,4,0),"")</f>
        <v/>
      </c>
      <c r="BK32" s="15" t="str">
        <f>IFERROR(VLOOKUP($C32,[21]REKAP!$B$9:$G$200,6,0),"")</f>
        <v/>
      </c>
      <c r="BL32" s="15" t="str">
        <f>IFERROR(VLOOKUP($C32,[22]REKAP!$B$9:$D$200,3,0),"")</f>
        <v/>
      </c>
      <c r="BM32" s="15" t="str">
        <f>IFERROR(VLOOKUP($C32,[22]REKAP!$B$9:$E$200,4,0),"")</f>
        <v/>
      </c>
      <c r="BN32" s="15" t="str">
        <f>IFERROR(VLOOKUP($C32,[22]REKAP!$B$9:$G$200,6,0),"")</f>
        <v/>
      </c>
      <c r="BO32" s="15" t="str">
        <f>IFERROR(VLOOKUP($C32,[23]REKAP!$B$9:$D$200,3,0),"")</f>
        <v/>
      </c>
      <c r="BP32" s="15" t="str">
        <f>IFERROR(VLOOKUP($C32,[23]REKAP!$B$9:$E$200,4,0),"")</f>
        <v/>
      </c>
      <c r="BQ32" s="15" t="str">
        <f>IFERROR(VLOOKUP($C32,[23]REKAP!$B$9:$G$200,6,0),"")</f>
        <v/>
      </c>
      <c r="BR32" s="15" t="str">
        <f>IFERROR(VLOOKUP($C32,[24]REKAP!$B$9:$D$200,3,0),"")</f>
        <v/>
      </c>
      <c r="BS32" s="15" t="str">
        <f>IFERROR(VLOOKUP($C32,[24]REKAP!$B$9:$E$200,4,0),"")</f>
        <v/>
      </c>
      <c r="BT32" s="15" t="str">
        <f>IFERROR(VLOOKUP($C32,[24]REKAP!$B$9:$G$200,6,0),"")</f>
        <v/>
      </c>
      <c r="BU32" s="15" t="str">
        <f>IFERROR(VLOOKUP($C32,[25]REKAP!$B$9:$D$200,3,0),"")</f>
        <v/>
      </c>
      <c r="BV32" s="15" t="str">
        <f>IFERROR(VLOOKUP($C32,[25]REKAP!$B$9:$E$200,4,0),"")</f>
        <v/>
      </c>
      <c r="BW32" s="15" t="str">
        <f>IFERROR(VLOOKUP($C32,[25]REKAP!$B$9:$G$200,6,0),"")</f>
        <v/>
      </c>
      <c r="BX32" s="15" t="str">
        <f>IFERROR(VLOOKUP($C32,[26]REKAP!$B$9:$D$200,3,0),"")</f>
        <v/>
      </c>
      <c r="BY32" s="15" t="str">
        <f>IFERROR(VLOOKUP($C32,[26]REKAP!$B$9:$E$200,4,0),"")</f>
        <v/>
      </c>
      <c r="BZ32" s="15" t="str">
        <f>IFERROR(VLOOKUP($C32,[26]REKAP!$B$9:$G$200,6,0),"")</f>
        <v/>
      </c>
      <c r="CA32" s="15" t="str">
        <f>IFERROR(VLOOKUP($C32,[27]REKAP!$B$9:$D$200,3,0),"")</f>
        <v/>
      </c>
      <c r="CB32" s="15" t="str">
        <f>IFERROR(VLOOKUP($C32,[27]REKAP!$B$9:$E$200,4,0),"")</f>
        <v/>
      </c>
      <c r="CC32" s="15" t="str">
        <f>IFERROR(VLOOKUP($C32,[27]REKAP!$B$9:$G$200,6,0),"")</f>
        <v/>
      </c>
      <c r="CD32" s="15" t="str">
        <f>IFERROR(VLOOKUP($C32,[28]REKAP!$B$9:$D$200,3,0),"")</f>
        <v/>
      </c>
      <c r="CE32" s="15" t="str">
        <f>IFERROR(VLOOKUP($C32,[28]REKAP!$B$9:$E$200,4,0),"")</f>
        <v/>
      </c>
      <c r="CF32" s="15" t="str">
        <f>IFERROR(VLOOKUP($C32,[28]REKAP!$B$9:$G$200,6,0),"")</f>
        <v/>
      </c>
      <c r="CG32" s="15" t="str">
        <f>IFERROR(VLOOKUP($C32,[29]REKAP!$B$9:$D$200,3,0),"")</f>
        <v/>
      </c>
      <c r="CH32" s="15" t="str">
        <f>IFERROR(VLOOKUP($C32,[29]REKAP!$B$9:$E$200,4,0),"")</f>
        <v/>
      </c>
      <c r="CI32" s="15" t="str">
        <f>IFERROR(VLOOKUP($C32,[29]REKAP!$B$9:$G$200,6,0),"")</f>
        <v/>
      </c>
      <c r="CJ32" s="15" t="str">
        <f>IFERROR(VLOOKUP($C32,[30]REKAP!$B$9:$D$200,3,0),"")</f>
        <v/>
      </c>
      <c r="CK32" s="15" t="str">
        <f>IFERROR(VLOOKUP($C32,[30]REKAP!$B$9:$E$200,4,0),"")</f>
        <v/>
      </c>
      <c r="CL32" s="15" t="str">
        <f>IFERROR(VLOOKUP($C32,[30]REKAP!$B$9:$G$200,6,0),"")</f>
        <v/>
      </c>
      <c r="CM32" s="15" t="str">
        <f>IFERROR(VLOOKUP($C32,[31]REKAP!$B$9:$D$200,3,0),"")</f>
        <v/>
      </c>
      <c r="CN32" s="15" t="str">
        <f>IFERROR(VLOOKUP($C32,[31]REKAP!$B$9:$E$200,4,0),"")</f>
        <v/>
      </c>
      <c r="CO32" s="15" t="str">
        <f>IFERROR(VLOOKUP($C32,[31]REKAP!$B$9:$G$200,6,0),"")</f>
        <v/>
      </c>
      <c r="CP32" s="15" t="str">
        <f>IFERROR(VLOOKUP($C32,[32]REKAP!$B$9:$D$200,3,0),"")</f>
        <v/>
      </c>
      <c r="CQ32" s="15" t="str">
        <f>IFERROR(VLOOKUP($C32,[32]REKAP!$B$9:$E$200,4,0),"")</f>
        <v/>
      </c>
      <c r="CR32" s="15" t="str">
        <f>IFERROR(VLOOKUP($C32,[32]REKAP!$B$9:$G$200,6,0),"")</f>
        <v/>
      </c>
      <c r="CS32" s="15" t="str">
        <f>IFERROR(VLOOKUP($C32,[33]REKAP!$B$9:$D$200,3,0),"")</f>
        <v/>
      </c>
      <c r="CT32" s="15" t="str">
        <f>IFERROR(VLOOKUP($C32,[33]REKAP!$B$9:$E$200,4,0),"")</f>
        <v/>
      </c>
      <c r="CU32" s="15" t="str">
        <f>IFERROR(VLOOKUP($C32,[33]REKAP!$B$9:$G$200,6,0),"")</f>
        <v/>
      </c>
      <c r="CV32" s="15" t="str">
        <f>IFERROR(VLOOKUP($C32,[34]REKAP!$B$9:$D$200,3,0),"")</f>
        <v/>
      </c>
      <c r="CW32" s="15" t="str">
        <f>IFERROR(VLOOKUP($C32,[34]REKAP!$B$9:$E$200,4,0),"")</f>
        <v/>
      </c>
      <c r="CX32" s="15" t="str">
        <f>IFERROR(VLOOKUP($C32,[34]REKAP!$B$9:$G$200,6,0),"")</f>
        <v/>
      </c>
    </row>
    <row r="33" spans="3:102" x14ac:dyDescent="0.25">
      <c r="C33" s="7" t="s">
        <v>137</v>
      </c>
      <c r="D33" s="5" t="str">
        <f>IFERROR(VLOOKUP(C33,DBASE!$C$7:$D$207,2,0),"")</f>
        <v>NEXTAR 112GR</v>
      </c>
      <c r="E33" s="15">
        <f t="shared" si="1"/>
        <v>0</v>
      </c>
      <c r="F33" s="15">
        <f t="shared" si="1"/>
        <v>0</v>
      </c>
      <c r="H33" s="15">
        <f t="shared" si="1"/>
        <v>0</v>
      </c>
      <c r="J33" s="15" t="str">
        <f>IFERROR(VLOOKUP($C33,[4]REKAP!$B$9:$D$200,3,0),"")</f>
        <v/>
      </c>
      <c r="K33" s="15" t="str">
        <f>IFERROR(VLOOKUP($C33,[4]REKAP!$B$9:$E$200,4,0),"")</f>
        <v/>
      </c>
      <c r="L33" s="15" t="str">
        <f>IFERROR(VLOOKUP($C33,[4]REKAP!$B$9:$G$200,6,0),"")</f>
        <v/>
      </c>
      <c r="M33" s="15" t="str">
        <f>IFERROR(VLOOKUP($C33,[5]REKAP!$B$9:$D$200,3,0),"")</f>
        <v/>
      </c>
      <c r="N33" s="15" t="str">
        <f>IFERROR(VLOOKUP($C33,[5]REKAP!$B$9:$E$200,4,0),"")</f>
        <v/>
      </c>
      <c r="O33" s="15" t="str">
        <f>IFERROR(VLOOKUP($C33,[5]REKAP!$B$9:$G$200,6,0),"")</f>
        <v/>
      </c>
      <c r="P33" s="15" t="str">
        <f>IFERROR(VLOOKUP($C33,[6]REKAP!$B$9:$D$200,3,0),"")</f>
        <v/>
      </c>
      <c r="Q33" s="15" t="str">
        <f>IFERROR(VLOOKUP($C33,[6]REKAP!$B$9:$E$200,4,0),"")</f>
        <v/>
      </c>
      <c r="R33" s="15" t="str">
        <f>IFERROR(VLOOKUP($C33,[6]REKAP!$B$9:$G$200,6,0),"")</f>
        <v/>
      </c>
      <c r="S33" s="15" t="str">
        <f>IFERROR(VLOOKUP($C33,[7]REKAP!$B$9:$D$200,3,0),"")</f>
        <v/>
      </c>
      <c r="T33" s="15" t="str">
        <f>IFERROR(VLOOKUP($C33,[7]REKAP!$B$9:$E$200,4,0),"")</f>
        <v/>
      </c>
      <c r="U33" s="15" t="str">
        <f>IFERROR(VLOOKUP($C33,[7]REKAP!$B$9:$G$200,6,0),"")</f>
        <v/>
      </c>
      <c r="V33" s="15" t="str">
        <f>IFERROR(VLOOKUP($C33,[8]REKAP!$B$9:$D$200,3,0),"")</f>
        <v/>
      </c>
      <c r="W33" s="15" t="str">
        <f>IFERROR(VLOOKUP($C33,[8]REKAP!$B$9:$E$200,4,0),"")</f>
        <v/>
      </c>
      <c r="X33" s="15" t="str">
        <f>IFERROR(VLOOKUP($C33,[8]REKAP!$B$9:$G$200,6,0),"")</f>
        <v/>
      </c>
      <c r="Y33" s="15" t="str">
        <f>IFERROR(VLOOKUP($C33,[9]REKAP!$B$9:$D$200,3,0),"")</f>
        <v/>
      </c>
      <c r="Z33" s="15" t="str">
        <f>IFERROR(VLOOKUP($C33,[9]REKAP!$B$9:$E$200,4,0),"")</f>
        <v/>
      </c>
      <c r="AA33" s="15" t="str">
        <f>IFERROR(VLOOKUP($C33,[9]REKAP!$B$9:$G$200,6,0),"")</f>
        <v/>
      </c>
      <c r="AB33" s="15" t="str">
        <f>IFERROR(VLOOKUP($C33,[10]REKAP!$B$9:$D$200,3,0),"")</f>
        <v/>
      </c>
      <c r="AC33" s="15" t="str">
        <f>IFERROR(VLOOKUP($C33,[10]REKAP!$B$9:$E$200,4,0),"")</f>
        <v/>
      </c>
      <c r="AD33" s="15" t="str">
        <f>IFERROR(VLOOKUP($C33,[10]REKAP!$B$9:$G$200,6,0),"")</f>
        <v/>
      </c>
      <c r="AE33" s="15">
        <f>IFERROR(VLOOKUP($C33,[11]REKAP!$B$9:$D$199,3,0),"")</f>
        <v>0</v>
      </c>
      <c r="AF33" s="15">
        <f>IFERROR(VLOOKUP($C33,[11]REKAP!$B$9:$E$199,4,0),"")</f>
        <v>0</v>
      </c>
      <c r="AG33" s="15">
        <f>IFERROR(VLOOKUP($C33,[11]REKAP!$B$9:$G$199,6,0),"")</f>
        <v>0</v>
      </c>
      <c r="AH33" s="15">
        <f>IFERROR(VLOOKUP($C33,[12]REKAP!$B$9:$D$200,3,0),"")</f>
        <v>0</v>
      </c>
      <c r="AI33" s="15">
        <f>IFERROR(VLOOKUP($C33,[12]REKAP!$B$9:$E$200,4,0),"")</f>
        <v>0</v>
      </c>
      <c r="AJ33" s="15">
        <f>IFERROR(VLOOKUP($C33,[12]REKAP!$B$9:$G$200,6,0),"")</f>
        <v>0</v>
      </c>
      <c r="AK33" s="15" t="str">
        <f>IFERROR(VLOOKUP($C33,[13]REKAP!$B$9:$D$200,3,0),"")</f>
        <v/>
      </c>
      <c r="AL33" s="15" t="str">
        <f>IFERROR(VLOOKUP($C33,[13]REKAP!$B$9:$E$200,4,0),"")</f>
        <v/>
      </c>
      <c r="AM33" s="15" t="str">
        <f>IFERROR(VLOOKUP($C33,[13]REKAP!$B$9:$G$200,6,0),"")</f>
        <v/>
      </c>
      <c r="AN33" s="15" t="str">
        <f>IFERROR(VLOOKUP($C33,[14]REKAP!$B$9:$D$200,3,0),"")</f>
        <v/>
      </c>
      <c r="AO33" s="15" t="str">
        <f>IFERROR(VLOOKUP($C33,[14]REKAP!$B$9:$E$200,4,0),"")</f>
        <v/>
      </c>
      <c r="AP33" s="15" t="str">
        <f>IFERROR(VLOOKUP($C33,[14]REKAP!$B$9:$G$200,6,0),"")</f>
        <v/>
      </c>
      <c r="AQ33" s="15" t="str">
        <f>IFERROR(VLOOKUP($C33,[15]REKAP!$B$9:$D$200,3,0),"")</f>
        <v/>
      </c>
      <c r="AR33" s="15" t="str">
        <f>IFERROR(VLOOKUP($C33,[15]REKAP!$B$9:$E$200,4,0),"")</f>
        <v/>
      </c>
      <c r="AS33" s="15" t="str">
        <f>IFERROR(VLOOKUP($C33,[15]REKAP!$B$9:$G$200,6,0),"")</f>
        <v/>
      </c>
      <c r="AT33" s="15" t="str">
        <f>IFERROR(VLOOKUP($C33,[16]REKAP!$B$9:$D$200,3,0),"")</f>
        <v/>
      </c>
      <c r="AU33" s="15" t="str">
        <f>IFERROR(VLOOKUP($C33,[16]REKAP!$B$9:$E$200,4,0),"")</f>
        <v/>
      </c>
      <c r="AV33" s="15" t="str">
        <f>IFERROR(VLOOKUP($C33,[16]REKAP!$B$9:$G$200,6,0),"")</f>
        <v/>
      </c>
      <c r="AW33" s="15" t="str">
        <f>IFERROR(VLOOKUP($C33,[17]REKAP!$B$9:$D$200,3,0),"")</f>
        <v/>
      </c>
      <c r="AX33" s="15" t="str">
        <f>IFERROR(VLOOKUP($C33,[17]REKAP!$B$9:$E$200,4,0),"")</f>
        <v/>
      </c>
      <c r="AY33" s="15" t="str">
        <f>IFERROR(VLOOKUP($C33,[17]REKAP!$B$9:$G$200,6,0),"")</f>
        <v/>
      </c>
      <c r="AZ33" s="15" t="str">
        <f>IFERROR(VLOOKUP($C33,[18]REKAP!$B$9:$D$200,3,0),"")</f>
        <v/>
      </c>
      <c r="BA33" s="15" t="str">
        <f>IFERROR(VLOOKUP($C33,[18]REKAP!$B$9:$E$200,4,0),"")</f>
        <v/>
      </c>
      <c r="BB33" s="15" t="str">
        <f>IFERROR(VLOOKUP($C33,[18]REKAP!$B$9:$G$200,6,0),"")</f>
        <v/>
      </c>
      <c r="BC33" s="15" t="str">
        <f>IFERROR(VLOOKUP($C33,[19]REKAP!$B$9:$D$200,3,0),"")</f>
        <v/>
      </c>
      <c r="BD33" s="15" t="str">
        <f>IFERROR(VLOOKUP($C33,[19]REKAP!$B$9:$E$200,4,0),"")</f>
        <v/>
      </c>
      <c r="BE33" s="15" t="str">
        <f>IFERROR(VLOOKUP($C33,[19]REKAP!$B$9:$G$200,6,0),"")</f>
        <v/>
      </c>
      <c r="BF33" s="15" t="str">
        <f>IFERROR(VLOOKUP($C33,[20]REKAP!$B$9:$D$200,3,0),"")</f>
        <v/>
      </c>
      <c r="BG33" s="15" t="str">
        <f>IFERROR(VLOOKUP($C33,[20]REKAP!$B$9:$E$200,4,0),"")</f>
        <v/>
      </c>
      <c r="BH33" s="15" t="str">
        <f>IFERROR(VLOOKUP($C33,[20]REKAP!$B$9:$G$200,6,0),"")</f>
        <v/>
      </c>
      <c r="BI33" s="15" t="str">
        <f>IFERROR(VLOOKUP($C33,[21]REKAP!$B$9:$D$200,3,0),"")</f>
        <v/>
      </c>
      <c r="BJ33" s="15" t="str">
        <f>IFERROR(VLOOKUP($C33,[21]REKAP!$B$9:$E$200,4,0),"")</f>
        <v/>
      </c>
      <c r="BK33" s="15" t="str">
        <f>IFERROR(VLOOKUP($C33,[21]REKAP!$B$9:$G$200,6,0),"")</f>
        <v/>
      </c>
      <c r="BL33" s="15" t="str">
        <f>IFERROR(VLOOKUP($C33,[22]REKAP!$B$9:$D$200,3,0),"")</f>
        <v/>
      </c>
      <c r="BM33" s="15" t="str">
        <f>IFERROR(VLOOKUP($C33,[22]REKAP!$B$9:$E$200,4,0),"")</f>
        <v/>
      </c>
      <c r="BN33" s="15" t="str">
        <f>IFERROR(VLOOKUP($C33,[22]REKAP!$B$9:$G$200,6,0),"")</f>
        <v/>
      </c>
      <c r="BO33" s="15" t="str">
        <f>IFERROR(VLOOKUP($C33,[23]REKAP!$B$9:$D$200,3,0),"")</f>
        <v/>
      </c>
      <c r="BP33" s="15" t="str">
        <f>IFERROR(VLOOKUP($C33,[23]REKAP!$B$9:$E$200,4,0),"")</f>
        <v/>
      </c>
      <c r="BQ33" s="15" t="str">
        <f>IFERROR(VLOOKUP($C33,[23]REKAP!$B$9:$G$200,6,0),"")</f>
        <v/>
      </c>
      <c r="BR33" s="15" t="str">
        <f>IFERROR(VLOOKUP($C33,[24]REKAP!$B$9:$D$200,3,0),"")</f>
        <v/>
      </c>
      <c r="BS33" s="15" t="str">
        <f>IFERROR(VLOOKUP($C33,[24]REKAP!$B$9:$E$200,4,0),"")</f>
        <v/>
      </c>
      <c r="BT33" s="15" t="str">
        <f>IFERROR(VLOOKUP($C33,[24]REKAP!$B$9:$G$200,6,0),"")</f>
        <v/>
      </c>
      <c r="BU33" s="15" t="str">
        <f>IFERROR(VLOOKUP($C33,[25]REKAP!$B$9:$D$200,3,0),"")</f>
        <v/>
      </c>
      <c r="BV33" s="15" t="str">
        <f>IFERROR(VLOOKUP($C33,[25]REKAP!$B$9:$E$200,4,0),"")</f>
        <v/>
      </c>
      <c r="BW33" s="15" t="str">
        <f>IFERROR(VLOOKUP($C33,[25]REKAP!$B$9:$G$200,6,0),"")</f>
        <v/>
      </c>
      <c r="BX33" s="15" t="str">
        <f>IFERROR(VLOOKUP($C33,[26]REKAP!$B$9:$D$200,3,0),"")</f>
        <v/>
      </c>
      <c r="BY33" s="15" t="str">
        <f>IFERROR(VLOOKUP($C33,[26]REKAP!$B$9:$E$200,4,0),"")</f>
        <v/>
      </c>
      <c r="BZ33" s="15" t="str">
        <f>IFERROR(VLOOKUP($C33,[26]REKAP!$B$9:$G$200,6,0),"")</f>
        <v/>
      </c>
      <c r="CA33" s="15" t="str">
        <f>IFERROR(VLOOKUP($C33,[27]REKAP!$B$9:$D$200,3,0),"")</f>
        <v/>
      </c>
      <c r="CB33" s="15" t="str">
        <f>IFERROR(VLOOKUP($C33,[27]REKAP!$B$9:$E$200,4,0),"")</f>
        <v/>
      </c>
      <c r="CC33" s="15" t="str">
        <f>IFERROR(VLOOKUP($C33,[27]REKAP!$B$9:$G$200,6,0),"")</f>
        <v/>
      </c>
      <c r="CD33" s="15" t="str">
        <f>IFERROR(VLOOKUP($C33,[28]REKAP!$B$9:$D$200,3,0),"")</f>
        <v/>
      </c>
      <c r="CE33" s="15" t="str">
        <f>IFERROR(VLOOKUP($C33,[28]REKAP!$B$9:$E$200,4,0),"")</f>
        <v/>
      </c>
      <c r="CF33" s="15" t="str">
        <f>IFERROR(VLOOKUP($C33,[28]REKAP!$B$9:$G$200,6,0),"")</f>
        <v/>
      </c>
      <c r="CG33" s="15" t="str">
        <f>IFERROR(VLOOKUP($C33,[29]REKAP!$B$9:$D$200,3,0),"")</f>
        <v/>
      </c>
      <c r="CH33" s="15" t="str">
        <f>IFERROR(VLOOKUP($C33,[29]REKAP!$B$9:$E$200,4,0),"")</f>
        <v/>
      </c>
      <c r="CI33" s="15" t="str">
        <f>IFERROR(VLOOKUP($C33,[29]REKAP!$B$9:$G$200,6,0),"")</f>
        <v/>
      </c>
      <c r="CJ33" s="15" t="str">
        <f>IFERROR(VLOOKUP($C33,[30]REKAP!$B$9:$D$200,3,0),"")</f>
        <v/>
      </c>
      <c r="CK33" s="15" t="str">
        <f>IFERROR(VLOOKUP($C33,[30]REKAP!$B$9:$E$200,4,0),"")</f>
        <v/>
      </c>
      <c r="CL33" s="15" t="str">
        <f>IFERROR(VLOOKUP($C33,[30]REKAP!$B$9:$G$200,6,0),"")</f>
        <v/>
      </c>
      <c r="CM33" s="15" t="str">
        <f>IFERROR(VLOOKUP($C33,[31]REKAP!$B$9:$D$200,3,0),"")</f>
        <v/>
      </c>
      <c r="CN33" s="15" t="str">
        <f>IFERROR(VLOOKUP($C33,[31]REKAP!$B$9:$E$200,4,0),"")</f>
        <v/>
      </c>
      <c r="CO33" s="15" t="str">
        <f>IFERROR(VLOOKUP($C33,[31]REKAP!$B$9:$G$200,6,0),"")</f>
        <v/>
      </c>
      <c r="CP33" s="15" t="str">
        <f>IFERROR(VLOOKUP($C33,[32]REKAP!$B$9:$D$200,3,0),"")</f>
        <v/>
      </c>
      <c r="CQ33" s="15" t="str">
        <f>IFERROR(VLOOKUP($C33,[32]REKAP!$B$9:$E$200,4,0),"")</f>
        <v/>
      </c>
      <c r="CR33" s="15" t="str">
        <f>IFERROR(VLOOKUP($C33,[32]REKAP!$B$9:$G$200,6,0),"")</f>
        <v/>
      </c>
      <c r="CS33" s="15" t="str">
        <f>IFERROR(VLOOKUP($C33,[33]REKAP!$B$9:$D$200,3,0),"")</f>
        <v/>
      </c>
      <c r="CT33" s="15" t="str">
        <f>IFERROR(VLOOKUP($C33,[33]REKAP!$B$9:$E$200,4,0),"")</f>
        <v/>
      </c>
      <c r="CU33" s="15" t="str">
        <f>IFERROR(VLOOKUP($C33,[33]REKAP!$B$9:$G$200,6,0),"")</f>
        <v/>
      </c>
      <c r="CV33" s="15" t="str">
        <f>IFERROR(VLOOKUP($C33,[34]REKAP!$B$9:$D$200,3,0),"")</f>
        <v/>
      </c>
      <c r="CW33" s="15" t="str">
        <f>IFERROR(VLOOKUP($C33,[34]REKAP!$B$9:$E$200,4,0),"")</f>
        <v/>
      </c>
      <c r="CX33" s="15" t="str">
        <f>IFERROR(VLOOKUP($C33,[34]REKAP!$B$9:$G$200,6,0),"")</f>
        <v/>
      </c>
    </row>
    <row r="34" spans="3:102" x14ac:dyDescent="0.25">
      <c r="C34" s="7"/>
      <c r="D34" s="5" t="str">
        <f>IFERROR(VLOOKUP(C34,DBASE!$C$7:$D$207,2,0),"")</f>
        <v/>
      </c>
      <c r="E34" s="15">
        <f t="shared" si="1"/>
        <v>0</v>
      </c>
      <c r="F34" s="15">
        <f t="shared" si="1"/>
        <v>0</v>
      </c>
      <c r="H34" s="15">
        <f t="shared" si="1"/>
        <v>0</v>
      </c>
      <c r="J34" s="15" t="str">
        <f>IFERROR(VLOOKUP($C34,[4]REKAP!$B$9:$D$200,3,0),"")</f>
        <v/>
      </c>
      <c r="K34" s="15" t="str">
        <f>IFERROR(VLOOKUP($C34,[4]REKAP!$B$9:$E$200,4,0),"")</f>
        <v/>
      </c>
      <c r="L34" s="15" t="str">
        <f>IFERROR(VLOOKUP($C34,[4]REKAP!$B$9:$G$200,6,0),"")</f>
        <v/>
      </c>
      <c r="M34" s="15" t="str">
        <f>IFERROR(VLOOKUP($C34,[5]REKAP!$B$9:$D$200,3,0),"")</f>
        <v/>
      </c>
      <c r="N34" s="15" t="str">
        <f>IFERROR(VLOOKUP($C34,[5]REKAP!$B$9:$E$200,4,0),"")</f>
        <v/>
      </c>
      <c r="O34" s="15" t="str">
        <f>IFERROR(VLOOKUP($C34,[5]REKAP!$B$9:$G$200,6,0),"")</f>
        <v/>
      </c>
      <c r="P34" s="15" t="str">
        <f>IFERROR(VLOOKUP($C34,[6]REKAP!$B$9:$D$200,3,0),"")</f>
        <v/>
      </c>
      <c r="Q34" s="15" t="str">
        <f>IFERROR(VLOOKUP($C34,[6]REKAP!$B$9:$E$200,4,0),"")</f>
        <v/>
      </c>
      <c r="R34" s="15" t="str">
        <f>IFERROR(VLOOKUP($C34,[6]REKAP!$B$9:$G$200,6,0),"")</f>
        <v/>
      </c>
      <c r="S34" s="15" t="str">
        <f>IFERROR(VLOOKUP($C34,[7]REKAP!$B$9:$D$200,3,0),"")</f>
        <v/>
      </c>
      <c r="T34" s="15" t="str">
        <f>IFERROR(VLOOKUP($C34,[7]REKAP!$B$9:$E$200,4,0),"")</f>
        <v/>
      </c>
      <c r="U34" s="15" t="str">
        <f>IFERROR(VLOOKUP($C34,[7]REKAP!$B$9:$G$200,6,0),"")</f>
        <v/>
      </c>
      <c r="V34" s="15" t="str">
        <f>IFERROR(VLOOKUP($C34,[8]REKAP!$B$9:$D$200,3,0),"")</f>
        <v/>
      </c>
      <c r="W34" s="15" t="str">
        <f>IFERROR(VLOOKUP($C34,[8]REKAP!$B$9:$E$200,4,0),"")</f>
        <v/>
      </c>
      <c r="X34" s="15" t="str">
        <f>IFERROR(VLOOKUP($C34,[8]REKAP!$B$9:$G$200,6,0),"")</f>
        <v/>
      </c>
      <c r="Y34" s="15">
        <f>IFERROR(VLOOKUP($C34,[9]REKAP!$B$9:$D$200,3,0),"")</f>
        <v>0</v>
      </c>
      <c r="Z34" s="15">
        <f>IFERROR(VLOOKUP($C34,[9]REKAP!$B$9:$E$200,4,0),"")</f>
        <v>0</v>
      </c>
      <c r="AA34" s="15">
        <f>IFERROR(VLOOKUP($C34,[9]REKAP!$B$9:$G$200,6,0),"")</f>
        <v>0</v>
      </c>
      <c r="AB34" s="15" t="str">
        <f>IFERROR(VLOOKUP($C34,[10]REKAP!$B$9:$D$200,3,0),"")</f>
        <v/>
      </c>
      <c r="AC34" s="15" t="str">
        <f>IFERROR(VLOOKUP($C34,[10]REKAP!$B$9:$E$200,4,0),"")</f>
        <v/>
      </c>
      <c r="AD34" s="15" t="str">
        <f>IFERROR(VLOOKUP($C34,[10]REKAP!$B$9:$G$200,6,0),"")</f>
        <v/>
      </c>
      <c r="AE34" s="15" t="str">
        <f>IFERROR(VLOOKUP($C34,[11]REKAP!$B$9:$D$199,3,0),"")</f>
        <v/>
      </c>
      <c r="AF34" s="15" t="str">
        <f>IFERROR(VLOOKUP($C34,[11]REKAP!$B$9:$E$199,4,0),"")</f>
        <v/>
      </c>
      <c r="AG34" s="15" t="str">
        <f>IFERROR(VLOOKUP($C34,[11]REKAP!$B$9:$G$199,6,0),"")</f>
        <v/>
      </c>
      <c r="AH34" s="15" t="str">
        <f>IFERROR(VLOOKUP($C34,[12]REKAP!$B$9:$D$200,3,0),"")</f>
        <v/>
      </c>
      <c r="AI34" s="15" t="str">
        <f>IFERROR(VLOOKUP($C34,[12]REKAP!$B$9:$E$200,4,0),"")</f>
        <v/>
      </c>
      <c r="AJ34" s="15" t="str">
        <f>IFERROR(VLOOKUP($C34,[12]REKAP!$B$9:$G$200,6,0),"")</f>
        <v/>
      </c>
      <c r="AK34" s="15" t="str">
        <f>IFERROR(VLOOKUP($C34,[13]REKAP!$B$9:$D$200,3,0),"")</f>
        <v/>
      </c>
      <c r="AL34" s="15" t="str">
        <f>IFERROR(VLOOKUP($C34,[13]REKAP!$B$9:$E$200,4,0),"")</f>
        <v/>
      </c>
      <c r="AM34" s="15" t="str">
        <f>IFERROR(VLOOKUP($C34,[13]REKAP!$B$9:$G$200,6,0),"")</f>
        <v/>
      </c>
      <c r="AN34" s="15" t="str">
        <f>IFERROR(VLOOKUP($C34,[14]REKAP!$B$9:$D$200,3,0),"")</f>
        <v/>
      </c>
      <c r="AO34" s="15" t="str">
        <f>IFERROR(VLOOKUP($C34,[14]REKAP!$B$9:$E$200,4,0),"")</f>
        <v/>
      </c>
      <c r="AP34" s="15" t="str">
        <f>IFERROR(VLOOKUP($C34,[14]REKAP!$B$9:$G$200,6,0),"")</f>
        <v/>
      </c>
      <c r="AQ34" s="15" t="str">
        <f>IFERROR(VLOOKUP($C34,[15]REKAP!$B$9:$D$200,3,0),"")</f>
        <v/>
      </c>
      <c r="AR34" s="15" t="str">
        <f>IFERROR(VLOOKUP($C34,[15]REKAP!$B$9:$E$200,4,0),"")</f>
        <v/>
      </c>
      <c r="AS34" s="15" t="str">
        <f>IFERROR(VLOOKUP($C34,[15]REKAP!$B$9:$G$200,6,0),"")</f>
        <v/>
      </c>
      <c r="AT34" s="15" t="str">
        <f>IFERROR(VLOOKUP($C34,[16]REKAP!$B$9:$D$200,3,0),"")</f>
        <v/>
      </c>
      <c r="AU34" s="15" t="str">
        <f>IFERROR(VLOOKUP($C34,[16]REKAP!$B$9:$E$200,4,0),"")</f>
        <v/>
      </c>
      <c r="AV34" s="15" t="str">
        <f>IFERROR(VLOOKUP($C34,[16]REKAP!$B$9:$G$200,6,0),"")</f>
        <v/>
      </c>
      <c r="AW34" s="15" t="str">
        <f>IFERROR(VLOOKUP($C34,[17]REKAP!$B$9:$D$200,3,0),"")</f>
        <v/>
      </c>
      <c r="AX34" s="15" t="str">
        <f>IFERROR(VLOOKUP($C34,[17]REKAP!$B$9:$E$200,4,0),"")</f>
        <v/>
      </c>
      <c r="AY34" s="15" t="str">
        <f>IFERROR(VLOOKUP($C34,[17]REKAP!$B$9:$G$200,6,0),"")</f>
        <v/>
      </c>
      <c r="AZ34" s="15" t="str">
        <f>IFERROR(VLOOKUP($C34,[18]REKAP!$B$9:$D$200,3,0),"")</f>
        <v/>
      </c>
      <c r="BA34" s="15" t="str">
        <f>IFERROR(VLOOKUP($C34,[18]REKAP!$B$9:$E$200,4,0),"")</f>
        <v/>
      </c>
      <c r="BB34" s="15" t="str">
        <f>IFERROR(VLOOKUP($C34,[18]REKAP!$B$9:$G$200,6,0),"")</f>
        <v/>
      </c>
      <c r="BC34" s="15" t="str">
        <f>IFERROR(VLOOKUP($C34,[19]REKAP!$B$9:$D$200,3,0),"")</f>
        <v/>
      </c>
      <c r="BD34" s="15" t="str">
        <f>IFERROR(VLOOKUP($C34,[19]REKAP!$B$9:$E$200,4,0),"")</f>
        <v/>
      </c>
      <c r="BE34" s="15" t="str">
        <f>IFERROR(VLOOKUP($C34,[19]REKAP!$B$9:$G$200,6,0),"")</f>
        <v/>
      </c>
      <c r="BF34" s="15" t="str">
        <f>IFERROR(VLOOKUP($C34,[20]REKAP!$B$9:$D$200,3,0),"")</f>
        <v/>
      </c>
      <c r="BG34" s="15" t="str">
        <f>IFERROR(VLOOKUP($C34,[20]REKAP!$B$9:$E$200,4,0),"")</f>
        <v/>
      </c>
      <c r="BH34" s="15" t="str">
        <f>IFERROR(VLOOKUP($C34,[20]REKAP!$B$9:$G$200,6,0),"")</f>
        <v/>
      </c>
      <c r="BI34" s="15" t="str">
        <f>IFERROR(VLOOKUP($C34,[21]REKAP!$B$9:$D$200,3,0),"")</f>
        <v/>
      </c>
      <c r="BJ34" s="15" t="str">
        <f>IFERROR(VLOOKUP($C34,[21]REKAP!$B$9:$E$200,4,0),"")</f>
        <v/>
      </c>
      <c r="BK34" s="15" t="str">
        <f>IFERROR(VLOOKUP($C34,[21]REKAP!$B$9:$G$200,6,0),"")</f>
        <v/>
      </c>
      <c r="BL34" s="15" t="str">
        <f>IFERROR(VLOOKUP($C34,[22]REKAP!$B$9:$D$200,3,0),"")</f>
        <v/>
      </c>
      <c r="BM34" s="15" t="str">
        <f>IFERROR(VLOOKUP($C34,[22]REKAP!$B$9:$E$200,4,0),"")</f>
        <v/>
      </c>
      <c r="BN34" s="15" t="str">
        <f>IFERROR(VLOOKUP($C34,[22]REKAP!$B$9:$G$200,6,0),"")</f>
        <v/>
      </c>
      <c r="BO34" s="15" t="str">
        <f>IFERROR(VLOOKUP($C34,[23]REKAP!$B$9:$D$200,3,0),"")</f>
        <v/>
      </c>
      <c r="BP34" s="15" t="str">
        <f>IFERROR(VLOOKUP($C34,[23]REKAP!$B$9:$E$200,4,0),"")</f>
        <v/>
      </c>
      <c r="BQ34" s="15" t="str">
        <f>IFERROR(VLOOKUP($C34,[23]REKAP!$B$9:$G$200,6,0),"")</f>
        <v/>
      </c>
      <c r="BR34" s="15" t="str">
        <f>IFERROR(VLOOKUP($C34,[24]REKAP!$B$9:$D$200,3,0),"")</f>
        <v/>
      </c>
      <c r="BS34" s="15" t="str">
        <f>IFERROR(VLOOKUP($C34,[24]REKAP!$B$9:$E$200,4,0),"")</f>
        <v/>
      </c>
      <c r="BT34" s="15" t="str">
        <f>IFERROR(VLOOKUP($C34,[24]REKAP!$B$9:$G$200,6,0),"")</f>
        <v/>
      </c>
      <c r="BU34" s="15" t="str">
        <f>IFERROR(VLOOKUP($C34,[25]REKAP!$B$9:$D$200,3,0),"")</f>
        <v/>
      </c>
      <c r="BV34" s="15" t="str">
        <f>IFERROR(VLOOKUP($C34,[25]REKAP!$B$9:$E$200,4,0),"")</f>
        <v/>
      </c>
      <c r="BW34" s="15" t="str">
        <f>IFERROR(VLOOKUP($C34,[25]REKAP!$B$9:$G$200,6,0),"")</f>
        <v/>
      </c>
      <c r="BX34" s="15" t="str">
        <f>IFERROR(VLOOKUP($C34,[26]REKAP!$B$9:$D$200,3,0),"")</f>
        <v/>
      </c>
      <c r="BY34" s="15" t="str">
        <f>IFERROR(VLOOKUP($C34,[26]REKAP!$B$9:$E$200,4,0),"")</f>
        <v/>
      </c>
      <c r="BZ34" s="15" t="str">
        <f>IFERROR(VLOOKUP($C34,[26]REKAP!$B$9:$G$200,6,0),"")</f>
        <v/>
      </c>
      <c r="CA34" s="15" t="str">
        <f>IFERROR(VLOOKUP($C34,[27]REKAP!$B$9:$D$200,3,0),"")</f>
        <v/>
      </c>
      <c r="CB34" s="15" t="str">
        <f>IFERROR(VLOOKUP($C34,[27]REKAP!$B$9:$E$200,4,0),"")</f>
        <v/>
      </c>
      <c r="CC34" s="15" t="str">
        <f>IFERROR(VLOOKUP($C34,[27]REKAP!$B$9:$G$200,6,0),"")</f>
        <v/>
      </c>
      <c r="CD34" s="15" t="str">
        <f>IFERROR(VLOOKUP($C34,[28]REKAP!$B$9:$D$200,3,0),"")</f>
        <v/>
      </c>
      <c r="CE34" s="15" t="str">
        <f>IFERROR(VLOOKUP($C34,[28]REKAP!$B$9:$E$200,4,0),"")</f>
        <v/>
      </c>
      <c r="CF34" s="15" t="str">
        <f>IFERROR(VLOOKUP($C34,[28]REKAP!$B$9:$G$200,6,0),"")</f>
        <v/>
      </c>
      <c r="CG34" s="15" t="str">
        <f>IFERROR(VLOOKUP($C34,[29]REKAP!$B$9:$D$200,3,0),"")</f>
        <v/>
      </c>
      <c r="CH34" s="15" t="str">
        <f>IFERROR(VLOOKUP($C34,[29]REKAP!$B$9:$E$200,4,0),"")</f>
        <v/>
      </c>
      <c r="CI34" s="15" t="str">
        <f>IFERROR(VLOOKUP($C34,[29]REKAP!$B$9:$G$200,6,0),"")</f>
        <v/>
      </c>
      <c r="CJ34" s="15" t="str">
        <f>IFERROR(VLOOKUP($C34,[30]REKAP!$B$9:$D$200,3,0),"")</f>
        <v/>
      </c>
      <c r="CK34" s="15" t="str">
        <f>IFERROR(VLOOKUP($C34,[30]REKAP!$B$9:$E$200,4,0),"")</f>
        <v/>
      </c>
      <c r="CL34" s="15" t="str">
        <f>IFERROR(VLOOKUP($C34,[30]REKAP!$B$9:$G$200,6,0),"")</f>
        <v/>
      </c>
      <c r="CM34" s="15" t="str">
        <f>IFERROR(VLOOKUP($C34,[31]REKAP!$B$9:$D$200,3,0),"")</f>
        <v/>
      </c>
      <c r="CN34" s="15" t="str">
        <f>IFERROR(VLOOKUP($C34,[31]REKAP!$B$9:$E$200,4,0),"")</f>
        <v/>
      </c>
      <c r="CO34" s="15" t="str">
        <f>IFERROR(VLOOKUP($C34,[31]REKAP!$B$9:$G$200,6,0),"")</f>
        <v/>
      </c>
      <c r="CP34" s="15" t="str">
        <f>IFERROR(VLOOKUP($C34,[32]REKAP!$B$9:$D$200,3,0),"")</f>
        <v/>
      </c>
      <c r="CQ34" s="15" t="str">
        <f>IFERROR(VLOOKUP($C34,[32]REKAP!$B$9:$E$200,4,0),"")</f>
        <v/>
      </c>
      <c r="CR34" s="15" t="str">
        <f>IFERROR(VLOOKUP($C34,[32]REKAP!$B$9:$G$200,6,0),"")</f>
        <v/>
      </c>
      <c r="CS34" s="15" t="str">
        <f>IFERROR(VLOOKUP($C34,[33]REKAP!$B$9:$D$200,3,0),"")</f>
        <v/>
      </c>
      <c r="CT34" s="15" t="str">
        <f>IFERROR(VLOOKUP($C34,[33]REKAP!$B$9:$E$200,4,0),"")</f>
        <v/>
      </c>
      <c r="CU34" s="15" t="str">
        <f>IFERROR(VLOOKUP($C34,[33]REKAP!$B$9:$G$200,6,0),"")</f>
        <v/>
      </c>
      <c r="CV34" s="15" t="str">
        <f>IFERROR(VLOOKUP($C34,[34]REKAP!$B$9:$D$200,3,0),"")</f>
        <v/>
      </c>
      <c r="CW34" s="15" t="str">
        <f>IFERROR(VLOOKUP($C34,[34]REKAP!$B$9:$E$200,4,0),"")</f>
        <v/>
      </c>
      <c r="CX34" s="15" t="str">
        <f>IFERROR(VLOOKUP($C34,[34]REKAP!$B$9:$G$200,6,0),"")</f>
        <v/>
      </c>
    </row>
    <row r="35" spans="3:102" x14ac:dyDescent="0.25">
      <c r="C35" s="7" t="s">
        <v>61</v>
      </c>
      <c r="D35" s="5" t="str">
        <f>IFERROR(VLOOKUP(C35,DBASE!$C$7:$D$207,2,0),"")</f>
        <v>MINTZ PEPPERMINT</v>
      </c>
      <c r="E35" s="15">
        <f t="shared" si="1"/>
        <v>10</v>
      </c>
      <c r="F35" s="15">
        <f t="shared" si="1"/>
        <v>753783.4</v>
      </c>
      <c r="H35" s="15">
        <f t="shared" si="1"/>
        <v>22533.401999999944</v>
      </c>
      <c r="J35" s="15">
        <f>IFERROR(VLOOKUP($C35,[4]REKAP!$B$9:$D$200,3,0),"")</f>
        <v>0</v>
      </c>
      <c r="K35" s="15">
        <f>IFERROR(VLOOKUP($C35,[4]REKAP!$B$9:$E$200,4,0),"")</f>
        <v>0</v>
      </c>
      <c r="L35" s="15">
        <f>IFERROR(VLOOKUP($C35,[4]REKAP!$B$9:$G$200,6,0),"")</f>
        <v>0</v>
      </c>
      <c r="M35" s="15" t="str">
        <f>IFERROR(VLOOKUP($C35,[5]REKAP!$B$9:$D$200,3,0),"")</f>
        <v/>
      </c>
      <c r="N35" s="15" t="str">
        <f>IFERROR(VLOOKUP($C35,[5]REKAP!$B$9:$E$200,4,0),"")</f>
        <v/>
      </c>
      <c r="O35" s="15" t="str">
        <f>IFERROR(VLOOKUP($C35,[5]REKAP!$B$9:$G$200,6,0),"")</f>
        <v/>
      </c>
      <c r="P35" s="15" t="str">
        <f>IFERROR(VLOOKUP($C35,[6]REKAP!$B$9:$D$200,3,0),"")</f>
        <v/>
      </c>
      <c r="Q35" s="15" t="str">
        <f>IFERROR(VLOOKUP($C35,[6]REKAP!$B$9:$E$200,4,0),"")</f>
        <v/>
      </c>
      <c r="R35" s="15" t="str">
        <f>IFERROR(VLOOKUP($C35,[6]REKAP!$B$9:$G$200,6,0),"")</f>
        <v/>
      </c>
      <c r="S35" s="15">
        <f>IFERROR(VLOOKUP($C35,[7]REKAP!$B$9:$D$200,3,0),"")</f>
        <v>2</v>
      </c>
      <c r="T35" s="15">
        <f>IFERROR(VLOOKUP($C35,[7]REKAP!$B$9:$E$200,4,0),"")</f>
        <v>152000</v>
      </c>
      <c r="U35" s="15">
        <f>IFERROR(VLOOKUP($C35,[7]REKAP!$B$9:$G$200,6,0),"")</f>
        <v>5750.0003999999899</v>
      </c>
      <c r="V35" s="15">
        <f>IFERROR(VLOOKUP($C35,[8]REKAP!$B$9:$D$200,3,0),"")</f>
        <v>2</v>
      </c>
      <c r="W35" s="15">
        <f>IFERROR(VLOOKUP($C35,[8]REKAP!$B$9:$E$200,4,0),"")</f>
        <v>150000</v>
      </c>
      <c r="X35" s="15">
        <f>IFERROR(VLOOKUP($C35,[8]REKAP!$B$9:$G$200,6,0),"")</f>
        <v>3750.0003999999899</v>
      </c>
      <c r="Y35" s="15">
        <f>IFERROR(VLOOKUP($C35,[9]REKAP!$B$9:$D$200,3,0),"")</f>
        <v>0</v>
      </c>
      <c r="Z35" s="15">
        <f>IFERROR(VLOOKUP($C35,[9]REKAP!$B$9:$E$200,4,0),"")</f>
        <v>0</v>
      </c>
      <c r="AA35" s="15">
        <f>IFERROR(VLOOKUP($C35,[9]REKAP!$B$9:$G$200,6,0),"")</f>
        <v>0</v>
      </c>
      <c r="AB35" s="15">
        <f>IFERROR(VLOOKUP($C35,[10]REKAP!$B$9:$D$200,3,0),"")</f>
        <v>2</v>
      </c>
      <c r="AC35" s="15">
        <f>IFERROR(VLOOKUP($C35,[10]REKAP!$B$9:$E$200,4,0),"")</f>
        <v>148000</v>
      </c>
      <c r="AD35" s="15">
        <f>IFERROR(VLOOKUP($C35,[10]REKAP!$B$9:$G$200,6,0),"")</f>
        <v>1750.0003999999899</v>
      </c>
      <c r="AE35" s="15">
        <f>IFERROR(VLOOKUP($C35,[11]REKAP!$B$9:$D$199,3,0),"")</f>
        <v>2</v>
      </c>
      <c r="AF35" s="15">
        <f>IFERROR(VLOOKUP($C35,[11]REKAP!$B$9:$E$199,4,0),"")</f>
        <v>150903.4</v>
      </c>
      <c r="AG35" s="15">
        <f>IFERROR(VLOOKUP($C35,[11]REKAP!$B$9:$G$199,6,0),"")</f>
        <v>4653.4003999999841</v>
      </c>
      <c r="AH35" s="15">
        <f>IFERROR(VLOOKUP($C35,[12]REKAP!$B$9:$D$200,3,0),"")</f>
        <v>2</v>
      </c>
      <c r="AI35" s="15">
        <f>IFERROR(VLOOKUP($C35,[12]REKAP!$B$9:$E$200,4,0),"")</f>
        <v>152880</v>
      </c>
      <c r="AJ35" s="15">
        <f>IFERROR(VLOOKUP($C35,[12]REKAP!$B$9:$G$200,6,0),"")</f>
        <v>6630.0003999999899</v>
      </c>
      <c r="AK35" s="15">
        <f>IFERROR(VLOOKUP($C35,[13]REKAP!$B$9:$D$200,3,0),"")</f>
        <v>0</v>
      </c>
      <c r="AL35" s="15">
        <f>IFERROR(VLOOKUP($C35,[13]REKAP!$B$9:$E$200,4,0),"")</f>
        <v>0</v>
      </c>
      <c r="AM35" s="15">
        <f>IFERROR(VLOOKUP($C35,[13]REKAP!$B$9:$G$200,6,0),"")</f>
        <v>0</v>
      </c>
      <c r="AN35" s="15">
        <f>IFERROR(VLOOKUP($C35,[14]REKAP!$B$9:$D$200,3,0),"")</f>
        <v>0</v>
      </c>
      <c r="AO35" s="15">
        <f>IFERROR(VLOOKUP($C35,[14]REKAP!$B$9:$E$200,4,0),"")</f>
        <v>0</v>
      </c>
      <c r="AP35" s="15">
        <f>IFERROR(VLOOKUP($C35,[14]REKAP!$B$9:$G$200,6,0),"")</f>
        <v>0</v>
      </c>
      <c r="AQ35" s="15">
        <f>IFERROR(VLOOKUP($C35,[15]REKAP!$B$9:$D$200,3,0),"")</f>
        <v>0</v>
      </c>
      <c r="AR35" s="15">
        <f>IFERROR(VLOOKUP($C35,[15]REKAP!$B$9:$E$200,4,0),"")</f>
        <v>0</v>
      </c>
      <c r="AS35" s="15">
        <f>IFERROR(VLOOKUP($C35,[15]REKAP!$B$9:$G$200,6,0),"")</f>
        <v>0</v>
      </c>
      <c r="AT35" s="15">
        <f>IFERROR(VLOOKUP($C35,[16]REKAP!$B$9:$D$200,3,0),"")</f>
        <v>0</v>
      </c>
      <c r="AU35" s="15">
        <f>IFERROR(VLOOKUP($C35,[16]REKAP!$B$9:$E$200,4,0),"")</f>
        <v>0</v>
      </c>
      <c r="AV35" s="15">
        <f>IFERROR(VLOOKUP($C35,[16]REKAP!$B$9:$G$200,6,0),"")</f>
        <v>0</v>
      </c>
      <c r="AW35" s="15">
        <f>IFERROR(VLOOKUP($C35,[17]REKAP!$B$9:$D$200,3,0),"")</f>
        <v>0</v>
      </c>
      <c r="AX35" s="15">
        <f>IFERROR(VLOOKUP($C35,[17]REKAP!$B$9:$E$200,4,0),"")</f>
        <v>0</v>
      </c>
      <c r="AY35" s="15">
        <f>IFERROR(VLOOKUP($C35,[17]REKAP!$B$9:$G$200,6,0),"")</f>
        <v>0</v>
      </c>
      <c r="AZ35" s="15" t="str">
        <f>IFERROR(VLOOKUP($C35,[18]REKAP!$B$9:$D$200,3,0),"")</f>
        <v/>
      </c>
      <c r="BA35" s="15" t="str">
        <f>IFERROR(VLOOKUP($C35,[18]REKAP!$B$9:$E$200,4,0),"")</f>
        <v/>
      </c>
      <c r="BB35" s="15" t="str">
        <f>IFERROR(VLOOKUP($C35,[18]REKAP!$B$9:$G$200,6,0),"")</f>
        <v/>
      </c>
      <c r="BC35" s="15" t="str">
        <f>IFERROR(VLOOKUP($C35,[19]REKAP!$B$9:$D$200,3,0),"")</f>
        <v/>
      </c>
      <c r="BD35" s="15" t="str">
        <f>IFERROR(VLOOKUP($C35,[19]REKAP!$B$9:$E$200,4,0),"")</f>
        <v/>
      </c>
      <c r="BE35" s="15" t="str">
        <f>IFERROR(VLOOKUP($C35,[19]REKAP!$B$9:$G$200,6,0),"")</f>
        <v/>
      </c>
      <c r="BF35" s="15" t="str">
        <f>IFERROR(VLOOKUP($C35,[20]REKAP!$B$9:$D$200,3,0),"")</f>
        <v/>
      </c>
      <c r="BG35" s="15" t="str">
        <f>IFERROR(VLOOKUP($C35,[20]REKAP!$B$9:$E$200,4,0),"")</f>
        <v/>
      </c>
      <c r="BH35" s="15" t="str">
        <f>IFERROR(VLOOKUP($C35,[20]REKAP!$B$9:$G$200,6,0),"")</f>
        <v/>
      </c>
      <c r="BI35" s="15" t="str">
        <f>IFERROR(VLOOKUP($C35,[21]REKAP!$B$9:$D$200,3,0),"")</f>
        <v/>
      </c>
      <c r="BJ35" s="15" t="str">
        <f>IFERROR(VLOOKUP($C35,[21]REKAP!$B$9:$E$200,4,0),"")</f>
        <v/>
      </c>
      <c r="BK35" s="15" t="str">
        <f>IFERROR(VLOOKUP($C35,[21]REKAP!$B$9:$G$200,6,0),"")</f>
        <v/>
      </c>
      <c r="BL35" s="15" t="str">
        <f>IFERROR(VLOOKUP($C35,[22]REKAP!$B$9:$D$200,3,0),"")</f>
        <v/>
      </c>
      <c r="BM35" s="15" t="str">
        <f>IFERROR(VLOOKUP($C35,[22]REKAP!$B$9:$E$200,4,0),"")</f>
        <v/>
      </c>
      <c r="BN35" s="15" t="str">
        <f>IFERROR(VLOOKUP($C35,[22]REKAP!$B$9:$G$200,6,0),"")</f>
        <v/>
      </c>
      <c r="BO35" s="15" t="str">
        <f>IFERROR(VLOOKUP($C35,[23]REKAP!$B$9:$D$200,3,0),"")</f>
        <v/>
      </c>
      <c r="BP35" s="15" t="str">
        <f>IFERROR(VLOOKUP($C35,[23]REKAP!$B$9:$E$200,4,0),"")</f>
        <v/>
      </c>
      <c r="BQ35" s="15" t="str">
        <f>IFERROR(VLOOKUP($C35,[23]REKAP!$B$9:$G$200,6,0),"")</f>
        <v/>
      </c>
      <c r="BR35" s="15" t="str">
        <f>IFERROR(VLOOKUP($C35,[24]REKAP!$B$9:$D$200,3,0),"")</f>
        <v/>
      </c>
      <c r="BS35" s="15" t="str">
        <f>IFERROR(VLOOKUP($C35,[24]REKAP!$B$9:$E$200,4,0),"")</f>
        <v/>
      </c>
      <c r="BT35" s="15" t="str">
        <f>IFERROR(VLOOKUP($C35,[24]REKAP!$B$9:$G$200,6,0),"")</f>
        <v/>
      </c>
      <c r="BU35" s="15" t="str">
        <f>IFERROR(VLOOKUP($C35,[25]REKAP!$B$9:$D$200,3,0),"")</f>
        <v/>
      </c>
      <c r="BV35" s="15" t="str">
        <f>IFERROR(VLOOKUP($C35,[25]REKAP!$B$9:$E$200,4,0),"")</f>
        <v/>
      </c>
      <c r="BW35" s="15" t="str">
        <f>IFERROR(VLOOKUP($C35,[25]REKAP!$B$9:$G$200,6,0),"")</f>
        <v/>
      </c>
      <c r="BX35" s="15" t="str">
        <f>IFERROR(VLOOKUP($C35,[26]REKAP!$B$9:$D$200,3,0),"")</f>
        <v/>
      </c>
      <c r="BY35" s="15" t="str">
        <f>IFERROR(VLOOKUP($C35,[26]REKAP!$B$9:$E$200,4,0),"")</f>
        <v/>
      </c>
      <c r="BZ35" s="15" t="str">
        <f>IFERROR(VLOOKUP($C35,[26]REKAP!$B$9:$G$200,6,0),"")</f>
        <v/>
      </c>
      <c r="CA35" s="15" t="str">
        <f>IFERROR(VLOOKUP($C35,[27]REKAP!$B$9:$D$200,3,0),"")</f>
        <v/>
      </c>
      <c r="CB35" s="15" t="str">
        <f>IFERROR(VLOOKUP($C35,[27]REKAP!$B$9:$E$200,4,0),"")</f>
        <v/>
      </c>
      <c r="CC35" s="15" t="str">
        <f>IFERROR(VLOOKUP($C35,[27]REKAP!$B$9:$G$200,6,0),"")</f>
        <v/>
      </c>
      <c r="CD35" s="15" t="str">
        <f>IFERROR(VLOOKUP($C35,[28]REKAP!$B$9:$D$200,3,0),"")</f>
        <v/>
      </c>
      <c r="CE35" s="15" t="str">
        <f>IFERROR(VLOOKUP($C35,[28]REKAP!$B$9:$E$200,4,0),"")</f>
        <v/>
      </c>
      <c r="CF35" s="15" t="str">
        <f>IFERROR(VLOOKUP($C35,[28]REKAP!$B$9:$G$200,6,0),"")</f>
        <v/>
      </c>
      <c r="CG35" s="15" t="str">
        <f>IFERROR(VLOOKUP($C35,[29]REKAP!$B$9:$D$200,3,0),"")</f>
        <v/>
      </c>
      <c r="CH35" s="15" t="str">
        <f>IFERROR(VLOOKUP($C35,[29]REKAP!$B$9:$E$200,4,0),"")</f>
        <v/>
      </c>
      <c r="CI35" s="15" t="str">
        <f>IFERROR(VLOOKUP($C35,[29]REKAP!$B$9:$G$200,6,0),"")</f>
        <v/>
      </c>
      <c r="CJ35" s="15" t="str">
        <f>IFERROR(VLOOKUP($C35,[30]REKAP!$B$9:$D$200,3,0),"")</f>
        <v/>
      </c>
      <c r="CK35" s="15" t="str">
        <f>IFERROR(VLOOKUP($C35,[30]REKAP!$B$9:$E$200,4,0),"")</f>
        <v/>
      </c>
      <c r="CL35" s="15" t="str">
        <f>IFERROR(VLOOKUP($C35,[30]REKAP!$B$9:$G$200,6,0),"")</f>
        <v/>
      </c>
      <c r="CM35" s="15" t="str">
        <f>IFERROR(VLOOKUP($C35,[31]REKAP!$B$9:$D$200,3,0),"")</f>
        <v/>
      </c>
      <c r="CN35" s="15" t="str">
        <f>IFERROR(VLOOKUP($C35,[31]REKAP!$B$9:$E$200,4,0),"")</f>
        <v/>
      </c>
      <c r="CO35" s="15" t="str">
        <f>IFERROR(VLOOKUP($C35,[31]REKAP!$B$9:$G$200,6,0),"")</f>
        <v/>
      </c>
      <c r="CP35" s="15" t="str">
        <f>IFERROR(VLOOKUP($C35,[32]REKAP!$B$9:$D$200,3,0),"")</f>
        <v/>
      </c>
      <c r="CQ35" s="15" t="str">
        <f>IFERROR(VLOOKUP($C35,[32]REKAP!$B$9:$E$200,4,0),"")</f>
        <v/>
      </c>
      <c r="CR35" s="15" t="str">
        <f>IFERROR(VLOOKUP($C35,[32]REKAP!$B$9:$G$200,6,0),"")</f>
        <v/>
      </c>
      <c r="CS35" s="15" t="str">
        <f>IFERROR(VLOOKUP($C35,[33]REKAP!$B$9:$D$200,3,0),"")</f>
        <v/>
      </c>
      <c r="CT35" s="15" t="str">
        <f>IFERROR(VLOOKUP($C35,[33]REKAP!$B$9:$E$200,4,0),"")</f>
        <v/>
      </c>
      <c r="CU35" s="15" t="str">
        <f>IFERROR(VLOOKUP($C35,[33]REKAP!$B$9:$G$200,6,0),"")</f>
        <v/>
      </c>
      <c r="CV35" s="15" t="str">
        <f>IFERROR(VLOOKUP($C35,[34]REKAP!$B$9:$D$200,3,0),"")</f>
        <v/>
      </c>
      <c r="CW35" s="15" t="str">
        <f>IFERROR(VLOOKUP($C35,[34]REKAP!$B$9:$E$200,4,0),"")</f>
        <v/>
      </c>
      <c r="CX35" s="15" t="str">
        <f>IFERROR(VLOOKUP($C35,[34]REKAP!$B$9:$G$200,6,0),"")</f>
        <v/>
      </c>
    </row>
    <row r="36" spans="3:102" x14ac:dyDescent="0.25">
      <c r="C36" s="7" t="s">
        <v>62</v>
      </c>
      <c r="D36" s="5" t="str">
        <f>IFERROR(VLOOKUP(C36,DBASE!$C$7:$D$207,2,0),"")</f>
        <v>MINTZ DOUBLEMINT</v>
      </c>
      <c r="E36" s="15">
        <f t="shared" si="1"/>
        <v>8</v>
      </c>
      <c r="F36" s="15">
        <f t="shared" si="1"/>
        <v>598783.4</v>
      </c>
      <c r="H36" s="15">
        <f t="shared" si="1"/>
        <v>13783.398400000035</v>
      </c>
      <c r="J36" s="15">
        <f>IFERROR(VLOOKUP($C36,[4]REKAP!$B$9:$D$200,3,0),"")</f>
        <v>0</v>
      </c>
      <c r="K36" s="15">
        <f>IFERROR(VLOOKUP($C36,[4]REKAP!$B$9:$E$200,4,0),"")</f>
        <v>0</v>
      </c>
      <c r="L36" s="15">
        <f>IFERROR(VLOOKUP($C36,[4]REKAP!$B$9:$G$200,6,0),"")</f>
        <v>0</v>
      </c>
      <c r="M36" s="15" t="str">
        <f>IFERROR(VLOOKUP($C36,[5]REKAP!$B$9:$D$200,3,0),"")</f>
        <v/>
      </c>
      <c r="N36" s="15" t="str">
        <f>IFERROR(VLOOKUP($C36,[5]REKAP!$B$9:$E$200,4,0),"")</f>
        <v/>
      </c>
      <c r="O36" s="15" t="str">
        <f>IFERROR(VLOOKUP($C36,[5]REKAP!$B$9:$G$200,6,0),"")</f>
        <v/>
      </c>
      <c r="P36" s="15" t="str">
        <f>IFERROR(VLOOKUP($C36,[6]REKAP!$B$9:$D$200,3,0),"")</f>
        <v/>
      </c>
      <c r="Q36" s="15" t="str">
        <f>IFERROR(VLOOKUP($C36,[6]REKAP!$B$9:$E$200,4,0),"")</f>
        <v/>
      </c>
      <c r="R36" s="15" t="str">
        <f>IFERROR(VLOOKUP($C36,[6]REKAP!$B$9:$G$200,6,0),"")</f>
        <v/>
      </c>
      <c r="S36" s="15">
        <f>IFERROR(VLOOKUP($C36,[7]REKAP!$B$9:$D$200,3,0),"")</f>
        <v>0</v>
      </c>
      <c r="T36" s="15">
        <f>IFERROR(VLOOKUP($C36,[7]REKAP!$B$9:$E$200,4,0),"")</f>
        <v>0</v>
      </c>
      <c r="U36" s="15">
        <f>IFERROR(VLOOKUP($C36,[7]REKAP!$B$9:$G$200,6,0),"")</f>
        <v>0</v>
      </c>
      <c r="V36" s="15">
        <f>IFERROR(VLOOKUP($C36,[8]REKAP!$B$9:$D$200,3,0),"")</f>
        <v>1</v>
      </c>
      <c r="W36" s="15">
        <f>IFERROR(VLOOKUP($C36,[8]REKAP!$B$9:$E$200,4,0),"")</f>
        <v>75000</v>
      </c>
      <c r="X36" s="15">
        <f>IFERROR(VLOOKUP($C36,[8]REKAP!$B$9:$G$200,6,0),"")</f>
        <v>1874.9998000000051</v>
      </c>
      <c r="Y36" s="15">
        <f>IFERROR(VLOOKUP($C36,[9]REKAP!$B$9:$D$200,3,0),"")</f>
        <v>1</v>
      </c>
      <c r="Z36" s="15">
        <f>IFERROR(VLOOKUP($C36,[9]REKAP!$B$9:$E$200,4,0),"")</f>
        <v>74000</v>
      </c>
      <c r="AA36" s="15">
        <f>IFERROR(VLOOKUP($C36,[9]REKAP!$B$9:$G$200,6,0),"")</f>
        <v>874.99980000000505</v>
      </c>
      <c r="AB36" s="15">
        <f>IFERROR(VLOOKUP($C36,[10]REKAP!$B$9:$D$200,3,0),"")</f>
        <v>2</v>
      </c>
      <c r="AC36" s="15">
        <f>IFERROR(VLOOKUP($C36,[10]REKAP!$B$9:$E$200,4,0),"")</f>
        <v>148000</v>
      </c>
      <c r="AD36" s="15">
        <f>IFERROR(VLOOKUP($C36,[10]REKAP!$B$9:$G$200,6,0),"")</f>
        <v>1749.9996000000101</v>
      </c>
      <c r="AE36" s="15">
        <f>IFERROR(VLOOKUP($C36,[11]REKAP!$B$9:$D$199,3,0),"")</f>
        <v>1</v>
      </c>
      <c r="AF36" s="15">
        <f>IFERROR(VLOOKUP($C36,[11]REKAP!$B$9:$E$199,4,0),"")</f>
        <v>74903.399999999994</v>
      </c>
      <c r="AG36" s="15">
        <f>IFERROR(VLOOKUP($C36,[11]REKAP!$B$9:$G$199,6,0),"")</f>
        <v>1778.3997999999992</v>
      </c>
      <c r="AH36" s="15">
        <f>IFERROR(VLOOKUP($C36,[12]REKAP!$B$9:$D$200,3,0),"")</f>
        <v>3</v>
      </c>
      <c r="AI36" s="15">
        <f>IFERROR(VLOOKUP($C36,[12]REKAP!$B$9:$E$200,4,0),"")</f>
        <v>226880</v>
      </c>
      <c r="AJ36" s="15">
        <f>IFERROR(VLOOKUP($C36,[12]REKAP!$B$9:$G$200,6,0),"")</f>
        <v>7504.9994000000152</v>
      </c>
      <c r="AK36" s="15">
        <f>IFERROR(VLOOKUP($C36,[13]REKAP!$B$9:$D$200,3,0),"")</f>
        <v>0</v>
      </c>
      <c r="AL36" s="15">
        <f>IFERROR(VLOOKUP($C36,[13]REKAP!$B$9:$E$200,4,0),"")</f>
        <v>0</v>
      </c>
      <c r="AM36" s="15">
        <f>IFERROR(VLOOKUP($C36,[13]REKAP!$B$9:$G$200,6,0),"")</f>
        <v>0</v>
      </c>
      <c r="AN36" s="15">
        <f>IFERROR(VLOOKUP($C36,[14]REKAP!$B$9:$D$200,3,0),"")</f>
        <v>0</v>
      </c>
      <c r="AO36" s="15">
        <f>IFERROR(VLOOKUP($C36,[14]REKAP!$B$9:$E$200,4,0),"")</f>
        <v>0</v>
      </c>
      <c r="AP36" s="15">
        <f>IFERROR(VLOOKUP($C36,[14]REKAP!$B$9:$G$200,6,0),"")</f>
        <v>0</v>
      </c>
      <c r="AQ36" s="15">
        <f>IFERROR(VLOOKUP($C36,[15]REKAP!$B$9:$D$200,3,0),"")</f>
        <v>0</v>
      </c>
      <c r="AR36" s="15">
        <f>IFERROR(VLOOKUP($C36,[15]REKAP!$B$9:$E$200,4,0),"")</f>
        <v>0</v>
      </c>
      <c r="AS36" s="15">
        <f>IFERROR(VLOOKUP($C36,[15]REKAP!$B$9:$G$200,6,0),"")</f>
        <v>0</v>
      </c>
      <c r="AT36" s="15">
        <f>IFERROR(VLOOKUP($C36,[16]REKAP!$B$9:$D$200,3,0),"")</f>
        <v>0</v>
      </c>
      <c r="AU36" s="15">
        <f>IFERROR(VLOOKUP($C36,[16]REKAP!$B$9:$E$200,4,0),"")</f>
        <v>0</v>
      </c>
      <c r="AV36" s="15">
        <f>IFERROR(VLOOKUP($C36,[16]REKAP!$B$9:$G$200,6,0),"")</f>
        <v>0</v>
      </c>
      <c r="AW36" s="15">
        <f>IFERROR(VLOOKUP($C36,[17]REKAP!$B$9:$D$200,3,0),"")</f>
        <v>0</v>
      </c>
      <c r="AX36" s="15">
        <f>IFERROR(VLOOKUP($C36,[17]REKAP!$B$9:$E$200,4,0),"")</f>
        <v>0</v>
      </c>
      <c r="AY36" s="15">
        <f>IFERROR(VLOOKUP($C36,[17]REKAP!$B$9:$G$200,6,0),"")</f>
        <v>0</v>
      </c>
      <c r="AZ36" s="15" t="str">
        <f>IFERROR(VLOOKUP($C36,[18]REKAP!$B$9:$D$200,3,0),"")</f>
        <v/>
      </c>
      <c r="BA36" s="15" t="str">
        <f>IFERROR(VLOOKUP($C36,[18]REKAP!$B$9:$E$200,4,0),"")</f>
        <v/>
      </c>
      <c r="BB36" s="15" t="str">
        <f>IFERROR(VLOOKUP($C36,[18]REKAP!$B$9:$G$200,6,0),"")</f>
        <v/>
      </c>
      <c r="BC36" s="15" t="str">
        <f>IFERROR(VLOOKUP($C36,[19]REKAP!$B$9:$D$200,3,0),"")</f>
        <v/>
      </c>
      <c r="BD36" s="15" t="str">
        <f>IFERROR(VLOOKUP($C36,[19]REKAP!$B$9:$E$200,4,0),"")</f>
        <v/>
      </c>
      <c r="BE36" s="15" t="str">
        <f>IFERROR(VLOOKUP($C36,[19]REKAP!$B$9:$G$200,6,0),"")</f>
        <v/>
      </c>
      <c r="BF36" s="15" t="str">
        <f>IFERROR(VLOOKUP($C36,[20]REKAP!$B$9:$D$200,3,0),"")</f>
        <v/>
      </c>
      <c r="BG36" s="15" t="str">
        <f>IFERROR(VLOOKUP($C36,[20]REKAP!$B$9:$E$200,4,0),"")</f>
        <v/>
      </c>
      <c r="BH36" s="15" t="str">
        <f>IFERROR(VLOOKUP($C36,[20]REKAP!$B$9:$G$200,6,0),"")</f>
        <v/>
      </c>
      <c r="BI36" s="15" t="str">
        <f>IFERROR(VLOOKUP($C36,[21]REKAP!$B$9:$D$200,3,0),"")</f>
        <v/>
      </c>
      <c r="BJ36" s="15" t="str">
        <f>IFERROR(VLOOKUP($C36,[21]REKAP!$B$9:$E$200,4,0),"")</f>
        <v/>
      </c>
      <c r="BK36" s="15" t="str">
        <f>IFERROR(VLOOKUP($C36,[21]REKAP!$B$9:$G$200,6,0),"")</f>
        <v/>
      </c>
      <c r="BL36" s="15" t="str">
        <f>IFERROR(VLOOKUP($C36,[22]REKAP!$B$9:$D$200,3,0),"")</f>
        <v/>
      </c>
      <c r="BM36" s="15" t="str">
        <f>IFERROR(VLOOKUP($C36,[22]REKAP!$B$9:$E$200,4,0),"")</f>
        <v/>
      </c>
      <c r="BN36" s="15" t="str">
        <f>IFERROR(VLOOKUP($C36,[22]REKAP!$B$9:$G$200,6,0),"")</f>
        <v/>
      </c>
      <c r="BO36" s="15" t="str">
        <f>IFERROR(VLOOKUP($C36,[23]REKAP!$B$9:$D$200,3,0),"")</f>
        <v/>
      </c>
      <c r="BP36" s="15" t="str">
        <f>IFERROR(VLOOKUP($C36,[23]REKAP!$B$9:$E$200,4,0),"")</f>
        <v/>
      </c>
      <c r="BQ36" s="15" t="str">
        <f>IFERROR(VLOOKUP($C36,[23]REKAP!$B$9:$G$200,6,0),"")</f>
        <v/>
      </c>
      <c r="BR36" s="15" t="str">
        <f>IFERROR(VLOOKUP($C36,[24]REKAP!$B$9:$D$200,3,0),"")</f>
        <v/>
      </c>
      <c r="BS36" s="15" t="str">
        <f>IFERROR(VLOOKUP($C36,[24]REKAP!$B$9:$E$200,4,0),"")</f>
        <v/>
      </c>
      <c r="BT36" s="15" t="str">
        <f>IFERROR(VLOOKUP($C36,[24]REKAP!$B$9:$G$200,6,0),"")</f>
        <v/>
      </c>
      <c r="BU36" s="15" t="str">
        <f>IFERROR(VLOOKUP($C36,[25]REKAP!$B$9:$D$200,3,0),"")</f>
        <v/>
      </c>
      <c r="BV36" s="15" t="str">
        <f>IFERROR(VLOOKUP($C36,[25]REKAP!$B$9:$E$200,4,0),"")</f>
        <v/>
      </c>
      <c r="BW36" s="15" t="str">
        <f>IFERROR(VLOOKUP($C36,[25]REKAP!$B$9:$G$200,6,0),"")</f>
        <v/>
      </c>
      <c r="BX36" s="15" t="str">
        <f>IFERROR(VLOOKUP($C36,[26]REKAP!$B$9:$D$200,3,0),"")</f>
        <v/>
      </c>
      <c r="BY36" s="15" t="str">
        <f>IFERROR(VLOOKUP($C36,[26]REKAP!$B$9:$E$200,4,0),"")</f>
        <v/>
      </c>
      <c r="BZ36" s="15" t="str">
        <f>IFERROR(VLOOKUP($C36,[26]REKAP!$B$9:$G$200,6,0),"")</f>
        <v/>
      </c>
      <c r="CA36" s="15" t="str">
        <f>IFERROR(VLOOKUP($C36,[27]REKAP!$B$9:$D$200,3,0),"")</f>
        <v/>
      </c>
      <c r="CB36" s="15" t="str">
        <f>IFERROR(VLOOKUP($C36,[27]REKAP!$B$9:$E$200,4,0),"")</f>
        <v/>
      </c>
      <c r="CC36" s="15" t="str">
        <f>IFERROR(VLOOKUP($C36,[27]REKAP!$B$9:$G$200,6,0),"")</f>
        <v/>
      </c>
      <c r="CD36" s="15" t="str">
        <f>IFERROR(VLOOKUP($C36,[28]REKAP!$B$9:$D$200,3,0),"")</f>
        <v/>
      </c>
      <c r="CE36" s="15" t="str">
        <f>IFERROR(VLOOKUP($C36,[28]REKAP!$B$9:$E$200,4,0),"")</f>
        <v/>
      </c>
      <c r="CF36" s="15" t="str">
        <f>IFERROR(VLOOKUP($C36,[28]REKAP!$B$9:$G$200,6,0),"")</f>
        <v/>
      </c>
      <c r="CG36" s="15" t="str">
        <f>IFERROR(VLOOKUP($C36,[29]REKAP!$B$9:$D$200,3,0),"")</f>
        <v/>
      </c>
      <c r="CH36" s="15" t="str">
        <f>IFERROR(VLOOKUP($C36,[29]REKAP!$B$9:$E$200,4,0),"")</f>
        <v/>
      </c>
      <c r="CI36" s="15" t="str">
        <f>IFERROR(VLOOKUP($C36,[29]REKAP!$B$9:$G$200,6,0),"")</f>
        <v/>
      </c>
      <c r="CJ36" s="15" t="str">
        <f>IFERROR(VLOOKUP($C36,[30]REKAP!$B$9:$D$200,3,0),"")</f>
        <v/>
      </c>
      <c r="CK36" s="15" t="str">
        <f>IFERROR(VLOOKUP($C36,[30]REKAP!$B$9:$E$200,4,0),"")</f>
        <v/>
      </c>
      <c r="CL36" s="15" t="str">
        <f>IFERROR(VLOOKUP($C36,[30]REKAP!$B$9:$G$200,6,0),"")</f>
        <v/>
      </c>
      <c r="CM36" s="15" t="str">
        <f>IFERROR(VLOOKUP($C36,[31]REKAP!$B$9:$D$200,3,0),"")</f>
        <v/>
      </c>
      <c r="CN36" s="15" t="str">
        <f>IFERROR(VLOOKUP($C36,[31]REKAP!$B$9:$E$200,4,0),"")</f>
        <v/>
      </c>
      <c r="CO36" s="15" t="str">
        <f>IFERROR(VLOOKUP($C36,[31]REKAP!$B$9:$G$200,6,0),"")</f>
        <v/>
      </c>
      <c r="CP36" s="15" t="str">
        <f>IFERROR(VLOOKUP($C36,[32]REKAP!$B$9:$D$200,3,0),"")</f>
        <v/>
      </c>
      <c r="CQ36" s="15" t="str">
        <f>IFERROR(VLOOKUP($C36,[32]REKAP!$B$9:$E$200,4,0),"")</f>
        <v/>
      </c>
      <c r="CR36" s="15" t="str">
        <f>IFERROR(VLOOKUP($C36,[32]REKAP!$B$9:$G$200,6,0),"")</f>
        <v/>
      </c>
      <c r="CS36" s="15" t="str">
        <f>IFERROR(VLOOKUP($C36,[33]REKAP!$B$9:$D$200,3,0),"")</f>
        <v/>
      </c>
      <c r="CT36" s="15" t="str">
        <f>IFERROR(VLOOKUP($C36,[33]REKAP!$B$9:$E$200,4,0),"")</f>
        <v/>
      </c>
      <c r="CU36" s="15" t="str">
        <f>IFERROR(VLOOKUP($C36,[33]REKAP!$B$9:$G$200,6,0),"")</f>
        <v/>
      </c>
      <c r="CV36" s="15" t="str">
        <f>IFERROR(VLOOKUP($C36,[34]REKAP!$B$9:$D$200,3,0),"")</f>
        <v/>
      </c>
      <c r="CW36" s="15" t="str">
        <f>IFERROR(VLOOKUP($C36,[34]REKAP!$B$9:$E$200,4,0),"")</f>
        <v/>
      </c>
      <c r="CX36" s="15" t="str">
        <f>IFERROR(VLOOKUP($C36,[34]REKAP!$B$9:$G$200,6,0),"")</f>
        <v/>
      </c>
    </row>
    <row r="37" spans="3:102" x14ac:dyDescent="0.25">
      <c r="C37" s="7" t="s">
        <v>63</v>
      </c>
      <c r="D37" s="5" t="str">
        <f>IFERROR(VLOOKUP(C37,DBASE!$C$7:$D$207,2,0),"")</f>
        <v>BLASTER NEOPOLITAN</v>
      </c>
      <c r="E37" s="15">
        <f t="shared" si="1"/>
        <v>5</v>
      </c>
      <c r="F37" s="15">
        <f t="shared" si="1"/>
        <v>499880</v>
      </c>
      <c r="H37" s="15">
        <f t="shared" si="1"/>
        <v>12380.390000000043</v>
      </c>
      <c r="J37" s="15">
        <f>IFERROR(VLOOKUP($C37,[4]REKAP!$B$9:$D$200,3,0),"")</f>
        <v>0</v>
      </c>
      <c r="K37" s="15">
        <f>IFERROR(VLOOKUP($C37,[4]REKAP!$B$9:$E$200,4,0),"")</f>
        <v>0</v>
      </c>
      <c r="L37" s="15">
        <f>IFERROR(VLOOKUP($C37,[4]REKAP!$B$9:$G$200,6,0),"")</f>
        <v>0</v>
      </c>
      <c r="M37" s="15" t="str">
        <f>IFERROR(VLOOKUP($C37,[5]REKAP!$B$9:$D$200,3,0),"")</f>
        <v/>
      </c>
      <c r="N37" s="15" t="str">
        <f>IFERROR(VLOOKUP($C37,[5]REKAP!$B$9:$E$200,4,0),"")</f>
        <v/>
      </c>
      <c r="O37" s="15" t="str">
        <f>IFERROR(VLOOKUP($C37,[5]REKAP!$B$9:$G$200,6,0),"")</f>
        <v/>
      </c>
      <c r="P37" s="15" t="str">
        <f>IFERROR(VLOOKUP($C37,[6]REKAP!$B$9:$D$200,3,0),"")</f>
        <v/>
      </c>
      <c r="Q37" s="15" t="str">
        <f>IFERROR(VLOOKUP($C37,[6]REKAP!$B$9:$E$200,4,0),"")</f>
        <v/>
      </c>
      <c r="R37" s="15" t="str">
        <f>IFERROR(VLOOKUP($C37,[6]REKAP!$B$9:$G$200,6,0),"")</f>
        <v/>
      </c>
      <c r="S37" s="15">
        <f>IFERROR(VLOOKUP($C37,[7]REKAP!$B$9:$D$200,3,0),"")</f>
        <v>0</v>
      </c>
      <c r="T37" s="15">
        <f>IFERROR(VLOOKUP($C37,[7]REKAP!$B$9:$E$200,4,0),"")</f>
        <v>0</v>
      </c>
      <c r="U37" s="15">
        <f>IFERROR(VLOOKUP($C37,[7]REKAP!$B$9:$G$200,6,0),"")</f>
        <v>0</v>
      </c>
      <c r="V37" s="15">
        <f>IFERROR(VLOOKUP($C37,[8]REKAP!$B$9:$D$200,3,0),"")</f>
        <v>0</v>
      </c>
      <c r="W37" s="15">
        <f>IFERROR(VLOOKUP($C37,[8]REKAP!$B$9:$E$200,4,0),"")</f>
        <v>0</v>
      </c>
      <c r="X37" s="15">
        <f>IFERROR(VLOOKUP($C37,[8]REKAP!$B$9:$G$200,6,0),"")</f>
        <v>0</v>
      </c>
      <c r="Y37" s="15">
        <f>IFERROR(VLOOKUP($C37,[9]REKAP!$B$9:$D$200,3,0),"")</f>
        <v>1</v>
      </c>
      <c r="Z37" s="15">
        <f>IFERROR(VLOOKUP($C37,[9]REKAP!$B$9:$E$200,4,0),"")</f>
        <v>99000</v>
      </c>
      <c r="AA37" s="15">
        <f>IFERROR(VLOOKUP($C37,[9]REKAP!$B$9:$G$200,6,0),"")</f>
        <v>1500.0780000000086</v>
      </c>
      <c r="AB37" s="15">
        <f>IFERROR(VLOOKUP($C37,[10]REKAP!$B$9:$D$200,3,0),"")</f>
        <v>0</v>
      </c>
      <c r="AC37" s="15">
        <f>IFERROR(VLOOKUP($C37,[10]REKAP!$B$9:$E$200,4,0),"")</f>
        <v>0</v>
      </c>
      <c r="AD37" s="15">
        <f>IFERROR(VLOOKUP($C37,[10]REKAP!$B$9:$G$200,6,0),"")</f>
        <v>0</v>
      </c>
      <c r="AE37" s="15">
        <f>IFERROR(VLOOKUP($C37,[11]REKAP!$B$9:$D$199,3,0),"")</f>
        <v>1</v>
      </c>
      <c r="AF37" s="15">
        <f>IFERROR(VLOOKUP($C37,[11]REKAP!$B$9:$E$199,4,0),"")</f>
        <v>100000</v>
      </c>
      <c r="AG37" s="15">
        <f>IFERROR(VLOOKUP($C37,[11]REKAP!$B$9:$G$199,6,0),"")</f>
        <v>2500.0780000000086</v>
      </c>
      <c r="AH37" s="15">
        <f>IFERROR(VLOOKUP($C37,[12]REKAP!$B$9:$D$200,3,0),"")</f>
        <v>3</v>
      </c>
      <c r="AI37" s="15">
        <f>IFERROR(VLOOKUP($C37,[12]REKAP!$B$9:$E$200,4,0),"")</f>
        <v>300880</v>
      </c>
      <c r="AJ37" s="15">
        <f>IFERROR(VLOOKUP($C37,[12]REKAP!$B$9:$G$200,6,0),"")</f>
        <v>8380.2340000000258</v>
      </c>
      <c r="AK37" s="15">
        <f>IFERROR(VLOOKUP($C37,[13]REKAP!$B$9:$D$200,3,0),"")</f>
        <v>0</v>
      </c>
      <c r="AL37" s="15">
        <f>IFERROR(VLOOKUP($C37,[13]REKAP!$B$9:$E$200,4,0),"")</f>
        <v>0</v>
      </c>
      <c r="AM37" s="15">
        <f>IFERROR(VLOOKUP($C37,[13]REKAP!$B$9:$G$200,6,0),"")</f>
        <v>0</v>
      </c>
      <c r="AN37" s="15">
        <f>IFERROR(VLOOKUP($C37,[14]REKAP!$B$9:$D$200,3,0),"")</f>
        <v>0</v>
      </c>
      <c r="AO37" s="15">
        <f>IFERROR(VLOOKUP($C37,[14]REKAP!$B$9:$E$200,4,0),"")</f>
        <v>0</v>
      </c>
      <c r="AP37" s="15">
        <f>IFERROR(VLOOKUP($C37,[14]REKAP!$B$9:$G$200,6,0),"")</f>
        <v>0</v>
      </c>
      <c r="AQ37" s="15">
        <f>IFERROR(VLOOKUP($C37,[15]REKAP!$B$9:$D$200,3,0),"")</f>
        <v>0</v>
      </c>
      <c r="AR37" s="15">
        <f>IFERROR(VLOOKUP($C37,[15]REKAP!$B$9:$E$200,4,0),"")</f>
        <v>0</v>
      </c>
      <c r="AS37" s="15">
        <f>IFERROR(VLOOKUP($C37,[15]REKAP!$B$9:$G$200,6,0),"")</f>
        <v>0</v>
      </c>
      <c r="AT37" s="15">
        <f>IFERROR(VLOOKUP($C37,[16]REKAP!$B$9:$D$200,3,0),"")</f>
        <v>0</v>
      </c>
      <c r="AU37" s="15">
        <f>IFERROR(VLOOKUP($C37,[16]REKAP!$B$9:$E$200,4,0),"")</f>
        <v>0</v>
      </c>
      <c r="AV37" s="15">
        <f>IFERROR(VLOOKUP($C37,[16]REKAP!$B$9:$G$200,6,0),"")</f>
        <v>0</v>
      </c>
      <c r="AW37" s="15">
        <f>IFERROR(VLOOKUP($C37,[17]REKAP!$B$9:$D$200,3,0),"")</f>
        <v>0</v>
      </c>
      <c r="AX37" s="15">
        <f>IFERROR(VLOOKUP($C37,[17]REKAP!$B$9:$E$200,4,0),"")</f>
        <v>0</v>
      </c>
      <c r="AY37" s="15">
        <f>IFERROR(VLOOKUP($C37,[17]REKAP!$B$9:$G$200,6,0),"")</f>
        <v>0</v>
      </c>
      <c r="AZ37" s="15" t="str">
        <f>IFERROR(VLOOKUP($C37,[18]REKAP!$B$9:$D$200,3,0),"")</f>
        <v/>
      </c>
      <c r="BA37" s="15" t="str">
        <f>IFERROR(VLOOKUP($C37,[18]REKAP!$B$9:$E$200,4,0),"")</f>
        <v/>
      </c>
      <c r="BB37" s="15" t="str">
        <f>IFERROR(VLOOKUP($C37,[18]REKAP!$B$9:$G$200,6,0),"")</f>
        <v/>
      </c>
      <c r="BC37" s="15" t="str">
        <f>IFERROR(VLOOKUP($C37,[19]REKAP!$B$9:$D$200,3,0),"")</f>
        <v/>
      </c>
      <c r="BD37" s="15" t="str">
        <f>IFERROR(VLOOKUP($C37,[19]REKAP!$B$9:$E$200,4,0),"")</f>
        <v/>
      </c>
      <c r="BE37" s="15" t="str">
        <f>IFERROR(VLOOKUP($C37,[19]REKAP!$B$9:$G$200,6,0),"")</f>
        <v/>
      </c>
      <c r="BF37" s="15" t="str">
        <f>IFERROR(VLOOKUP($C37,[20]REKAP!$B$9:$D$200,3,0),"")</f>
        <v/>
      </c>
      <c r="BG37" s="15" t="str">
        <f>IFERROR(VLOOKUP($C37,[20]REKAP!$B$9:$E$200,4,0),"")</f>
        <v/>
      </c>
      <c r="BH37" s="15" t="str">
        <f>IFERROR(VLOOKUP($C37,[20]REKAP!$B$9:$G$200,6,0),"")</f>
        <v/>
      </c>
      <c r="BI37" s="15" t="str">
        <f>IFERROR(VLOOKUP($C37,[21]REKAP!$B$9:$D$200,3,0),"")</f>
        <v/>
      </c>
      <c r="BJ37" s="15" t="str">
        <f>IFERROR(VLOOKUP($C37,[21]REKAP!$B$9:$E$200,4,0),"")</f>
        <v/>
      </c>
      <c r="BK37" s="15" t="str">
        <f>IFERROR(VLOOKUP($C37,[21]REKAP!$B$9:$G$200,6,0),"")</f>
        <v/>
      </c>
      <c r="BL37" s="15" t="str">
        <f>IFERROR(VLOOKUP($C37,[22]REKAP!$B$9:$D$200,3,0),"")</f>
        <v/>
      </c>
      <c r="BM37" s="15" t="str">
        <f>IFERROR(VLOOKUP($C37,[22]REKAP!$B$9:$E$200,4,0),"")</f>
        <v/>
      </c>
      <c r="BN37" s="15" t="str">
        <f>IFERROR(VLOOKUP($C37,[22]REKAP!$B$9:$G$200,6,0),"")</f>
        <v/>
      </c>
      <c r="BO37" s="15" t="str">
        <f>IFERROR(VLOOKUP($C37,[23]REKAP!$B$9:$D$200,3,0),"")</f>
        <v/>
      </c>
      <c r="BP37" s="15" t="str">
        <f>IFERROR(VLOOKUP($C37,[23]REKAP!$B$9:$E$200,4,0),"")</f>
        <v/>
      </c>
      <c r="BQ37" s="15" t="str">
        <f>IFERROR(VLOOKUP($C37,[23]REKAP!$B$9:$G$200,6,0),"")</f>
        <v/>
      </c>
      <c r="BR37" s="15" t="str">
        <f>IFERROR(VLOOKUP($C37,[24]REKAP!$B$9:$D$200,3,0),"")</f>
        <v/>
      </c>
      <c r="BS37" s="15" t="str">
        <f>IFERROR(VLOOKUP($C37,[24]REKAP!$B$9:$E$200,4,0),"")</f>
        <v/>
      </c>
      <c r="BT37" s="15" t="str">
        <f>IFERROR(VLOOKUP($C37,[24]REKAP!$B$9:$G$200,6,0),"")</f>
        <v/>
      </c>
      <c r="BU37" s="15" t="str">
        <f>IFERROR(VLOOKUP($C37,[25]REKAP!$B$9:$D$200,3,0),"")</f>
        <v/>
      </c>
      <c r="BV37" s="15" t="str">
        <f>IFERROR(VLOOKUP($C37,[25]REKAP!$B$9:$E$200,4,0),"")</f>
        <v/>
      </c>
      <c r="BW37" s="15" t="str">
        <f>IFERROR(VLOOKUP($C37,[25]REKAP!$B$9:$G$200,6,0),"")</f>
        <v/>
      </c>
      <c r="BX37" s="15" t="str">
        <f>IFERROR(VLOOKUP($C37,[26]REKAP!$B$9:$D$200,3,0),"")</f>
        <v/>
      </c>
      <c r="BY37" s="15" t="str">
        <f>IFERROR(VLOOKUP($C37,[26]REKAP!$B$9:$E$200,4,0),"")</f>
        <v/>
      </c>
      <c r="BZ37" s="15" t="str">
        <f>IFERROR(VLOOKUP($C37,[26]REKAP!$B$9:$G$200,6,0),"")</f>
        <v/>
      </c>
      <c r="CA37" s="15" t="str">
        <f>IFERROR(VLOOKUP($C37,[27]REKAP!$B$9:$D$200,3,0),"")</f>
        <v/>
      </c>
      <c r="CB37" s="15" t="str">
        <f>IFERROR(VLOOKUP($C37,[27]REKAP!$B$9:$E$200,4,0),"")</f>
        <v/>
      </c>
      <c r="CC37" s="15" t="str">
        <f>IFERROR(VLOOKUP($C37,[27]REKAP!$B$9:$G$200,6,0),"")</f>
        <v/>
      </c>
      <c r="CD37" s="15" t="str">
        <f>IFERROR(VLOOKUP($C37,[28]REKAP!$B$9:$D$200,3,0),"")</f>
        <v/>
      </c>
      <c r="CE37" s="15" t="str">
        <f>IFERROR(VLOOKUP($C37,[28]REKAP!$B$9:$E$200,4,0),"")</f>
        <v/>
      </c>
      <c r="CF37" s="15" t="str">
        <f>IFERROR(VLOOKUP($C37,[28]REKAP!$B$9:$G$200,6,0),"")</f>
        <v/>
      </c>
      <c r="CG37" s="15" t="str">
        <f>IFERROR(VLOOKUP($C37,[29]REKAP!$B$9:$D$200,3,0),"")</f>
        <v/>
      </c>
      <c r="CH37" s="15" t="str">
        <f>IFERROR(VLOOKUP($C37,[29]REKAP!$B$9:$E$200,4,0),"")</f>
        <v/>
      </c>
      <c r="CI37" s="15" t="str">
        <f>IFERROR(VLOOKUP($C37,[29]REKAP!$B$9:$G$200,6,0),"")</f>
        <v/>
      </c>
      <c r="CJ37" s="15" t="str">
        <f>IFERROR(VLOOKUP($C37,[30]REKAP!$B$9:$D$200,3,0),"")</f>
        <v/>
      </c>
      <c r="CK37" s="15" t="str">
        <f>IFERROR(VLOOKUP($C37,[30]REKAP!$B$9:$E$200,4,0),"")</f>
        <v/>
      </c>
      <c r="CL37" s="15" t="str">
        <f>IFERROR(VLOOKUP($C37,[30]REKAP!$B$9:$G$200,6,0),"")</f>
        <v/>
      </c>
      <c r="CM37" s="15" t="str">
        <f>IFERROR(VLOOKUP($C37,[31]REKAP!$B$9:$D$200,3,0),"")</f>
        <v/>
      </c>
      <c r="CN37" s="15" t="str">
        <f>IFERROR(VLOOKUP($C37,[31]REKAP!$B$9:$E$200,4,0),"")</f>
        <v/>
      </c>
      <c r="CO37" s="15" t="str">
        <f>IFERROR(VLOOKUP($C37,[31]REKAP!$B$9:$G$200,6,0),"")</f>
        <v/>
      </c>
      <c r="CP37" s="15" t="str">
        <f>IFERROR(VLOOKUP($C37,[32]REKAP!$B$9:$D$200,3,0),"")</f>
        <v/>
      </c>
      <c r="CQ37" s="15" t="str">
        <f>IFERROR(VLOOKUP($C37,[32]REKAP!$B$9:$E$200,4,0),"")</f>
        <v/>
      </c>
      <c r="CR37" s="15" t="str">
        <f>IFERROR(VLOOKUP($C37,[32]REKAP!$B$9:$G$200,6,0),"")</f>
        <v/>
      </c>
      <c r="CS37" s="15" t="str">
        <f>IFERROR(VLOOKUP($C37,[33]REKAP!$B$9:$D$200,3,0),"")</f>
        <v/>
      </c>
      <c r="CT37" s="15" t="str">
        <f>IFERROR(VLOOKUP($C37,[33]REKAP!$B$9:$E$200,4,0),"")</f>
        <v/>
      </c>
      <c r="CU37" s="15" t="str">
        <f>IFERROR(VLOOKUP($C37,[33]REKAP!$B$9:$G$200,6,0),"")</f>
        <v/>
      </c>
      <c r="CV37" s="15" t="str">
        <f>IFERROR(VLOOKUP($C37,[34]REKAP!$B$9:$D$200,3,0),"")</f>
        <v/>
      </c>
      <c r="CW37" s="15" t="str">
        <f>IFERROR(VLOOKUP($C37,[34]REKAP!$B$9:$E$200,4,0),"")</f>
        <v/>
      </c>
      <c r="CX37" s="15" t="str">
        <f>IFERROR(VLOOKUP($C37,[34]REKAP!$B$9:$G$200,6,0),"")</f>
        <v/>
      </c>
    </row>
    <row r="38" spans="3:102" x14ac:dyDescent="0.25">
      <c r="C38" s="7" t="s">
        <v>64</v>
      </c>
      <c r="D38" s="5" t="str">
        <f>IFERROR(VLOOKUP(C38,DBASE!$C$7:$D$207,2,0),"")</f>
        <v>BLASTER POP FRUITFULL</v>
      </c>
      <c r="E38" s="15">
        <f t="shared" si="1"/>
        <v>11</v>
      </c>
      <c r="F38" s="15">
        <f t="shared" si="1"/>
        <v>500708.10749999998</v>
      </c>
      <c r="H38" s="15">
        <f t="shared" si="1"/>
        <v>12720.611166666706</v>
      </c>
      <c r="J38" s="15">
        <f>IFERROR(VLOOKUP($C38,[4]REKAP!$B$9:$D$200,3,0),"")</f>
        <v>0</v>
      </c>
      <c r="K38" s="15">
        <f>IFERROR(VLOOKUP($C38,[4]REKAP!$B$9:$E$200,4,0),"")</f>
        <v>0</v>
      </c>
      <c r="L38" s="15">
        <f>IFERROR(VLOOKUP($C38,[4]REKAP!$B$9:$G$200,6,0),"")</f>
        <v>0</v>
      </c>
      <c r="M38" s="15" t="str">
        <f>IFERROR(VLOOKUP($C38,[5]REKAP!$B$9:$D$200,3,0),"")</f>
        <v/>
      </c>
      <c r="N38" s="15" t="str">
        <f>IFERROR(VLOOKUP($C38,[5]REKAP!$B$9:$E$200,4,0),"")</f>
        <v/>
      </c>
      <c r="O38" s="15" t="str">
        <f>IFERROR(VLOOKUP($C38,[5]REKAP!$B$9:$G$200,6,0),"")</f>
        <v/>
      </c>
      <c r="P38" s="15" t="str">
        <f>IFERROR(VLOOKUP($C38,[6]REKAP!$B$9:$D$200,3,0),"")</f>
        <v/>
      </c>
      <c r="Q38" s="15" t="str">
        <f>IFERROR(VLOOKUP($C38,[6]REKAP!$B$9:$E$200,4,0),"")</f>
        <v/>
      </c>
      <c r="R38" s="15" t="str">
        <f>IFERROR(VLOOKUP($C38,[6]REKAP!$B$9:$G$200,6,0),"")</f>
        <v/>
      </c>
      <c r="S38" s="15">
        <f>IFERROR(VLOOKUP($C38,[7]REKAP!$B$9:$D$200,3,0),"")</f>
        <v>0</v>
      </c>
      <c r="T38" s="15">
        <f>IFERROR(VLOOKUP($C38,[7]REKAP!$B$9:$E$200,4,0),"")</f>
        <v>0</v>
      </c>
      <c r="U38" s="15">
        <f>IFERROR(VLOOKUP($C38,[7]REKAP!$B$9:$G$200,6,0),"")</f>
        <v>0</v>
      </c>
      <c r="V38" s="15">
        <f>IFERROR(VLOOKUP($C38,[8]REKAP!$B$9:$D$200,3,0),"")</f>
        <v>1</v>
      </c>
      <c r="W38" s="15">
        <f>IFERROR(VLOOKUP($C38,[8]REKAP!$B$9:$E$200,4,0),"")</f>
        <v>45500</v>
      </c>
      <c r="X38" s="15">
        <f>IFERROR(VLOOKUP($C38,[8]REKAP!$B$9:$G$200,6,0),"")</f>
        <v>1137.500333333337</v>
      </c>
      <c r="Y38" s="15">
        <f>IFERROR(VLOOKUP($C38,[9]REKAP!$B$9:$D$200,3,0),"")</f>
        <v>3</v>
      </c>
      <c r="Z38" s="15">
        <f>IFERROR(VLOOKUP($C38,[9]REKAP!$B$9:$E$200,4,0),"")</f>
        <v>136500</v>
      </c>
      <c r="AA38" s="15">
        <f>IFERROR(VLOOKUP($C38,[9]REKAP!$B$9:$G$200,6,0),"")</f>
        <v>3412.5010000000111</v>
      </c>
      <c r="AB38" s="15">
        <f>IFERROR(VLOOKUP($C38,[10]REKAP!$B$9:$D$200,3,0),"")</f>
        <v>1</v>
      </c>
      <c r="AC38" s="15">
        <f>IFERROR(VLOOKUP($C38,[10]REKAP!$B$9:$E$200,4,0),"")</f>
        <v>45000</v>
      </c>
      <c r="AD38" s="15">
        <f>IFERROR(VLOOKUP($C38,[10]REKAP!$B$9:$G$200,6,0),"")</f>
        <v>637.50033333333704</v>
      </c>
      <c r="AE38" s="15">
        <f>IFERROR(VLOOKUP($C38,[11]REKAP!$B$9:$D$199,3,0),"")</f>
        <v>2</v>
      </c>
      <c r="AF38" s="15">
        <f>IFERROR(VLOOKUP($C38,[11]REKAP!$B$9:$E$199,4,0),"")</f>
        <v>91000</v>
      </c>
      <c r="AG38" s="15">
        <f>IFERROR(VLOOKUP($C38,[11]REKAP!$B$9:$G$199,6,0),"")</f>
        <v>2275.0006666666741</v>
      </c>
      <c r="AH38" s="15">
        <f>IFERROR(VLOOKUP($C38,[12]REKAP!$B$9:$D$200,3,0),"")</f>
        <v>4</v>
      </c>
      <c r="AI38" s="15">
        <f>IFERROR(VLOOKUP($C38,[12]REKAP!$B$9:$E$200,4,0),"")</f>
        <v>182708.10749999998</v>
      </c>
      <c r="AJ38" s="15">
        <f>IFERROR(VLOOKUP($C38,[12]REKAP!$B$9:$G$200,6,0),"")</f>
        <v>5258.1088333333464</v>
      </c>
      <c r="AK38" s="15">
        <f>IFERROR(VLOOKUP($C38,[13]REKAP!$B$9:$D$200,3,0),"")</f>
        <v>0</v>
      </c>
      <c r="AL38" s="15">
        <f>IFERROR(VLOOKUP($C38,[13]REKAP!$B$9:$E$200,4,0),"")</f>
        <v>0</v>
      </c>
      <c r="AM38" s="15">
        <f>IFERROR(VLOOKUP($C38,[13]REKAP!$B$9:$G$200,6,0),"")</f>
        <v>0</v>
      </c>
      <c r="AN38" s="15">
        <f>IFERROR(VLOOKUP($C38,[14]REKAP!$B$9:$D$200,3,0),"")</f>
        <v>0</v>
      </c>
      <c r="AO38" s="15">
        <f>IFERROR(VLOOKUP($C38,[14]REKAP!$B$9:$E$200,4,0),"")</f>
        <v>0</v>
      </c>
      <c r="AP38" s="15">
        <f>IFERROR(VLOOKUP($C38,[14]REKAP!$B$9:$G$200,6,0),"")</f>
        <v>0</v>
      </c>
      <c r="AQ38" s="15">
        <f>IFERROR(VLOOKUP($C38,[15]REKAP!$B$9:$D$200,3,0),"")</f>
        <v>0</v>
      </c>
      <c r="AR38" s="15">
        <f>IFERROR(VLOOKUP($C38,[15]REKAP!$B$9:$E$200,4,0),"")</f>
        <v>0</v>
      </c>
      <c r="AS38" s="15">
        <f>IFERROR(VLOOKUP($C38,[15]REKAP!$B$9:$G$200,6,0),"")</f>
        <v>0</v>
      </c>
      <c r="AT38" s="15">
        <f>IFERROR(VLOOKUP($C38,[16]REKAP!$B$9:$D$200,3,0),"")</f>
        <v>0</v>
      </c>
      <c r="AU38" s="15">
        <f>IFERROR(VLOOKUP($C38,[16]REKAP!$B$9:$E$200,4,0),"")</f>
        <v>0</v>
      </c>
      <c r="AV38" s="15">
        <f>IFERROR(VLOOKUP($C38,[16]REKAP!$B$9:$G$200,6,0),"")</f>
        <v>0</v>
      </c>
      <c r="AW38" s="15">
        <f>IFERROR(VLOOKUP($C38,[17]REKAP!$B$9:$D$200,3,0),"")</f>
        <v>0</v>
      </c>
      <c r="AX38" s="15">
        <f>IFERROR(VLOOKUP($C38,[17]REKAP!$B$9:$E$200,4,0),"")</f>
        <v>0</v>
      </c>
      <c r="AY38" s="15">
        <f>IFERROR(VLOOKUP($C38,[17]REKAP!$B$9:$G$200,6,0),"")</f>
        <v>0</v>
      </c>
      <c r="AZ38" s="15" t="str">
        <f>IFERROR(VLOOKUP($C38,[18]REKAP!$B$9:$D$200,3,0),"")</f>
        <v/>
      </c>
      <c r="BA38" s="15" t="str">
        <f>IFERROR(VLOOKUP($C38,[18]REKAP!$B$9:$E$200,4,0),"")</f>
        <v/>
      </c>
      <c r="BB38" s="15" t="str">
        <f>IFERROR(VLOOKUP($C38,[18]REKAP!$B$9:$G$200,6,0),"")</f>
        <v/>
      </c>
      <c r="BC38" s="15" t="str">
        <f>IFERROR(VLOOKUP($C38,[19]REKAP!$B$9:$D$200,3,0),"")</f>
        <v/>
      </c>
      <c r="BD38" s="15" t="str">
        <f>IFERROR(VLOOKUP($C38,[19]REKAP!$B$9:$E$200,4,0),"")</f>
        <v/>
      </c>
      <c r="BE38" s="15" t="str">
        <f>IFERROR(VLOOKUP($C38,[19]REKAP!$B$9:$G$200,6,0),"")</f>
        <v/>
      </c>
      <c r="BF38" s="15" t="str">
        <f>IFERROR(VLOOKUP($C38,[20]REKAP!$B$9:$D$200,3,0),"")</f>
        <v/>
      </c>
      <c r="BG38" s="15" t="str">
        <f>IFERROR(VLOOKUP($C38,[20]REKAP!$B$9:$E$200,4,0),"")</f>
        <v/>
      </c>
      <c r="BH38" s="15" t="str">
        <f>IFERROR(VLOOKUP($C38,[20]REKAP!$B$9:$G$200,6,0),"")</f>
        <v/>
      </c>
      <c r="BI38" s="15" t="str">
        <f>IFERROR(VLOOKUP($C38,[21]REKAP!$B$9:$D$200,3,0),"")</f>
        <v/>
      </c>
      <c r="BJ38" s="15" t="str">
        <f>IFERROR(VLOOKUP($C38,[21]REKAP!$B$9:$E$200,4,0),"")</f>
        <v/>
      </c>
      <c r="BK38" s="15" t="str">
        <f>IFERROR(VLOOKUP($C38,[21]REKAP!$B$9:$G$200,6,0),"")</f>
        <v/>
      </c>
      <c r="BL38" s="15" t="str">
        <f>IFERROR(VLOOKUP($C38,[22]REKAP!$B$9:$D$200,3,0),"")</f>
        <v/>
      </c>
      <c r="BM38" s="15" t="str">
        <f>IFERROR(VLOOKUP($C38,[22]REKAP!$B$9:$E$200,4,0),"")</f>
        <v/>
      </c>
      <c r="BN38" s="15" t="str">
        <f>IFERROR(VLOOKUP($C38,[22]REKAP!$B$9:$G$200,6,0),"")</f>
        <v/>
      </c>
      <c r="BO38" s="15" t="str">
        <f>IFERROR(VLOOKUP($C38,[23]REKAP!$B$9:$D$200,3,0),"")</f>
        <v/>
      </c>
      <c r="BP38" s="15" t="str">
        <f>IFERROR(VLOOKUP($C38,[23]REKAP!$B$9:$E$200,4,0),"")</f>
        <v/>
      </c>
      <c r="BQ38" s="15" t="str">
        <f>IFERROR(VLOOKUP($C38,[23]REKAP!$B$9:$G$200,6,0),"")</f>
        <v/>
      </c>
      <c r="BR38" s="15" t="str">
        <f>IFERROR(VLOOKUP($C38,[24]REKAP!$B$9:$D$200,3,0),"")</f>
        <v/>
      </c>
      <c r="BS38" s="15" t="str">
        <f>IFERROR(VLOOKUP($C38,[24]REKAP!$B$9:$E$200,4,0),"")</f>
        <v/>
      </c>
      <c r="BT38" s="15" t="str">
        <f>IFERROR(VLOOKUP($C38,[24]REKAP!$B$9:$G$200,6,0),"")</f>
        <v/>
      </c>
      <c r="BU38" s="15" t="str">
        <f>IFERROR(VLOOKUP($C38,[25]REKAP!$B$9:$D$200,3,0),"")</f>
        <v/>
      </c>
      <c r="BV38" s="15" t="str">
        <f>IFERROR(VLOOKUP($C38,[25]REKAP!$B$9:$E$200,4,0),"")</f>
        <v/>
      </c>
      <c r="BW38" s="15" t="str">
        <f>IFERROR(VLOOKUP($C38,[25]REKAP!$B$9:$G$200,6,0),"")</f>
        <v/>
      </c>
      <c r="BX38" s="15" t="str">
        <f>IFERROR(VLOOKUP($C38,[26]REKAP!$B$9:$D$200,3,0),"")</f>
        <v/>
      </c>
      <c r="BY38" s="15" t="str">
        <f>IFERROR(VLOOKUP($C38,[26]REKAP!$B$9:$E$200,4,0),"")</f>
        <v/>
      </c>
      <c r="BZ38" s="15" t="str">
        <f>IFERROR(VLOOKUP($C38,[26]REKAP!$B$9:$G$200,6,0),"")</f>
        <v/>
      </c>
      <c r="CA38" s="15" t="str">
        <f>IFERROR(VLOOKUP($C38,[27]REKAP!$B$9:$D$200,3,0),"")</f>
        <v/>
      </c>
      <c r="CB38" s="15" t="str">
        <f>IFERROR(VLOOKUP($C38,[27]REKAP!$B$9:$E$200,4,0),"")</f>
        <v/>
      </c>
      <c r="CC38" s="15" t="str">
        <f>IFERROR(VLOOKUP($C38,[27]REKAP!$B$9:$G$200,6,0),"")</f>
        <v/>
      </c>
      <c r="CD38" s="15" t="str">
        <f>IFERROR(VLOOKUP($C38,[28]REKAP!$B$9:$D$200,3,0),"")</f>
        <v/>
      </c>
      <c r="CE38" s="15" t="str">
        <f>IFERROR(VLOOKUP($C38,[28]REKAP!$B$9:$E$200,4,0),"")</f>
        <v/>
      </c>
      <c r="CF38" s="15" t="str">
        <f>IFERROR(VLOOKUP($C38,[28]REKAP!$B$9:$G$200,6,0),"")</f>
        <v/>
      </c>
      <c r="CG38" s="15" t="str">
        <f>IFERROR(VLOOKUP($C38,[29]REKAP!$B$9:$D$200,3,0),"")</f>
        <v/>
      </c>
      <c r="CH38" s="15" t="str">
        <f>IFERROR(VLOOKUP($C38,[29]REKAP!$B$9:$E$200,4,0),"")</f>
        <v/>
      </c>
      <c r="CI38" s="15" t="str">
        <f>IFERROR(VLOOKUP($C38,[29]REKAP!$B$9:$G$200,6,0),"")</f>
        <v/>
      </c>
      <c r="CJ38" s="15" t="str">
        <f>IFERROR(VLOOKUP($C38,[30]REKAP!$B$9:$D$200,3,0),"")</f>
        <v/>
      </c>
      <c r="CK38" s="15" t="str">
        <f>IFERROR(VLOOKUP($C38,[30]REKAP!$B$9:$E$200,4,0),"")</f>
        <v/>
      </c>
      <c r="CL38" s="15" t="str">
        <f>IFERROR(VLOOKUP($C38,[30]REKAP!$B$9:$G$200,6,0),"")</f>
        <v/>
      </c>
      <c r="CM38" s="15" t="str">
        <f>IFERROR(VLOOKUP($C38,[31]REKAP!$B$9:$D$200,3,0),"")</f>
        <v/>
      </c>
      <c r="CN38" s="15" t="str">
        <f>IFERROR(VLOOKUP($C38,[31]REKAP!$B$9:$E$200,4,0),"")</f>
        <v/>
      </c>
      <c r="CO38" s="15" t="str">
        <f>IFERROR(VLOOKUP($C38,[31]REKAP!$B$9:$G$200,6,0),"")</f>
        <v/>
      </c>
      <c r="CP38" s="15" t="str">
        <f>IFERROR(VLOOKUP($C38,[32]REKAP!$B$9:$D$200,3,0),"")</f>
        <v/>
      </c>
      <c r="CQ38" s="15" t="str">
        <f>IFERROR(VLOOKUP($C38,[32]REKAP!$B$9:$E$200,4,0),"")</f>
        <v/>
      </c>
      <c r="CR38" s="15" t="str">
        <f>IFERROR(VLOOKUP($C38,[32]REKAP!$B$9:$G$200,6,0),"")</f>
        <v/>
      </c>
      <c r="CS38" s="15" t="str">
        <f>IFERROR(VLOOKUP($C38,[33]REKAP!$B$9:$D$200,3,0),"")</f>
        <v/>
      </c>
      <c r="CT38" s="15" t="str">
        <f>IFERROR(VLOOKUP($C38,[33]REKAP!$B$9:$E$200,4,0),"")</f>
        <v/>
      </c>
      <c r="CU38" s="15" t="str">
        <f>IFERROR(VLOOKUP($C38,[33]REKAP!$B$9:$G$200,6,0),"")</f>
        <v/>
      </c>
      <c r="CV38" s="15" t="str">
        <f>IFERROR(VLOOKUP($C38,[34]REKAP!$B$9:$D$200,3,0),"")</f>
        <v/>
      </c>
      <c r="CW38" s="15" t="str">
        <f>IFERROR(VLOOKUP($C38,[34]REKAP!$B$9:$E$200,4,0),"")</f>
        <v/>
      </c>
      <c r="CX38" s="15" t="str">
        <f>IFERROR(VLOOKUP($C38,[34]REKAP!$B$9:$G$200,6,0),"")</f>
        <v/>
      </c>
    </row>
    <row r="39" spans="3:102" x14ac:dyDescent="0.25">
      <c r="C39" s="7" t="s">
        <v>54</v>
      </c>
      <c r="D39" s="5" t="str">
        <f>IFERROR(VLOOKUP(C39,DBASE!$C$7:$D$207,2,0),"")</f>
        <v>WAFER TANGGO LONG COKLAT 8GR</v>
      </c>
      <c r="E39" s="15">
        <f t="shared" si="1"/>
        <v>7.5</v>
      </c>
      <c r="F39" s="15">
        <f t="shared" si="1"/>
        <v>578200</v>
      </c>
      <c r="H39" s="15">
        <f t="shared" si="1"/>
        <v>13675</v>
      </c>
      <c r="J39" s="15">
        <f>IFERROR(VLOOKUP($C39,[4]REKAP!$B$9:$D$200,3,0),"")</f>
        <v>0</v>
      </c>
      <c r="K39" s="15">
        <f>IFERROR(VLOOKUP($C39,[4]REKAP!$B$9:$E$200,4,0),"")</f>
        <v>0</v>
      </c>
      <c r="L39" s="15">
        <f>IFERROR(VLOOKUP($C39,[4]REKAP!$B$9:$G$200,6,0),"")</f>
        <v>0</v>
      </c>
      <c r="M39" s="15" t="str">
        <f>IFERROR(VLOOKUP($C39,[5]REKAP!$B$9:$D$200,3,0),"")</f>
        <v/>
      </c>
      <c r="N39" s="15" t="str">
        <f>IFERROR(VLOOKUP($C39,[5]REKAP!$B$9:$E$200,4,0),"")</f>
        <v/>
      </c>
      <c r="O39" s="15" t="str">
        <f>IFERROR(VLOOKUP($C39,[5]REKAP!$B$9:$G$200,6,0),"")</f>
        <v/>
      </c>
      <c r="P39" s="15" t="str">
        <f>IFERROR(VLOOKUP($C39,[6]REKAP!$B$9:$D$200,3,0),"")</f>
        <v/>
      </c>
      <c r="Q39" s="15" t="str">
        <f>IFERROR(VLOOKUP($C39,[6]REKAP!$B$9:$E$200,4,0),"")</f>
        <v/>
      </c>
      <c r="R39" s="15" t="str">
        <f>IFERROR(VLOOKUP($C39,[6]REKAP!$B$9:$G$200,6,0),"")</f>
        <v/>
      </c>
      <c r="S39" s="15">
        <f>IFERROR(VLOOKUP($C39,[7]REKAP!$B$9:$D$200,3,0),"")</f>
        <v>1</v>
      </c>
      <c r="T39" s="15">
        <f>IFERROR(VLOOKUP($C39,[7]REKAP!$B$9:$E$200,4,0),"")</f>
        <v>77000</v>
      </c>
      <c r="U39" s="15">
        <f>IFERROR(VLOOKUP($C39,[7]REKAP!$B$9:$G$200,6,0),"")</f>
        <v>1730</v>
      </c>
      <c r="V39" s="15">
        <f>IFERROR(VLOOKUP($C39,[8]REKAP!$B$9:$D$200,3,0),"")</f>
        <v>2</v>
      </c>
      <c r="W39" s="15">
        <f>IFERROR(VLOOKUP($C39,[8]REKAP!$B$9:$E$200,4,0),"")</f>
        <v>154000</v>
      </c>
      <c r="X39" s="15">
        <f>IFERROR(VLOOKUP($C39,[8]REKAP!$B$9:$G$200,6,0),"")</f>
        <v>3460</v>
      </c>
      <c r="Y39" s="15">
        <f>IFERROR(VLOOKUP($C39,[9]REKAP!$B$9:$D$200,3,0),"")</f>
        <v>2</v>
      </c>
      <c r="Z39" s="15">
        <f>IFERROR(VLOOKUP($C39,[9]REKAP!$B$9:$E$200,4,0),"")</f>
        <v>154000</v>
      </c>
      <c r="AA39" s="15">
        <f>IFERROR(VLOOKUP($C39,[9]REKAP!$B$9:$G$200,6,0),"")</f>
        <v>3460</v>
      </c>
      <c r="AB39" s="15">
        <f>IFERROR(VLOOKUP($C39,[10]REKAP!$B$9:$D$200,3,0),"")</f>
        <v>0</v>
      </c>
      <c r="AC39" s="15">
        <f>IFERROR(VLOOKUP($C39,[10]REKAP!$B$9:$E$200,4,0),"")</f>
        <v>0</v>
      </c>
      <c r="AD39" s="15">
        <f>IFERROR(VLOOKUP($C39,[10]REKAP!$B$9:$G$200,6,0),"")</f>
        <v>0</v>
      </c>
      <c r="AE39" s="15">
        <f>IFERROR(VLOOKUP($C39,[11]REKAP!$B$9:$D$199,3,0),"")</f>
        <v>2</v>
      </c>
      <c r="AF39" s="15">
        <f>IFERROR(VLOOKUP($C39,[11]REKAP!$B$9:$E$199,4,0),"")</f>
        <v>154000</v>
      </c>
      <c r="AG39" s="15">
        <f>IFERROR(VLOOKUP($C39,[11]REKAP!$B$9:$G$199,6,0),"")</f>
        <v>3460</v>
      </c>
      <c r="AH39" s="15">
        <f>IFERROR(VLOOKUP($C39,[12]REKAP!$B$9:$D$200,3,0),"")</f>
        <v>0.5</v>
      </c>
      <c r="AI39" s="15">
        <f>IFERROR(VLOOKUP($C39,[12]REKAP!$B$9:$E$200,4,0),"")</f>
        <v>39200</v>
      </c>
      <c r="AJ39" s="15">
        <f>IFERROR(VLOOKUP($C39,[12]REKAP!$B$9:$G$200,6,0),"")</f>
        <v>1565</v>
      </c>
      <c r="AK39" s="15">
        <f>IFERROR(VLOOKUP($C39,[13]REKAP!$B$9:$D$200,3,0),"")</f>
        <v>0</v>
      </c>
      <c r="AL39" s="15">
        <f>IFERROR(VLOOKUP($C39,[13]REKAP!$B$9:$E$200,4,0),"")</f>
        <v>0</v>
      </c>
      <c r="AM39" s="15">
        <f>IFERROR(VLOOKUP($C39,[13]REKAP!$B$9:$G$200,6,0),"")</f>
        <v>0</v>
      </c>
      <c r="AN39" s="15">
        <f>IFERROR(VLOOKUP($C39,[14]REKAP!$B$9:$D$200,3,0),"")</f>
        <v>0</v>
      </c>
      <c r="AO39" s="15">
        <f>IFERROR(VLOOKUP($C39,[14]REKAP!$B$9:$E$200,4,0),"")</f>
        <v>0</v>
      </c>
      <c r="AP39" s="15">
        <f>IFERROR(VLOOKUP($C39,[14]REKAP!$B$9:$G$200,6,0),"")</f>
        <v>0</v>
      </c>
      <c r="AQ39" s="15">
        <f>IFERROR(VLOOKUP($C39,[15]REKAP!$B$9:$D$200,3,0),"")</f>
        <v>0</v>
      </c>
      <c r="AR39" s="15">
        <f>IFERROR(VLOOKUP($C39,[15]REKAP!$B$9:$E$200,4,0),"")</f>
        <v>0</v>
      </c>
      <c r="AS39" s="15">
        <f>IFERROR(VLOOKUP($C39,[15]REKAP!$B$9:$G$200,6,0),"")</f>
        <v>0</v>
      </c>
      <c r="AT39" s="15">
        <f>IFERROR(VLOOKUP($C39,[16]REKAP!$B$9:$D$200,3,0),"")</f>
        <v>0</v>
      </c>
      <c r="AU39" s="15">
        <f>IFERROR(VLOOKUP($C39,[16]REKAP!$B$9:$E$200,4,0),"")</f>
        <v>0</v>
      </c>
      <c r="AV39" s="15">
        <f>IFERROR(VLOOKUP($C39,[16]REKAP!$B$9:$G$200,6,0),"")</f>
        <v>0</v>
      </c>
      <c r="AW39" s="15">
        <f>IFERROR(VLOOKUP($C39,[17]REKAP!$B$9:$D$200,3,0),"")</f>
        <v>0</v>
      </c>
      <c r="AX39" s="15">
        <f>IFERROR(VLOOKUP($C39,[17]REKAP!$B$9:$E$200,4,0),"")</f>
        <v>0</v>
      </c>
      <c r="AY39" s="15">
        <f>IFERROR(VLOOKUP($C39,[17]REKAP!$B$9:$G$200,6,0),"")</f>
        <v>0</v>
      </c>
      <c r="AZ39" s="15" t="str">
        <f>IFERROR(VLOOKUP($C39,[18]REKAP!$B$9:$D$200,3,0),"")</f>
        <v/>
      </c>
      <c r="BA39" s="15" t="str">
        <f>IFERROR(VLOOKUP($C39,[18]REKAP!$B$9:$E$200,4,0),"")</f>
        <v/>
      </c>
      <c r="BB39" s="15" t="str">
        <f>IFERROR(VLOOKUP($C39,[18]REKAP!$B$9:$G$200,6,0),"")</f>
        <v/>
      </c>
      <c r="BC39" s="15" t="str">
        <f>IFERROR(VLOOKUP($C39,[19]REKAP!$B$9:$D$200,3,0),"")</f>
        <v/>
      </c>
      <c r="BD39" s="15" t="str">
        <f>IFERROR(VLOOKUP($C39,[19]REKAP!$B$9:$E$200,4,0),"")</f>
        <v/>
      </c>
      <c r="BE39" s="15" t="str">
        <f>IFERROR(VLOOKUP($C39,[19]REKAP!$B$9:$G$200,6,0),"")</f>
        <v/>
      </c>
      <c r="BF39" s="15" t="str">
        <f>IFERROR(VLOOKUP($C39,[20]REKAP!$B$9:$D$200,3,0),"")</f>
        <v/>
      </c>
      <c r="BG39" s="15" t="str">
        <f>IFERROR(VLOOKUP($C39,[20]REKAP!$B$9:$E$200,4,0),"")</f>
        <v/>
      </c>
      <c r="BH39" s="15" t="str">
        <f>IFERROR(VLOOKUP($C39,[20]REKAP!$B$9:$G$200,6,0),"")</f>
        <v/>
      </c>
      <c r="BI39" s="15" t="str">
        <f>IFERROR(VLOOKUP($C39,[21]REKAP!$B$9:$D$200,3,0),"")</f>
        <v/>
      </c>
      <c r="BJ39" s="15" t="str">
        <f>IFERROR(VLOOKUP($C39,[21]REKAP!$B$9:$E$200,4,0),"")</f>
        <v/>
      </c>
      <c r="BK39" s="15" t="str">
        <f>IFERROR(VLOOKUP($C39,[21]REKAP!$B$9:$G$200,6,0),"")</f>
        <v/>
      </c>
      <c r="BL39" s="15" t="str">
        <f>IFERROR(VLOOKUP($C39,[22]REKAP!$B$9:$D$200,3,0),"")</f>
        <v/>
      </c>
      <c r="BM39" s="15" t="str">
        <f>IFERROR(VLOOKUP($C39,[22]REKAP!$B$9:$E$200,4,0),"")</f>
        <v/>
      </c>
      <c r="BN39" s="15" t="str">
        <f>IFERROR(VLOOKUP($C39,[22]REKAP!$B$9:$G$200,6,0),"")</f>
        <v/>
      </c>
      <c r="BO39" s="15" t="str">
        <f>IFERROR(VLOOKUP($C39,[23]REKAP!$B$9:$D$200,3,0),"")</f>
        <v/>
      </c>
      <c r="BP39" s="15" t="str">
        <f>IFERROR(VLOOKUP($C39,[23]REKAP!$B$9:$E$200,4,0),"")</f>
        <v/>
      </c>
      <c r="BQ39" s="15" t="str">
        <f>IFERROR(VLOOKUP($C39,[23]REKAP!$B$9:$G$200,6,0),"")</f>
        <v/>
      </c>
      <c r="BR39" s="15" t="str">
        <f>IFERROR(VLOOKUP($C39,[24]REKAP!$B$9:$D$200,3,0),"")</f>
        <v/>
      </c>
      <c r="BS39" s="15" t="str">
        <f>IFERROR(VLOOKUP($C39,[24]REKAP!$B$9:$E$200,4,0),"")</f>
        <v/>
      </c>
      <c r="BT39" s="15" t="str">
        <f>IFERROR(VLOOKUP($C39,[24]REKAP!$B$9:$G$200,6,0),"")</f>
        <v/>
      </c>
      <c r="BU39" s="15" t="str">
        <f>IFERROR(VLOOKUP($C39,[25]REKAP!$B$9:$D$200,3,0),"")</f>
        <v/>
      </c>
      <c r="BV39" s="15" t="str">
        <f>IFERROR(VLOOKUP($C39,[25]REKAP!$B$9:$E$200,4,0),"")</f>
        <v/>
      </c>
      <c r="BW39" s="15" t="str">
        <f>IFERROR(VLOOKUP($C39,[25]REKAP!$B$9:$G$200,6,0),"")</f>
        <v/>
      </c>
      <c r="BX39" s="15" t="str">
        <f>IFERROR(VLOOKUP($C39,[26]REKAP!$B$9:$D$200,3,0),"")</f>
        <v/>
      </c>
      <c r="BY39" s="15" t="str">
        <f>IFERROR(VLOOKUP($C39,[26]REKAP!$B$9:$E$200,4,0),"")</f>
        <v/>
      </c>
      <c r="BZ39" s="15" t="str">
        <f>IFERROR(VLOOKUP($C39,[26]REKAP!$B$9:$G$200,6,0),"")</f>
        <v/>
      </c>
      <c r="CA39" s="15" t="str">
        <f>IFERROR(VLOOKUP($C39,[27]REKAP!$B$9:$D$200,3,0),"")</f>
        <v/>
      </c>
      <c r="CB39" s="15" t="str">
        <f>IFERROR(VLOOKUP($C39,[27]REKAP!$B$9:$E$200,4,0),"")</f>
        <v/>
      </c>
      <c r="CC39" s="15" t="str">
        <f>IFERROR(VLOOKUP($C39,[27]REKAP!$B$9:$G$200,6,0),"")</f>
        <v/>
      </c>
      <c r="CD39" s="15" t="str">
        <f>IFERROR(VLOOKUP($C39,[28]REKAP!$B$9:$D$200,3,0),"")</f>
        <v/>
      </c>
      <c r="CE39" s="15" t="str">
        <f>IFERROR(VLOOKUP($C39,[28]REKAP!$B$9:$E$200,4,0),"")</f>
        <v/>
      </c>
      <c r="CF39" s="15" t="str">
        <f>IFERROR(VLOOKUP($C39,[28]REKAP!$B$9:$G$200,6,0),"")</f>
        <v/>
      </c>
      <c r="CG39" s="15" t="str">
        <f>IFERROR(VLOOKUP($C39,[29]REKAP!$B$9:$D$200,3,0),"")</f>
        <v/>
      </c>
      <c r="CH39" s="15" t="str">
        <f>IFERROR(VLOOKUP($C39,[29]REKAP!$B$9:$E$200,4,0),"")</f>
        <v/>
      </c>
      <c r="CI39" s="15" t="str">
        <f>IFERROR(VLOOKUP($C39,[29]REKAP!$B$9:$G$200,6,0),"")</f>
        <v/>
      </c>
      <c r="CJ39" s="15" t="str">
        <f>IFERROR(VLOOKUP($C39,[30]REKAP!$B$9:$D$200,3,0),"")</f>
        <v/>
      </c>
      <c r="CK39" s="15" t="str">
        <f>IFERROR(VLOOKUP($C39,[30]REKAP!$B$9:$E$200,4,0),"")</f>
        <v/>
      </c>
      <c r="CL39" s="15" t="str">
        <f>IFERROR(VLOOKUP($C39,[30]REKAP!$B$9:$G$200,6,0),"")</f>
        <v/>
      </c>
      <c r="CM39" s="15" t="str">
        <f>IFERROR(VLOOKUP($C39,[31]REKAP!$B$9:$D$200,3,0),"")</f>
        <v/>
      </c>
      <c r="CN39" s="15" t="str">
        <f>IFERROR(VLOOKUP($C39,[31]REKAP!$B$9:$E$200,4,0),"")</f>
        <v/>
      </c>
      <c r="CO39" s="15" t="str">
        <f>IFERROR(VLOOKUP($C39,[31]REKAP!$B$9:$G$200,6,0),"")</f>
        <v/>
      </c>
      <c r="CP39" s="15" t="str">
        <f>IFERROR(VLOOKUP($C39,[32]REKAP!$B$9:$D$200,3,0),"")</f>
        <v/>
      </c>
      <c r="CQ39" s="15" t="str">
        <f>IFERROR(VLOOKUP($C39,[32]REKAP!$B$9:$E$200,4,0),"")</f>
        <v/>
      </c>
      <c r="CR39" s="15" t="str">
        <f>IFERROR(VLOOKUP($C39,[32]REKAP!$B$9:$G$200,6,0),"")</f>
        <v/>
      </c>
      <c r="CS39" s="15" t="str">
        <f>IFERROR(VLOOKUP($C39,[33]REKAP!$B$9:$D$200,3,0),"")</f>
        <v/>
      </c>
      <c r="CT39" s="15" t="str">
        <f>IFERROR(VLOOKUP($C39,[33]REKAP!$B$9:$E$200,4,0),"")</f>
        <v/>
      </c>
      <c r="CU39" s="15" t="str">
        <f>IFERROR(VLOOKUP($C39,[33]REKAP!$B$9:$G$200,6,0),"")</f>
        <v/>
      </c>
      <c r="CV39" s="15" t="str">
        <f>IFERROR(VLOOKUP($C39,[34]REKAP!$B$9:$D$200,3,0),"")</f>
        <v/>
      </c>
      <c r="CW39" s="15" t="str">
        <f>IFERROR(VLOOKUP($C39,[34]REKAP!$B$9:$E$200,4,0),"")</f>
        <v/>
      </c>
      <c r="CX39" s="15" t="str">
        <f>IFERROR(VLOOKUP($C39,[34]REKAP!$B$9:$G$200,6,0),"")</f>
        <v/>
      </c>
    </row>
    <row r="40" spans="3:102" x14ac:dyDescent="0.25">
      <c r="C40" s="7" t="s">
        <v>55</v>
      </c>
      <c r="D40" s="5" t="str">
        <f>IFERROR(VLOOKUP(C40,DBASE!$C$7:$D$207,2,0),"")</f>
        <v>WAFER TANGGO LONG VANILA 8GR</v>
      </c>
      <c r="E40" s="15">
        <f t="shared" si="1"/>
        <v>8</v>
      </c>
      <c r="F40" s="15">
        <f t="shared" si="1"/>
        <v>616000</v>
      </c>
      <c r="H40" s="15">
        <f t="shared" si="1"/>
        <v>13840</v>
      </c>
      <c r="J40" s="15">
        <f>IFERROR(VLOOKUP($C40,[4]REKAP!$B$9:$D$200,3,0),"")</f>
        <v>0</v>
      </c>
      <c r="K40" s="15">
        <f>IFERROR(VLOOKUP($C40,[4]REKAP!$B$9:$E$200,4,0),"")</f>
        <v>0</v>
      </c>
      <c r="L40" s="15">
        <f>IFERROR(VLOOKUP($C40,[4]REKAP!$B$9:$G$200,6,0),"")</f>
        <v>0</v>
      </c>
      <c r="M40" s="15" t="str">
        <f>IFERROR(VLOOKUP($C40,[5]REKAP!$B$9:$D$200,3,0),"")</f>
        <v/>
      </c>
      <c r="N40" s="15" t="str">
        <f>IFERROR(VLOOKUP($C40,[5]REKAP!$B$9:$E$200,4,0),"")</f>
        <v/>
      </c>
      <c r="O40" s="15" t="str">
        <f>IFERROR(VLOOKUP($C40,[5]REKAP!$B$9:$G$200,6,0),"")</f>
        <v/>
      </c>
      <c r="P40" s="15" t="str">
        <f>IFERROR(VLOOKUP($C40,[6]REKAP!$B$9:$D$200,3,0),"")</f>
        <v/>
      </c>
      <c r="Q40" s="15" t="str">
        <f>IFERROR(VLOOKUP($C40,[6]REKAP!$B$9:$E$200,4,0),"")</f>
        <v/>
      </c>
      <c r="R40" s="15" t="str">
        <f>IFERROR(VLOOKUP($C40,[6]REKAP!$B$9:$G$200,6,0),"")</f>
        <v/>
      </c>
      <c r="S40" s="15">
        <f>IFERROR(VLOOKUP($C40,[7]REKAP!$B$9:$D$200,3,0),"")</f>
        <v>2</v>
      </c>
      <c r="T40" s="15">
        <f>IFERROR(VLOOKUP($C40,[7]REKAP!$B$9:$E$200,4,0),"")</f>
        <v>154000</v>
      </c>
      <c r="U40" s="15">
        <f>IFERROR(VLOOKUP($C40,[7]REKAP!$B$9:$G$200,6,0),"")</f>
        <v>3460</v>
      </c>
      <c r="V40" s="15">
        <f>IFERROR(VLOOKUP($C40,[8]REKAP!$B$9:$D$200,3,0),"")</f>
        <v>2</v>
      </c>
      <c r="W40" s="15">
        <f>IFERROR(VLOOKUP($C40,[8]REKAP!$B$9:$E$200,4,0),"")</f>
        <v>154000</v>
      </c>
      <c r="X40" s="15">
        <f>IFERROR(VLOOKUP($C40,[8]REKAP!$B$9:$G$200,6,0),"")</f>
        <v>3460</v>
      </c>
      <c r="Y40" s="15">
        <f>IFERROR(VLOOKUP($C40,[9]REKAP!$B$9:$D$200,3,0),"")</f>
        <v>2</v>
      </c>
      <c r="Z40" s="15">
        <f>IFERROR(VLOOKUP($C40,[9]REKAP!$B$9:$E$200,4,0),"")</f>
        <v>154000</v>
      </c>
      <c r="AA40" s="15">
        <f>IFERROR(VLOOKUP($C40,[9]REKAP!$B$9:$G$200,6,0),"")</f>
        <v>3460</v>
      </c>
      <c r="AB40" s="15">
        <f>IFERROR(VLOOKUP($C40,[10]REKAP!$B$9:$D$200,3,0),"")</f>
        <v>0</v>
      </c>
      <c r="AC40" s="15">
        <f>IFERROR(VLOOKUP($C40,[10]REKAP!$B$9:$E$200,4,0),"")</f>
        <v>0</v>
      </c>
      <c r="AD40" s="15">
        <f>IFERROR(VLOOKUP($C40,[10]REKAP!$B$9:$G$200,6,0),"")</f>
        <v>0</v>
      </c>
      <c r="AE40" s="15">
        <f>IFERROR(VLOOKUP($C40,[11]REKAP!$B$9:$D$199,3,0),"")</f>
        <v>2</v>
      </c>
      <c r="AF40" s="15">
        <f>IFERROR(VLOOKUP($C40,[11]REKAP!$B$9:$E$199,4,0),"")</f>
        <v>154000</v>
      </c>
      <c r="AG40" s="15">
        <f>IFERROR(VLOOKUP($C40,[11]REKAP!$B$9:$G$199,6,0),"")</f>
        <v>3460</v>
      </c>
      <c r="AH40" s="15">
        <f>IFERROR(VLOOKUP($C40,[12]REKAP!$B$9:$D$200,3,0),"")</f>
        <v>0</v>
      </c>
      <c r="AI40" s="15">
        <f>IFERROR(VLOOKUP($C40,[12]REKAP!$B$9:$E$200,4,0),"")</f>
        <v>0</v>
      </c>
      <c r="AJ40" s="15">
        <f>IFERROR(VLOOKUP($C40,[12]REKAP!$B$9:$G$200,6,0),"")</f>
        <v>0</v>
      </c>
      <c r="AK40" s="15">
        <f>IFERROR(VLOOKUP($C40,[13]REKAP!$B$9:$D$200,3,0),"")</f>
        <v>0</v>
      </c>
      <c r="AL40" s="15">
        <f>IFERROR(VLOOKUP($C40,[13]REKAP!$B$9:$E$200,4,0),"")</f>
        <v>0</v>
      </c>
      <c r="AM40" s="15">
        <f>IFERROR(VLOOKUP($C40,[13]REKAP!$B$9:$G$200,6,0),"")</f>
        <v>0</v>
      </c>
      <c r="AN40" s="15">
        <f>IFERROR(VLOOKUP($C40,[14]REKAP!$B$9:$D$200,3,0),"")</f>
        <v>0</v>
      </c>
      <c r="AO40" s="15">
        <f>IFERROR(VLOOKUP($C40,[14]REKAP!$B$9:$E$200,4,0),"")</f>
        <v>0</v>
      </c>
      <c r="AP40" s="15">
        <f>IFERROR(VLOOKUP($C40,[14]REKAP!$B$9:$G$200,6,0),"")</f>
        <v>0</v>
      </c>
      <c r="AQ40" s="15">
        <f>IFERROR(VLOOKUP($C40,[15]REKAP!$B$9:$D$200,3,0),"")</f>
        <v>0</v>
      </c>
      <c r="AR40" s="15">
        <f>IFERROR(VLOOKUP($C40,[15]REKAP!$B$9:$E$200,4,0),"")</f>
        <v>0</v>
      </c>
      <c r="AS40" s="15">
        <f>IFERROR(VLOOKUP($C40,[15]REKAP!$B$9:$G$200,6,0),"")</f>
        <v>0</v>
      </c>
      <c r="AT40" s="15">
        <f>IFERROR(VLOOKUP($C40,[16]REKAP!$B$9:$D$200,3,0),"")</f>
        <v>0</v>
      </c>
      <c r="AU40" s="15">
        <f>IFERROR(VLOOKUP($C40,[16]REKAP!$B$9:$E$200,4,0),"")</f>
        <v>0</v>
      </c>
      <c r="AV40" s="15">
        <f>IFERROR(VLOOKUP($C40,[16]REKAP!$B$9:$G$200,6,0),"")</f>
        <v>0</v>
      </c>
      <c r="AW40" s="15">
        <f>IFERROR(VLOOKUP($C40,[17]REKAP!$B$9:$D$200,3,0),"")</f>
        <v>0</v>
      </c>
      <c r="AX40" s="15">
        <f>IFERROR(VLOOKUP($C40,[17]REKAP!$B$9:$E$200,4,0),"")</f>
        <v>0</v>
      </c>
      <c r="AY40" s="15">
        <f>IFERROR(VLOOKUP($C40,[17]REKAP!$B$9:$G$200,6,0),"")</f>
        <v>0</v>
      </c>
      <c r="AZ40" s="15" t="str">
        <f>IFERROR(VLOOKUP($C40,[18]REKAP!$B$9:$D$200,3,0),"")</f>
        <v/>
      </c>
      <c r="BA40" s="15" t="str">
        <f>IFERROR(VLOOKUP($C40,[18]REKAP!$B$9:$E$200,4,0),"")</f>
        <v/>
      </c>
      <c r="BB40" s="15" t="str">
        <f>IFERROR(VLOOKUP($C40,[18]REKAP!$B$9:$G$200,6,0),"")</f>
        <v/>
      </c>
      <c r="BC40" s="15" t="str">
        <f>IFERROR(VLOOKUP($C40,[19]REKAP!$B$9:$D$200,3,0),"")</f>
        <v/>
      </c>
      <c r="BD40" s="15" t="str">
        <f>IFERROR(VLOOKUP($C40,[19]REKAP!$B$9:$E$200,4,0),"")</f>
        <v/>
      </c>
      <c r="BE40" s="15" t="str">
        <f>IFERROR(VLOOKUP($C40,[19]REKAP!$B$9:$G$200,6,0),"")</f>
        <v/>
      </c>
      <c r="BF40" s="15" t="str">
        <f>IFERROR(VLOOKUP($C40,[20]REKAP!$B$9:$D$200,3,0),"")</f>
        <v/>
      </c>
      <c r="BG40" s="15" t="str">
        <f>IFERROR(VLOOKUP($C40,[20]REKAP!$B$9:$E$200,4,0),"")</f>
        <v/>
      </c>
      <c r="BH40" s="15" t="str">
        <f>IFERROR(VLOOKUP($C40,[20]REKAP!$B$9:$G$200,6,0),"")</f>
        <v/>
      </c>
      <c r="BI40" s="15" t="str">
        <f>IFERROR(VLOOKUP($C40,[21]REKAP!$B$9:$D$200,3,0),"")</f>
        <v/>
      </c>
      <c r="BJ40" s="15" t="str">
        <f>IFERROR(VLOOKUP($C40,[21]REKAP!$B$9:$E$200,4,0),"")</f>
        <v/>
      </c>
      <c r="BK40" s="15" t="str">
        <f>IFERROR(VLOOKUP($C40,[21]REKAP!$B$9:$G$200,6,0),"")</f>
        <v/>
      </c>
      <c r="BL40" s="15" t="str">
        <f>IFERROR(VLOOKUP($C40,[22]REKAP!$B$9:$D$200,3,0),"")</f>
        <v/>
      </c>
      <c r="BM40" s="15" t="str">
        <f>IFERROR(VLOOKUP($C40,[22]REKAP!$B$9:$E$200,4,0),"")</f>
        <v/>
      </c>
      <c r="BN40" s="15" t="str">
        <f>IFERROR(VLOOKUP($C40,[22]REKAP!$B$9:$G$200,6,0),"")</f>
        <v/>
      </c>
      <c r="BO40" s="15" t="str">
        <f>IFERROR(VLOOKUP($C40,[23]REKAP!$B$9:$D$200,3,0),"")</f>
        <v/>
      </c>
      <c r="BP40" s="15" t="str">
        <f>IFERROR(VLOOKUP($C40,[23]REKAP!$B$9:$E$200,4,0),"")</f>
        <v/>
      </c>
      <c r="BQ40" s="15" t="str">
        <f>IFERROR(VLOOKUP($C40,[23]REKAP!$B$9:$G$200,6,0),"")</f>
        <v/>
      </c>
      <c r="BR40" s="15" t="str">
        <f>IFERROR(VLOOKUP($C40,[24]REKAP!$B$9:$D$200,3,0),"")</f>
        <v/>
      </c>
      <c r="BS40" s="15" t="str">
        <f>IFERROR(VLOOKUP($C40,[24]REKAP!$B$9:$E$200,4,0),"")</f>
        <v/>
      </c>
      <c r="BT40" s="15" t="str">
        <f>IFERROR(VLOOKUP($C40,[24]REKAP!$B$9:$G$200,6,0),"")</f>
        <v/>
      </c>
      <c r="BU40" s="15" t="str">
        <f>IFERROR(VLOOKUP($C40,[25]REKAP!$B$9:$D$200,3,0),"")</f>
        <v/>
      </c>
      <c r="BV40" s="15" t="str">
        <f>IFERROR(VLOOKUP($C40,[25]REKAP!$B$9:$E$200,4,0),"")</f>
        <v/>
      </c>
      <c r="BW40" s="15" t="str">
        <f>IFERROR(VLOOKUP($C40,[25]REKAP!$B$9:$G$200,6,0),"")</f>
        <v/>
      </c>
      <c r="BX40" s="15" t="str">
        <f>IFERROR(VLOOKUP($C40,[26]REKAP!$B$9:$D$200,3,0),"")</f>
        <v/>
      </c>
      <c r="BY40" s="15" t="str">
        <f>IFERROR(VLOOKUP($C40,[26]REKAP!$B$9:$E$200,4,0),"")</f>
        <v/>
      </c>
      <c r="BZ40" s="15" t="str">
        <f>IFERROR(VLOOKUP($C40,[26]REKAP!$B$9:$G$200,6,0),"")</f>
        <v/>
      </c>
      <c r="CA40" s="15" t="str">
        <f>IFERROR(VLOOKUP($C40,[27]REKAP!$B$9:$D$200,3,0),"")</f>
        <v/>
      </c>
      <c r="CB40" s="15" t="str">
        <f>IFERROR(VLOOKUP($C40,[27]REKAP!$B$9:$E$200,4,0),"")</f>
        <v/>
      </c>
      <c r="CC40" s="15" t="str">
        <f>IFERROR(VLOOKUP($C40,[27]REKAP!$B$9:$G$200,6,0),"")</f>
        <v/>
      </c>
      <c r="CD40" s="15" t="str">
        <f>IFERROR(VLOOKUP($C40,[28]REKAP!$B$9:$D$200,3,0),"")</f>
        <v/>
      </c>
      <c r="CE40" s="15" t="str">
        <f>IFERROR(VLOOKUP($C40,[28]REKAP!$B$9:$E$200,4,0),"")</f>
        <v/>
      </c>
      <c r="CF40" s="15" t="str">
        <f>IFERROR(VLOOKUP($C40,[28]REKAP!$B$9:$G$200,6,0),"")</f>
        <v/>
      </c>
      <c r="CG40" s="15" t="str">
        <f>IFERROR(VLOOKUP($C40,[29]REKAP!$B$9:$D$200,3,0),"")</f>
        <v/>
      </c>
      <c r="CH40" s="15" t="str">
        <f>IFERROR(VLOOKUP($C40,[29]REKAP!$B$9:$E$200,4,0),"")</f>
        <v/>
      </c>
      <c r="CI40" s="15" t="str">
        <f>IFERROR(VLOOKUP($C40,[29]REKAP!$B$9:$G$200,6,0),"")</f>
        <v/>
      </c>
      <c r="CJ40" s="15" t="str">
        <f>IFERROR(VLOOKUP($C40,[30]REKAP!$B$9:$D$200,3,0),"")</f>
        <v/>
      </c>
      <c r="CK40" s="15" t="str">
        <f>IFERROR(VLOOKUP($C40,[30]REKAP!$B$9:$E$200,4,0),"")</f>
        <v/>
      </c>
      <c r="CL40" s="15" t="str">
        <f>IFERROR(VLOOKUP($C40,[30]REKAP!$B$9:$G$200,6,0),"")</f>
        <v/>
      </c>
      <c r="CM40" s="15" t="str">
        <f>IFERROR(VLOOKUP($C40,[31]REKAP!$B$9:$D$200,3,0),"")</f>
        <v/>
      </c>
      <c r="CN40" s="15" t="str">
        <f>IFERROR(VLOOKUP($C40,[31]REKAP!$B$9:$E$200,4,0),"")</f>
        <v/>
      </c>
      <c r="CO40" s="15" t="str">
        <f>IFERROR(VLOOKUP($C40,[31]REKAP!$B$9:$G$200,6,0),"")</f>
        <v/>
      </c>
      <c r="CP40" s="15" t="str">
        <f>IFERROR(VLOOKUP($C40,[32]REKAP!$B$9:$D$200,3,0),"")</f>
        <v/>
      </c>
      <c r="CQ40" s="15" t="str">
        <f>IFERROR(VLOOKUP($C40,[32]REKAP!$B$9:$E$200,4,0),"")</f>
        <v/>
      </c>
      <c r="CR40" s="15" t="str">
        <f>IFERROR(VLOOKUP($C40,[32]REKAP!$B$9:$G$200,6,0),"")</f>
        <v/>
      </c>
      <c r="CS40" s="15" t="str">
        <f>IFERROR(VLOOKUP($C40,[33]REKAP!$B$9:$D$200,3,0),"")</f>
        <v/>
      </c>
      <c r="CT40" s="15" t="str">
        <f>IFERROR(VLOOKUP($C40,[33]REKAP!$B$9:$E$200,4,0),"")</f>
        <v/>
      </c>
      <c r="CU40" s="15" t="str">
        <f>IFERROR(VLOOKUP($C40,[33]REKAP!$B$9:$G$200,6,0),"")</f>
        <v/>
      </c>
      <c r="CV40" s="15" t="str">
        <f>IFERROR(VLOOKUP($C40,[34]REKAP!$B$9:$D$200,3,0),"")</f>
        <v/>
      </c>
      <c r="CW40" s="15" t="str">
        <f>IFERROR(VLOOKUP($C40,[34]REKAP!$B$9:$E$200,4,0),"")</f>
        <v/>
      </c>
      <c r="CX40" s="15" t="str">
        <f>IFERROR(VLOOKUP($C40,[34]REKAP!$B$9:$G$200,6,0),"")</f>
        <v/>
      </c>
    </row>
    <row r="41" spans="3:102" x14ac:dyDescent="0.25">
      <c r="C41" s="7" t="s">
        <v>56</v>
      </c>
      <c r="D41" s="5" t="str">
        <f>IFERROR(VLOOKUP(C41,DBASE!$C$7:$D$207,2,0),"")</f>
        <v>WAFER TANGGO LONG KEJU 8GR</v>
      </c>
      <c r="E41" s="15">
        <f t="shared" si="1"/>
        <v>9.5</v>
      </c>
      <c r="F41" s="15">
        <f t="shared" si="1"/>
        <v>732200</v>
      </c>
      <c r="H41" s="15">
        <f t="shared" si="1"/>
        <v>22778</v>
      </c>
      <c r="J41" s="15">
        <f>IFERROR(VLOOKUP($C41,[4]REKAP!$B$9:$D$200,3,0),"")</f>
        <v>0</v>
      </c>
      <c r="K41" s="15">
        <f>IFERROR(VLOOKUP($C41,[4]REKAP!$B$9:$E$200,4,0),"")</f>
        <v>0</v>
      </c>
      <c r="L41" s="15">
        <f>IFERROR(VLOOKUP($C41,[4]REKAP!$B$9:$G$200,6,0),"")</f>
        <v>0</v>
      </c>
      <c r="M41" s="15" t="str">
        <f>IFERROR(VLOOKUP($C41,[5]REKAP!$B$9:$D$200,3,0),"")</f>
        <v/>
      </c>
      <c r="N41" s="15" t="str">
        <f>IFERROR(VLOOKUP($C41,[5]REKAP!$B$9:$E$200,4,0),"")</f>
        <v/>
      </c>
      <c r="O41" s="15" t="str">
        <f>IFERROR(VLOOKUP($C41,[5]REKAP!$B$9:$G$200,6,0),"")</f>
        <v/>
      </c>
      <c r="P41" s="15" t="str">
        <f>IFERROR(VLOOKUP($C41,[6]REKAP!$B$9:$D$200,3,0),"")</f>
        <v/>
      </c>
      <c r="Q41" s="15" t="str">
        <f>IFERROR(VLOOKUP($C41,[6]REKAP!$B$9:$E$200,4,0),"")</f>
        <v/>
      </c>
      <c r="R41" s="15" t="str">
        <f>IFERROR(VLOOKUP($C41,[6]REKAP!$B$9:$G$200,6,0),"")</f>
        <v/>
      </c>
      <c r="S41" s="15">
        <f>IFERROR(VLOOKUP($C41,[7]REKAP!$B$9:$D$200,3,0),"")</f>
        <v>0</v>
      </c>
      <c r="T41" s="15">
        <f>IFERROR(VLOOKUP($C41,[7]REKAP!$B$9:$E$200,4,0),"")</f>
        <v>0</v>
      </c>
      <c r="U41" s="15">
        <f>IFERROR(VLOOKUP($C41,[7]REKAP!$B$9:$G$200,6,0),"")</f>
        <v>0</v>
      </c>
      <c r="V41" s="15">
        <f>IFERROR(VLOOKUP($C41,[8]REKAP!$B$9:$D$200,3,0),"")</f>
        <v>2</v>
      </c>
      <c r="W41" s="15">
        <f>IFERROR(VLOOKUP($C41,[8]REKAP!$B$9:$E$200,4,0),"")</f>
        <v>154000</v>
      </c>
      <c r="X41" s="15">
        <f>IFERROR(VLOOKUP($C41,[8]REKAP!$B$9:$G$200,6,0),"")</f>
        <v>4648</v>
      </c>
      <c r="Y41" s="15">
        <f>IFERROR(VLOOKUP($C41,[9]REKAP!$B$9:$D$200,3,0),"")</f>
        <v>2</v>
      </c>
      <c r="Z41" s="15">
        <f>IFERROR(VLOOKUP($C41,[9]REKAP!$B$9:$E$200,4,0),"")</f>
        <v>154000</v>
      </c>
      <c r="AA41" s="15">
        <f>IFERROR(VLOOKUP($C41,[9]REKAP!$B$9:$G$200,6,0),"")</f>
        <v>4648</v>
      </c>
      <c r="AB41" s="15">
        <f>IFERROR(VLOOKUP($C41,[10]REKAP!$B$9:$D$200,3,0),"")</f>
        <v>2</v>
      </c>
      <c r="AC41" s="15">
        <f>IFERROR(VLOOKUP($C41,[10]REKAP!$B$9:$E$200,4,0),"")</f>
        <v>154000</v>
      </c>
      <c r="AD41" s="15">
        <f>IFERROR(VLOOKUP($C41,[10]REKAP!$B$9:$G$200,6,0),"")</f>
        <v>4648</v>
      </c>
      <c r="AE41" s="15">
        <f>IFERROR(VLOOKUP($C41,[11]REKAP!$B$9:$D$199,3,0),"")</f>
        <v>3</v>
      </c>
      <c r="AF41" s="15">
        <f>IFERROR(VLOOKUP($C41,[11]REKAP!$B$9:$E$199,4,0),"")</f>
        <v>231000</v>
      </c>
      <c r="AG41" s="15">
        <f>IFERROR(VLOOKUP($C41,[11]REKAP!$B$9:$G$199,6,0),"")</f>
        <v>6972</v>
      </c>
      <c r="AH41" s="15">
        <f>IFERROR(VLOOKUP($C41,[12]REKAP!$B$9:$D$200,3,0),"")</f>
        <v>0.5</v>
      </c>
      <c r="AI41" s="15">
        <f>IFERROR(VLOOKUP($C41,[12]REKAP!$B$9:$E$200,4,0),"")</f>
        <v>39200</v>
      </c>
      <c r="AJ41" s="15">
        <f>IFERROR(VLOOKUP($C41,[12]REKAP!$B$9:$G$200,6,0),"")</f>
        <v>1862</v>
      </c>
      <c r="AK41" s="15">
        <f>IFERROR(VLOOKUP($C41,[13]REKAP!$B$9:$D$200,3,0),"")</f>
        <v>0</v>
      </c>
      <c r="AL41" s="15">
        <f>IFERROR(VLOOKUP($C41,[13]REKAP!$B$9:$E$200,4,0),"")</f>
        <v>0</v>
      </c>
      <c r="AM41" s="15">
        <f>IFERROR(VLOOKUP($C41,[13]REKAP!$B$9:$G$200,6,0),"")</f>
        <v>0</v>
      </c>
      <c r="AN41" s="15">
        <f>IFERROR(VLOOKUP($C41,[14]REKAP!$B$9:$D$200,3,0),"")</f>
        <v>0</v>
      </c>
      <c r="AO41" s="15">
        <f>IFERROR(VLOOKUP($C41,[14]REKAP!$B$9:$E$200,4,0),"")</f>
        <v>0</v>
      </c>
      <c r="AP41" s="15">
        <f>IFERROR(VLOOKUP($C41,[14]REKAP!$B$9:$G$200,6,0),"")</f>
        <v>0</v>
      </c>
      <c r="AQ41" s="15">
        <f>IFERROR(VLOOKUP($C41,[15]REKAP!$B$9:$D$200,3,0),"")</f>
        <v>0</v>
      </c>
      <c r="AR41" s="15">
        <f>IFERROR(VLOOKUP($C41,[15]REKAP!$B$9:$E$200,4,0),"")</f>
        <v>0</v>
      </c>
      <c r="AS41" s="15">
        <f>IFERROR(VLOOKUP($C41,[15]REKAP!$B$9:$G$200,6,0),"")</f>
        <v>0</v>
      </c>
      <c r="AT41" s="15">
        <f>IFERROR(VLOOKUP($C41,[16]REKAP!$B$9:$D$200,3,0),"")</f>
        <v>0</v>
      </c>
      <c r="AU41" s="15">
        <f>IFERROR(VLOOKUP($C41,[16]REKAP!$B$9:$E$200,4,0),"")</f>
        <v>0</v>
      </c>
      <c r="AV41" s="15">
        <f>IFERROR(VLOOKUP($C41,[16]REKAP!$B$9:$G$200,6,0),"")</f>
        <v>0</v>
      </c>
      <c r="AW41" s="15">
        <f>IFERROR(VLOOKUP($C41,[17]REKAP!$B$9:$D$200,3,0),"")</f>
        <v>0</v>
      </c>
      <c r="AX41" s="15">
        <f>IFERROR(VLOOKUP($C41,[17]REKAP!$B$9:$E$200,4,0),"")</f>
        <v>0</v>
      </c>
      <c r="AY41" s="15">
        <f>IFERROR(VLOOKUP($C41,[17]REKAP!$B$9:$G$200,6,0),"")</f>
        <v>0</v>
      </c>
      <c r="AZ41" s="15" t="str">
        <f>IFERROR(VLOOKUP($C41,[18]REKAP!$B$9:$D$200,3,0),"")</f>
        <v/>
      </c>
      <c r="BA41" s="15" t="str">
        <f>IFERROR(VLOOKUP($C41,[18]REKAP!$B$9:$E$200,4,0),"")</f>
        <v/>
      </c>
      <c r="BB41" s="15" t="str">
        <f>IFERROR(VLOOKUP($C41,[18]REKAP!$B$9:$G$200,6,0),"")</f>
        <v/>
      </c>
      <c r="BC41" s="15" t="str">
        <f>IFERROR(VLOOKUP($C41,[19]REKAP!$B$9:$D$200,3,0),"")</f>
        <v/>
      </c>
      <c r="BD41" s="15" t="str">
        <f>IFERROR(VLOOKUP($C41,[19]REKAP!$B$9:$E$200,4,0),"")</f>
        <v/>
      </c>
      <c r="BE41" s="15" t="str">
        <f>IFERROR(VLOOKUP($C41,[19]REKAP!$B$9:$G$200,6,0),"")</f>
        <v/>
      </c>
      <c r="BF41" s="15" t="str">
        <f>IFERROR(VLOOKUP($C41,[20]REKAP!$B$9:$D$200,3,0),"")</f>
        <v/>
      </c>
      <c r="BG41" s="15" t="str">
        <f>IFERROR(VLOOKUP($C41,[20]REKAP!$B$9:$E$200,4,0),"")</f>
        <v/>
      </c>
      <c r="BH41" s="15" t="str">
        <f>IFERROR(VLOOKUP($C41,[20]REKAP!$B$9:$G$200,6,0),"")</f>
        <v/>
      </c>
      <c r="BI41" s="15" t="str">
        <f>IFERROR(VLOOKUP($C41,[21]REKAP!$B$9:$D$200,3,0),"")</f>
        <v/>
      </c>
      <c r="BJ41" s="15" t="str">
        <f>IFERROR(VLOOKUP($C41,[21]REKAP!$B$9:$E$200,4,0),"")</f>
        <v/>
      </c>
      <c r="BK41" s="15" t="str">
        <f>IFERROR(VLOOKUP($C41,[21]REKAP!$B$9:$G$200,6,0),"")</f>
        <v/>
      </c>
      <c r="BL41" s="15" t="str">
        <f>IFERROR(VLOOKUP($C41,[22]REKAP!$B$9:$D$200,3,0),"")</f>
        <v/>
      </c>
      <c r="BM41" s="15" t="str">
        <f>IFERROR(VLOOKUP($C41,[22]REKAP!$B$9:$E$200,4,0),"")</f>
        <v/>
      </c>
      <c r="BN41" s="15" t="str">
        <f>IFERROR(VLOOKUP($C41,[22]REKAP!$B$9:$G$200,6,0),"")</f>
        <v/>
      </c>
      <c r="BO41" s="15" t="str">
        <f>IFERROR(VLOOKUP($C41,[23]REKAP!$B$9:$D$200,3,0),"")</f>
        <v/>
      </c>
      <c r="BP41" s="15" t="str">
        <f>IFERROR(VLOOKUP($C41,[23]REKAP!$B$9:$E$200,4,0),"")</f>
        <v/>
      </c>
      <c r="BQ41" s="15" t="str">
        <f>IFERROR(VLOOKUP($C41,[23]REKAP!$B$9:$G$200,6,0),"")</f>
        <v/>
      </c>
      <c r="BR41" s="15" t="str">
        <f>IFERROR(VLOOKUP($C41,[24]REKAP!$B$9:$D$200,3,0),"")</f>
        <v/>
      </c>
      <c r="BS41" s="15" t="str">
        <f>IFERROR(VLOOKUP($C41,[24]REKAP!$B$9:$E$200,4,0),"")</f>
        <v/>
      </c>
      <c r="BT41" s="15" t="str">
        <f>IFERROR(VLOOKUP($C41,[24]REKAP!$B$9:$G$200,6,0),"")</f>
        <v/>
      </c>
      <c r="BU41" s="15" t="str">
        <f>IFERROR(VLOOKUP($C41,[25]REKAP!$B$9:$D$200,3,0),"")</f>
        <v/>
      </c>
      <c r="BV41" s="15" t="str">
        <f>IFERROR(VLOOKUP($C41,[25]REKAP!$B$9:$E$200,4,0),"")</f>
        <v/>
      </c>
      <c r="BW41" s="15" t="str">
        <f>IFERROR(VLOOKUP($C41,[25]REKAP!$B$9:$G$200,6,0),"")</f>
        <v/>
      </c>
      <c r="BX41" s="15" t="str">
        <f>IFERROR(VLOOKUP($C41,[26]REKAP!$B$9:$D$200,3,0),"")</f>
        <v/>
      </c>
      <c r="BY41" s="15" t="str">
        <f>IFERROR(VLOOKUP($C41,[26]REKAP!$B$9:$E$200,4,0),"")</f>
        <v/>
      </c>
      <c r="BZ41" s="15" t="str">
        <f>IFERROR(VLOOKUP($C41,[26]REKAP!$B$9:$G$200,6,0),"")</f>
        <v/>
      </c>
      <c r="CA41" s="15" t="str">
        <f>IFERROR(VLOOKUP($C41,[27]REKAP!$B$9:$D$200,3,0),"")</f>
        <v/>
      </c>
      <c r="CB41" s="15" t="str">
        <f>IFERROR(VLOOKUP($C41,[27]REKAP!$B$9:$E$200,4,0),"")</f>
        <v/>
      </c>
      <c r="CC41" s="15" t="str">
        <f>IFERROR(VLOOKUP($C41,[27]REKAP!$B$9:$G$200,6,0),"")</f>
        <v/>
      </c>
      <c r="CD41" s="15" t="str">
        <f>IFERROR(VLOOKUP($C41,[28]REKAP!$B$9:$D$200,3,0),"")</f>
        <v/>
      </c>
      <c r="CE41" s="15" t="str">
        <f>IFERROR(VLOOKUP($C41,[28]REKAP!$B$9:$E$200,4,0),"")</f>
        <v/>
      </c>
      <c r="CF41" s="15" t="str">
        <f>IFERROR(VLOOKUP($C41,[28]REKAP!$B$9:$G$200,6,0),"")</f>
        <v/>
      </c>
      <c r="CG41" s="15" t="str">
        <f>IFERROR(VLOOKUP($C41,[29]REKAP!$B$9:$D$200,3,0),"")</f>
        <v/>
      </c>
      <c r="CH41" s="15" t="str">
        <f>IFERROR(VLOOKUP($C41,[29]REKAP!$B$9:$E$200,4,0),"")</f>
        <v/>
      </c>
      <c r="CI41" s="15" t="str">
        <f>IFERROR(VLOOKUP($C41,[29]REKAP!$B$9:$G$200,6,0),"")</f>
        <v/>
      </c>
      <c r="CJ41" s="15" t="str">
        <f>IFERROR(VLOOKUP($C41,[30]REKAP!$B$9:$D$200,3,0),"")</f>
        <v/>
      </c>
      <c r="CK41" s="15" t="str">
        <f>IFERROR(VLOOKUP($C41,[30]REKAP!$B$9:$E$200,4,0),"")</f>
        <v/>
      </c>
      <c r="CL41" s="15" t="str">
        <f>IFERROR(VLOOKUP($C41,[30]REKAP!$B$9:$G$200,6,0),"")</f>
        <v/>
      </c>
      <c r="CM41" s="15" t="str">
        <f>IFERROR(VLOOKUP($C41,[31]REKAP!$B$9:$D$200,3,0),"")</f>
        <v/>
      </c>
      <c r="CN41" s="15" t="str">
        <f>IFERROR(VLOOKUP($C41,[31]REKAP!$B$9:$E$200,4,0),"")</f>
        <v/>
      </c>
      <c r="CO41" s="15" t="str">
        <f>IFERROR(VLOOKUP($C41,[31]REKAP!$B$9:$G$200,6,0),"")</f>
        <v/>
      </c>
      <c r="CP41" s="15" t="str">
        <f>IFERROR(VLOOKUP($C41,[32]REKAP!$B$9:$D$200,3,0),"")</f>
        <v/>
      </c>
      <c r="CQ41" s="15" t="str">
        <f>IFERROR(VLOOKUP($C41,[32]REKAP!$B$9:$E$200,4,0),"")</f>
        <v/>
      </c>
      <c r="CR41" s="15" t="str">
        <f>IFERROR(VLOOKUP($C41,[32]REKAP!$B$9:$G$200,6,0),"")</f>
        <v/>
      </c>
      <c r="CS41" s="15" t="str">
        <f>IFERROR(VLOOKUP($C41,[33]REKAP!$B$9:$D$200,3,0),"")</f>
        <v/>
      </c>
      <c r="CT41" s="15" t="str">
        <f>IFERROR(VLOOKUP($C41,[33]REKAP!$B$9:$E$200,4,0),"")</f>
        <v/>
      </c>
      <c r="CU41" s="15" t="str">
        <f>IFERROR(VLOOKUP($C41,[33]REKAP!$B$9:$G$200,6,0),"")</f>
        <v/>
      </c>
      <c r="CV41" s="15" t="str">
        <f>IFERROR(VLOOKUP($C41,[34]REKAP!$B$9:$D$200,3,0),"")</f>
        <v/>
      </c>
      <c r="CW41" s="15" t="str">
        <f>IFERROR(VLOOKUP($C41,[34]REKAP!$B$9:$E$200,4,0),"")</f>
        <v/>
      </c>
      <c r="CX41" s="15" t="str">
        <f>IFERROR(VLOOKUP($C41,[34]REKAP!$B$9:$G$200,6,0),"")</f>
        <v/>
      </c>
    </row>
    <row r="42" spans="3:102" x14ac:dyDescent="0.25">
      <c r="C42" s="7" t="s">
        <v>57</v>
      </c>
      <c r="D42" s="5" t="str">
        <f>IFERROR(VLOOKUP(C42,DBASE!$C$7:$D$207,2,0),"")</f>
        <v>WAFER TANGGO LONG COKLAT 52GR</v>
      </c>
      <c r="E42" s="15">
        <f t="shared" ref="E42:H57" si="2">SUMIF($J$8:$BP$8,E$8,$J42:$BP42)</f>
        <v>27.333333333333332</v>
      </c>
      <c r="F42" s="15">
        <f t="shared" si="2"/>
        <v>2463626.912</v>
      </c>
      <c r="H42" s="15">
        <f t="shared" si="2"/>
        <v>50895.142333333504</v>
      </c>
      <c r="J42" s="15">
        <f>IFERROR(VLOOKUP($C42,[4]REKAP!$B$9:$D$200,3,0),"")</f>
        <v>0</v>
      </c>
      <c r="K42" s="15">
        <f>IFERROR(VLOOKUP($C42,[4]REKAP!$B$9:$E$200,4,0),"")</f>
        <v>0</v>
      </c>
      <c r="L42" s="15">
        <f>IFERROR(VLOOKUP($C42,[4]REKAP!$B$9:$G$200,6,0),"")</f>
        <v>0</v>
      </c>
      <c r="M42" s="15" t="str">
        <f>IFERROR(VLOOKUP($C42,[5]REKAP!$B$9:$D$200,3,0),"")</f>
        <v/>
      </c>
      <c r="N42" s="15" t="str">
        <f>IFERROR(VLOOKUP($C42,[5]REKAP!$B$9:$E$200,4,0),"")</f>
        <v/>
      </c>
      <c r="O42" s="15" t="str">
        <f>IFERROR(VLOOKUP($C42,[5]REKAP!$B$9:$G$200,6,0),"")</f>
        <v/>
      </c>
      <c r="P42" s="15" t="str">
        <f>IFERROR(VLOOKUP($C42,[6]REKAP!$B$9:$D$200,3,0),"")</f>
        <v/>
      </c>
      <c r="Q42" s="15" t="str">
        <f>IFERROR(VLOOKUP($C42,[6]REKAP!$B$9:$E$200,4,0),"")</f>
        <v/>
      </c>
      <c r="R42" s="15" t="str">
        <f>IFERROR(VLOOKUP($C42,[6]REKAP!$B$9:$G$200,6,0),"")</f>
        <v/>
      </c>
      <c r="S42" s="15">
        <f>IFERROR(VLOOKUP($C42,[7]REKAP!$B$9:$D$200,3,0),"")</f>
        <v>2</v>
      </c>
      <c r="T42" s="15">
        <f>IFERROR(VLOOKUP($C42,[7]REKAP!$B$9:$E$200,4,0),"")</f>
        <v>180000</v>
      </c>
      <c r="U42" s="15">
        <f>IFERROR(VLOOKUP($C42,[7]REKAP!$B$9:$G$200,6,0),"")</f>
        <v>3458.6510000000126</v>
      </c>
      <c r="V42" s="15">
        <f>IFERROR(VLOOKUP($C42,[8]REKAP!$B$9:$D$200,3,0),"")</f>
        <v>4</v>
      </c>
      <c r="W42" s="15">
        <f>IFERROR(VLOOKUP($C42,[8]REKAP!$B$9:$E$200,4,0),"")</f>
        <v>360000</v>
      </c>
      <c r="X42" s="15">
        <f>IFERROR(VLOOKUP($C42,[8]REKAP!$B$9:$G$200,6,0),"")</f>
        <v>6917.3020000000251</v>
      </c>
      <c r="Y42" s="15">
        <f>IFERROR(VLOOKUP($C42,[9]REKAP!$B$9:$D$200,3,0),"")</f>
        <v>7</v>
      </c>
      <c r="Z42" s="15">
        <f>IFERROR(VLOOKUP($C42,[9]REKAP!$B$9:$E$200,4,0),"")</f>
        <v>629000</v>
      </c>
      <c r="AA42" s="15">
        <f>IFERROR(VLOOKUP($C42,[9]REKAP!$B$9:$G$200,6,0),"")</f>
        <v>11105.278500000044</v>
      </c>
      <c r="AB42" s="15">
        <f>IFERROR(VLOOKUP($C42,[10]REKAP!$B$9:$D$200,3,0),"")</f>
        <v>2</v>
      </c>
      <c r="AC42" s="15">
        <f>IFERROR(VLOOKUP($C42,[10]REKAP!$B$9:$E$200,4,0),"")</f>
        <v>180000</v>
      </c>
      <c r="AD42" s="15">
        <f>IFERROR(VLOOKUP($C42,[10]REKAP!$B$9:$G$200,6,0),"")</f>
        <v>3458.6510000000126</v>
      </c>
      <c r="AE42" s="15">
        <f>IFERROR(VLOOKUP($C42,[11]REKAP!$B$9:$D$199,3,0),"")</f>
        <v>10</v>
      </c>
      <c r="AF42" s="15">
        <f>IFERROR(VLOOKUP($C42,[11]REKAP!$B$9:$E$199,4,0),"")</f>
        <v>902000</v>
      </c>
      <c r="AG42" s="15">
        <f>IFERROR(VLOOKUP($C42,[11]REKAP!$B$9:$G$199,6,0),"")</f>
        <v>19293.255000000063</v>
      </c>
      <c r="AH42" s="15">
        <f>IFERROR(VLOOKUP($C42,[12]REKAP!$B$9:$D$200,3,0),"")</f>
        <v>2.333333333333333</v>
      </c>
      <c r="AI42" s="15">
        <f>IFERROR(VLOOKUP($C42,[12]REKAP!$B$9:$E$200,4,0),"")</f>
        <v>212626.91200000001</v>
      </c>
      <c r="AJ42" s="15">
        <f>IFERROR(VLOOKUP($C42,[12]REKAP!$B$9:$G$200,6,0),"")</f>
        <v>6662.0048333333443</v>
      </c>
      <c r="AK42" s="15">
        <f>IFERROR(VLOOKUP($C42,[13]REKAP!$B$9:$D$200,3,0),"")</f>
        <v>0</v>
      </c>
      <c r="AL42" s="15">
        <f>IFERROR(VLOOKUP($C42,[13]REKAP!$B$9:$E$200,4,0),"")</f>
        <v>0</v>
      </c>
      <c r="AM42" s="15">
        <f>IFERROR(VLOOKUP($C42,[13]REKAP!$B$9:$G$200,6,0),"")</f>
        <v>0</v>
      </c>
      <c r="AN42" s="15">
        <f>IFERROR(VLOOKUP($C42,[14]REKAP!$B$9:$D$200,3,0),"")</f>
        <v>0</v>
      </c>
      <c r="AO42" s="15">
        <f>IFERROR(VLOOKUP($C42,[14]REKAP!$B$9:$E$200,4,0),"")</f>
        <v>0</v>
      </c>
      <c r="AP42" s="15">
        <f>IFERROR(VLOOKUP($C42,[14]REKAP!$B$9:$G$200,6,0),"")</f>
        <v>0</v>
      </c>
      <c r="AQ42" s="15">
        <f>IFERROR(VLOOKUP($C42,[15]REKAP!$B$9:$D$200,3,0),"")</f>
        <v>0</v>
      </c>
      <c r="AR42" s="15">
        <f>IFERROR(VLOOKUP($C42,[15]REKAP!$B$9:$E$200,4,0),"")</f>
        <v>0</v>
      </c>
      <c r="AS42" s="15">
        <f>IFERROR(VLOOKUP($C42,[15]REKAP!$B$9:$G$200,6,0),"")</f>
        <v>0</v>
      </c>
      <c r="AT42" s="15">
        <f>IFERROR(VLOOKUP($C42,[16]REKAP!$B$9:$D$200,3,0),"")</f>
        <v>0</v>
      </c>
      <c r="AU42" s="15">
        <f>IFERROR(VLOOKUP($C42,[16]REKAP!$B$9:$E$200,4,0),"")</f>
        <v>0</v>
      </c>
      <c r="AV42" s="15">
        <f>IFERROR(VLOOKUP($C42,[16]REKAP!$B$9:$G$200,6,0),"")</f>
        <v>0</v>
      </c>
      <c r="AW42" s="15">
        <f>IFERROR(VLOOKUP($C42,[17]REKAP!$B$9:$D$200,3,0),"")</f>
        <v>0</v>
      </c>
      <c r="AX42" s="15">
        <f>IFERROR(VLOOKUP($C42,[17]REKAP!$B$9:$E$200,4,0),"")</f>
        <v>0</v>
      </c>
      <c r="AY42" s="15">
        <f>IFERROR(VLOOKUP($C42,[17]REKAP!$B$9:$G$200,6,0),"")</f>
        <v>0</v>
      </c>
      <c r="AZ42" s="15" t="str">
        <f>IFERROR(VLOOKUP($C42,[18]REKAP!$B$9:$D$200,3,0),"")</f>
        <v/>
      </c>
      <c r="BA42" s="15" t="str">
        <f>IFERROR(VLOOKUP($C42,[18]REKAP!$B$9:$E$200,4,0),"")</f>
        <v/>
      </c>
      <c r="BB42" s="15" t="str">
        <f>IFERROR(VLOOKUP($C42,[18]REKAP!$B$9:$G$200,6,0),"")</f>
        <v/>
      </c>
      <c r="BC42" s="15" t="str">
        <f>IFERROR(VLOOKUP($C42,[19]REKAP!$B$9:$D$200,3,0),"")</f>
        <v/>
      </c>
      <c r="BD42" s="15" t="str">
        <f>IFERROR(VLOOKUP($C42,[19]REKAP!$B$9:$E$200,4,0),"")</f>
        <v/>
      </c>
      <c r="BE42" s="15" t="str">
        <f>IFERROR(VLOOKUP($C42,[19]REKAP!$B$9:$G$200,6,0),"")</f>
        <v/>
      </c>
      <c r="BF42" s="15" t="str">
        <f>IFERROR(VLOOKUP($C42,[20]REKAP!$B$9:$D$200,3,0),"")</f>
        <v/>
      </c>
      <c r="BG42" s="15" t="str">
        <f>IFERROR(VLOOKUP($C42,[20]REKAP!$B$9:$E$200,4,0),"")</f>
        <v/>
      </c>
      <c r="BH42" s="15" t="str">
        <f>IFERROR(VLOOKUP($C42,[20]REKAP!$B$9:$G$200,6,0),"")</f>
        <v/>
      </c>
      <c r="BI42" s="15" t="str">
        <f>IFERROR(VLOOKUP($C42,[21]REKAP!$B$9:$D$200,3,0),"")</f>
        <v/>
      </c>
      <c r="BJ42" s="15" t="str">
        <f>IFERROR(VLOOKUP($C42,[21]REKAP!$B$9:$E$200,4,0),"")</f>
        <v/>
      </c>
      <c r="BK42" s="15" t="str">
        <f>IFERROR(VLOOKUP($C42,[21]REKAP!$B$9:$G$200,6,0),"")</f>
        <v/>
      </c>
      <c r="BL42" s="15" t="str">
        <f>IFERROR(VLOOKUP($C42,[22]REKAP!$B$9:$D$200,3,0),"")</f>
        <v/>
      </c>
      <c r="BM42" s="15" t="str">
        <f>IFERROR(VLOOKUP($C42,[22]REKAP!$B$9:$E$200,4,0),"")</f>
        <v/>
      </c>
      <c r="BN42" s="15" t="str">
        <f>IFERROR(VLOOKUP($C42,[22]REKAP!$B$9:$G$200,6,0),"")</f>
        <v/>
      </c>
      <c r="BO42" s="15" t="str">
        <f>IFERROR(VLOOKUP($C42,[23]REKAP!$B$9:$D$200,3,0),"")</f>
        <v/>
      </c>
      <c r="BP42" s="15" t="str">
        <f>IFERROR(VLOOKUP($C42,[23]REKAP!$B$9:$E$200,4,0),"")</f>
        <v/>
      </c>
      <c r="BQ42" s="15" t="str">
        <f>IFERROR(VLOOKUP($C42,[23]REKAP!$B$9:$G$200,6,0),"")</f>
        <v/>
      </c>
      <c r="BR42" s="15" t="str">
        <f>IFERROR(VLOOKUP($C42,[24]REKAP!$B$9:$D$200,3,0),"")</f>
        <v/>
      </c>
      <c r="BS42" s="15" t="str">
        <f>IFERROR(VLOOKUP($C42,[24]REKAP!$B$9:$E$200,4,0),"")</f>
        <v/>
      </c>
      <c r="BT42" s="15" t="str">
        <f>IFERROR(VLOOKUP($C42,[24]REKAP!$B$9:$G$200,6,0),"")</f>
        <v/>
      </c>
      <c r="BU42" s="15" t="str">
        <f>IFERROR(VLOOKUP($C42,[25]REKAP!$B$9:$D$200,3,0),"")</f>
        <v/>
      </c>
      <c r="BV42" s="15" t="str">
        <f>IFERROR(VLOOKUP($C42,[25]REKAP!$B$9:$E$200,4,0),"")</f>
        <v/>
      </c>
      <c r="BW42" s="15" t="str">
        <f>IFERROR(VLOOKUP($C42,[25]REKAP!$B$9:$G$200,6,0),"")</f>
        <v/>
      </c>
      <c r="BX42" s="15" t="str">
        <f>IFERROR(VLOOKUP($C42,[26]REKAP!$B$9:$D$200,3,0),"")</f>
        <v/>
      </c>
      <c r="BY42" s="15" t="str">
        <f>IFERROR(VLOOKUP($C42,[26]REKAP!$B$9:$E$200,4,0),"")</f>
        <v/>
      </c>
      <c r="BZ42" s="15" t="str">
        <f>IFERROR(VLOOKUP($C42,[26]REKAP!$B$9:$G$200,6,0),"")</f>
        <v/>
      </c>
      <c r="CA42" s="15" t="str">
        <f>IFERROR(VLOOKUP($C42,[27]REKAP!$B$9:$D$200,3,0),"")</f>
        <v/>
      </c>
      <c r="CB42" s="15" t="str">
        <f>IFERROR(VLOOKUP($C42,[27]REKAP!$B$9:$E$200,4,0),"")</f>
        <v/>
      </c>
      <c r="CC42" s="15" t="str">
        <f>IFERROR(VLOOKUP($C42,[27]REKAP!$B$9:$G$200,6,0),"")</f>
        <v/>
      </c>
      <c r="CD42" s="15" t="str">
        <f>IFERROR(VLOOKUP($C42,[28]REKAP!$B$9:$D$200,3,0),"")</f>
        <v/>
      </c>
      <c r="CE42" s="15" t="str">
        <f>IFERROR(VLOOKUP($C42,[28]REKAP!$B$9:$E$200,4,0),"")</f>
        <v/>
      </c>
      <c r="CF42" s="15" t="str">
        <f>IFERROR(VLOOKUP($C42,[28]REKAP!$B$9:$G$200,6,0),"")</f>
        <v/>
      </c>
      <c r="CG42" s="15" t="str">
        <f>IFERROR(VLOOKUP($C42,[29]REKAP!$B$9:$D$200,3,0),"")</f>
        <v/>
      </c>
      <c r="CH42" s="15" t="str">
        <f>IFERROR(VLOOKUP($C42,[29]REKAP!$B$9:$E$200,4,0),"")</f>
        <v/>
      </c>
      <c r="CI42" s="15" t="str">
        <f>IFERROR(VLOOKUP($C42,[29]REKAP!$B$9:$G$200,6,0),"")</f>
        <v/>
      </c>
      <c r="CJ42" s="15" t="str">
        <f>IFERROR(VLOOKUP($C42,[30]REKAP!$B$9:$D$200,3,0),"")</f>
        <v/>
      </c>
      <c r="CK42" s="15" t="str">
        <f>IFERROR(VLOOKUP($C42,[30]REKAP!$B$9:$E$200,4,0),"")</f>
        <v/>
      </c>
      <c r="CL42" s="15" t="str">
        <f>IFERROR(VLOOKUP($C42,[30]REKAP!$B$9:$G$200,6,0),"")</f>
        <v/>
      </c>
      <c r="CM42" s="15" t="str">
        <f>IFERROR(VLOOKUP($C42,[31]REKAP!$B$9:$D$200,3,0),"")</f>
        <v/>
      </c>
      <c r="CN42" s="15" t="str">
        <f>IFERROR(VLOOKUP($C42,[31]REKAP!$B$9:$E$200,4,0),"")</f>
        <v/>
      </c>
      <c r="CO42" s="15" t="str">
        <f>IFERROR(VLOOKUP($C42,[31]REKAP!$B$9:$G$200,6,0),"")</f>
        <v/>
      </c>
      <c r="CP42" s="15" t="str">
        <f>IFERROR(VLOOKUP($C42,[32]REKAP!$B$9:$D$200,3,0),"")</f>
        <v/>
      </c>
      <c r="CQ42" s="15" t="str">
        <f>IFERROR(VLOOKUP($C42,[32]REKAP!$B$9:$E$200,4,0),"")</f>
        <v/>
      </c>
      <c r="CR42" s="15" t="str">
        <f>IFERROR(VLOOKUP($C42,[32]REKAP!$B$9:$G$200,6,0),"")</f>
        <v/>
      </c>
      <c r="CS42" s="15" t="str">
        <f>IFERROR(VLOOKUP($C42,[33]REKAP!$B$9:$D$200,3,0),"")</f>
        <v/>
      </c>
      <c r="CT42" s="15" t="str">
        <f>IFERROR(VLOOKUP($C42,[33]REKAP!$B$9:$E$200,4,0),"")</f>
        <v/>
      </c>
      <c r="CU42" s="15" t="str">
        <f>IFERROR(VLOOKUP($C42,[33]REKAP!$B$9:$G$200,6,0),"")</f>
        <v/>
      </c>
      <c r="CV42" s="15" t="str">
        <f>IFERROR(VLOOKUP($C42,[34]REKAP!$B$9:$D$200,3,0),"")</f>
        <v/>
      </c>
      <c r="CW42" s="15" t="str">
        <f>IFERROR(VLOOKUP($C42,[34]REKAP!$B$9:$E$200,4,0),"")</f>
        <v/>
      </c>
      <c r="CX42" s="15" t="str">
        <f>IFERROR(VLOOKUP($C42,[34]REKAP!$B$9:$G$200,6,0),"")</f>
        <v/>
      </c>
    </row>
    <row r="43" spans="3:102" x14ac:dyDescent="0.25">
      <c r="C43" s="7" t="s">
        <v>58</v>
      </c>
      <c r="D43" s="5" t="str">
        <f>IFERROR(VLOOKUP(C43,DBASE!$C$7:$D$207,2,0),"")</f>
        <v>WAFER TANGGO LONG VANILA 52GR</v>
      </c>
      <c r="E43" s="15">
        <f t="shared" si="2"/>
        <v>17.333333333333332</v>
      </c>
      <c r="F43" s="15">
        <f t="shared" si="2"/>
        <v>1561626.912</v>
      </c>
      <c r="H43" s="15">
        <f t="shared" si="2"/>
        <v>31602.303333333271</v>
      </c>
      <c r="J43" s="15">
        <f>IFERROR(VLOOKUP($C43,[4]REKAP!$B$9:$D$200,3,0),"")</f>
        <v>0</v>
      </c>
      <c r="K43" s="15">
        <f>IFERROR(VLOOKUP($C43,[4]REKAP!$B$9:$E$200,4,0),"")</f>
        <v>0</v>
      </c>
      <c r="L43" s="15">
        <f>IFERROR(VLOOKUP($C43,[4]REKAP!$B$9:$G$200,6,0),"")</f>
        <v>0</v>
      </c>
      <c r="M43" s="15" t="str">
        <f>IFERROR(VLOOKUP($C43,[5]REKAP!$B$9:$D$200,3,0),"")</f>
        <v/>
      </c>
      <c r="N43" s="15" t="str">
        <f>IFERROR(VLOOKUP($C43,[5]REKAP!$B$9:$E$200,4,0),"")</f>
        <v/>
      </c>
      <c r="O43" s="15" t="str">
        <f>IFERROR(VLOOKUP($C43,[5]REKAP!$B$9:$G$200,6,0),"")</f>
        <v/>
      </c>
      <c r="P43" s="15" t="str">
        <f>IFERROR(VLOOKUP($C43,[6]REKAP!$B$9:$D$200,3,0),"")</f>
        <v/>
      </c>
      <c r="Q43" s="15" t="str">
        <f>IFERROR(VLOOKUP($C43,[6]REKAP!$B$9:$E$200,4,0),"")</f>
        <v/>
      </c>
      <c r="R43" s="15" t="str">
        <f>IFERROR(VLOOKUP($C43,[6]REKAP!$B$9:$G$200,6,0),"")</f>
        <v/>
      </c>
      <c r="S43" s="15">
        <f>IFERROR(VLOOKUP($C43,[7]REKAP!$B$9:$D$200,3,0),"")</f>
        <v>1</v>
      </c>
      <c r="T43" s="15">
        <f>IFERROR(VLOOKUP($C43,[7]REKAP!$B$9:$E$200,4,0),"")</f>
        <v>90000</v>
      </c>
      <c r="U43" s="15">
        <f>IFERROR(VLOOKUP($C43,[7]REKAP!$B$9:$G$200,6,0),"")</f>
        <v>1729.3494999999966</v>
      </c>
      <c r="V43" s="15">
        <f>IFERROR(VLOOKUP($C43,[8]REKAP!$B$9:$D$200,3,0),"")</f>
        <v>5</v>
      </c>
      <c r="W43" s="15">
        <f>IFERROR(VLOOKUP($C43,[8]REKAP!$B$9:$E$200,4,0),"")</f>
        <v>450000</v>
      </c>
      <c r="X43" s="15">
        <f>IFERROR(VLOOKUP($C43,[8]REKAP!$B$9:$G$200,6,0),"")</f>
        <v>8646.7474999999831</v>
      </c>
      <c r="Y43" s="15">
        <f>IFERROR(VLOOKUP($C43,[9]REKAP!$B$9:$D$200,3,0),"")</f>
        <v>4</v>
      </c>
      <c r="Z43" s="15">
        <f>IFERROR(VLOOKUP($C43,[9]REKAP!$B$9:$E$200,4,0),"")</f>
        <v>359000</v>
      </c>
      <c r="AA43" s="15">
        <f>IFERROR(VLOOKUP($C43,[9]REKAP!$B$9:$G$200,6,0),"")</f>
        <v>5917.3979999999865</v>
      </c>
      <c r="AB43" s="15">
        <f>IFERROR(VLOOKUP($C43,[10]REKAP!$B$9:$D$200,3,0),"")</f>
        <v>0</v>
      </c>
      <c r="AC43" s="15">
        <f>IFERROR(VLOOKUP($C43,[10]REKAP!$B$9:$E$200,4,0),"")</f>
        <v>0</v>
      </c>
      <c r="AD43" s="15">
        <f>IFERROR(VLOOKUP($C43,[10]REKAP!$B$9:$G$200,6,0),"")</f>
        <v>0</v>
      </c>
      <c r="AE43" s="15">
        <f>IFERROR(VLOOKUP($C43,[11]REKAP!$B$9:$D$199,3,0),"")</f>
        <v>5</v>
      </c>
      <c r="AF43" s="15">
        <f>IFERROR(VLOOKUP($C43,[11]REKAP!$B$9:$E$199,4,0),"")</f>
        <v>450000</v>
      </c>
      <c r="AG43" s="15">
        <f>IFERROR(VLOOKUP($C43,[11]REKAP!$B$9:$G$199,6,0),"")</f>
        <v>8646.7474999999831</v>
      </c>
      <c r="AH43" s="15">
        <f>IFERROR(VLOOKUP($C43,[12]REKAP!$B$9:$D$200,3,0),"")</f>
        <v>2.333333333333333</v>
      </c>
      <c r="AI43" s="15">
        <f>IFERROR(VLOOKUP($C43,[12]REKAP!$B$9:$E$200,4,0),"")</f>
        <v>212626.91200000001</v>
      </c>
      <c r="AJ43" s="15">
        <f>IFERROR(VLOOKUP($C43,[12]REKAP!$B$9:$G$200,6,0),"")</f>
        <v>6662.0608333333221</v>
      </c>
      <c r="AK43" s="15">
        <f>IFERROR(VLOOKUP($C43,[13]REKAP!$B$9:$D$200,3,0),"")</f>
        <v>0</v>
      </c>
      <c r="AL43" s="15">
        <f>IFERROR(VLOOKUP($C43,[13]REKAP!$B$9:$E$200,4,0),"")</f>
        <v>0</v>
      </c>
      <c r="AM43" s="15">
        <f>IFERROR(VLOOKUP($C43,[13]REKAP!$B$9:$G$200,6,0),"")</f>
        <v>0</v>
      </c>
      <c r="AN43" s="15">
        <f>IFERROR(VLOOKUP($C43,[14]REKAP!$B$9:$D$200,3,0),"")</f>
        <v>0</v>
      </c>
      <c r="AO43" s="15">
        <f>IFERROR(VLOOKUP($C43,[14]REKAP!$B$9:$E$200,4,0),"")</f>
        <v>0</v>
      </c>
      <c r="AP43" s="15">
        <f>IFERROR(VLOOKUP($C43,[14]REKAP!$B$9:$G$200,6,0),"")</f>
        <v>0</v>
      </c>
      <c r="AQ43" s="15">
        <f>IFERROR(VLOOKUP($C43,[15]REKAP!$B$9:$D$200,3,0),"")</f>
        <v>0</v>
      </c>
      <c r="AR43" s="15">
        <f>IFERROR(VLOOKUP($C43,[15]REKAP!$B$9:$E$200,4,0),"")</f>
        <v>0</v>
      </c>
      <c r="AS43" s="15">
        <f>IFERROR(VLOOKUP($C43,[15]REKAP!$B$9:$G$200,6,0),"")</f>
        <v>0</v>
      </c>
      <c r="AT43" s="15">
        <f>IFERROR(VLOOKUP($C43,[16]REKAP!$B$9:$D$200,3,0),"")</f>
        <v>0</v>
      </c>
      <c r="AU43" s="15">
        <f>IFERROR(VLOOKUP($C43,[16]REKAP!$B$9:$E$200,4,0),"")</f>
        <v>0</v>
      </c>
      <c r="AV43" s="15">
        <f>IFERROR(VLOOKUP($C43,[16]REKAP!$B$9:$G$200,6,0),"")</f>
        <v>0</v>
      </c>
      <c r="AW43" s="15">
        <f>IFERROR(VLOOKUP($C43,[17]REKAP!$B$9:$D$200,3,0),"")</f>
        <v>0</v>
      </c>
      <c r="AX43" s="15">
        <f>IFERROR(VLOOKUP($C43,[17]REKAP!$B$9:$E$200,4,0),"")</f>
        <v>0</v>
      </c>
      <c r="AY43" s="15">
        <f>IFERROR(VLOOKUP($C43,[17]REKAP!$B$9:$G$200,6,0),"")</f>
        <v>0</v>
      </c>
      <c r="AZ43" s="15" t="str">
        <f>IFERROR(VLOOKUP($C43,[18]REKAP!$B$9:$D$200,3,0),"")</f>
        <v/>
      </c>
      <c r="BA43" s="15" t="str">
        <f>IFERROR(VLOOKUP($C43,[18]REKAP!$B$9:$E$200,4,0),"")</f>
        <v/>
      </c>
      <c r="BB43" s="15" t="str">
        <f>IFERROR(VLOOKUP($C43,[18]REKAP!$B$9:$G$200,6,0),"")</f>
        <v/>
      </c>
      <c r="BC43" s="15" t="str">
        <f>IFERROR(VLOOKUP($C43,[19]REKAP!$B$9:$D$200,3,0),"")</f>
        <v/>
      </c>
      <c r="BD43" s="15" t="str">
        <f>IFERROR(VLOOKUP($C43,[19]REKAP!$B$9:$E$200,4,0),"")</f>
        <v/>
      </c>
      <c r="BE43" s="15" t="str">
        <f>IFERROR(VLOOKUP($C43,[19]REKAP!$B$9:$G$200,6,0),"")</f>
        <v/>
      </c>
      <c r="BF43" s="15" t="str">
        <f>IFERROR(VLOOKUP($C43,[20]REKAP!$B$9:$D$200,3,0),"")</f>
        <v/>
      </c>
      <c r="BG43" s="15" t="str">
        <f>IFERROR(VLOOKUP($C43,[20]REKAP!$B$9:$E$200,4,0),"")</f>
        <v/>
      </c>
      <c r="BH43" s="15" t="str">
        <f>IFERROR(VLOOKUP($C43,[20]REKAP!$B$9:$G$200,6,0),"")</f>
        <v/>
      </c>
      <c r="BI43" s="15" t="str">
        <f>IFERROR(VLOOKUP($C43,[21]REKAP!$B$9:$D$200,3,0),"")</f>
        <v/>
      </c>
      <c r="BJ43" s="15" t="str">
        <f>IFERROR(VLOOKUP($C43,[21]REKAP!$B$9:$E$200,4,0),"")</f>
        <v/>
      </c>
      <c r="BK43" s="15" t="str">
        <f>IFERROR(VLOOKUP($C43,[21]REKAP!$B$9:$G$200,6,0),"")</f>
        <v/>
      </c>
      <c r="BL43" s="15" t="str">
        <f>IFERROR(VLOOKUP($C43,[22]REKAP!$B$9:$D$200,3,0),"")</f>
        <v/>
      </c>
      <c r="BM43" s="15" t="str">
        <f>IFERROR(VLOOKUP($C43,[22]REKAP!$B$9:$E$200,4,0),"")</f>
        <v/>
      </c>
      <c r="BN43" s="15" t="str">
        <f>IFERROR(VLOOKUP($C43,[22]REKAP!$B$9:$G$200,6,0),"")</f>
        <v/>
      </c>
      <c r="BO43" s="15" t="str">
        <f>IFERROR(VLOOKUP($C43,[23]REKAP!$B$9:$D$200,3,0),"")</f>
        <v/>
      </c>
      <c r="BP43" s="15" t="str">
        <f>IFERROR(VLOOKUP($C43,[23]REKAP!$B$9:$E$200,4,0),"")</f>
        <v/>
      </c>
      <c r="BQ43" s="15" t="str">
        <f>IFERROR(VLOOKUP($C43,[23]REKAP!$B$9:$G$200,6,0),"")</f>
        <v/>
      </c>
      <c r="BR43" s="15" t="str">
        <f>IFERROR(VLOOKUP($C43,[24]REKAP!$B$9:$D$200,3,0),"")</f>
        <v/>
      </c>
      <c r="BS43" s="15" t="str">
        <f>IFERROR(VLOOKUP($C43,[24]REKAP!$B$9:$E$200,4,0),"")</f>
        <v/>
      </c>
      <c r="BT43" s="15" t="str">
        <f>IFERROR(VLOOKUP($C43,[24]REKAP!$B$9:$G$200,6,0),"")</f>
        <v/>
      </c>
      <c r="BU43" s="15" t="str">
        <f>IFERROR(VLOOKUP($C43,[25]REKAP!$B$9:$D$200,3,0),"")</f>
        <v/>
      </c>
      <c r="BV43" s="15" t="str">
        <f>IFERROR(VLOOKUP($C43,[25]REKAP!$B$9:$E$200,4,0),"")</f>
        <v/>
      </c>
      <c r="BW43" s="15" t="str">
        <f>IFERROR(VLOOKUP($C43,[25]REKAP!$B$9:$G$200,6,0),"")</f>
        <v/>
      </c>
      <c r="BX43" s="15" t="str">
        <f>IFERROR(VLOOKUP($C43,[26]REKAP!$B$9:$D$200,3,0),"")</f>
        <v/>
      </c>
      <c r="BY43" s="15" t="str">
        <f>IFERROR(VLOOKUP($C43,[26]REKAP!$B$9:$E$200,4,0),"")</f>
        <v/>
      </c>
      <c r="BZ43" s="15" t="str">
        <f>IFERROR(VLOOKUP($C43,[26]REKAP!$B$9:$G$200,6,0),"")</f>
        <v/>
      </c>
      <c r="CA43" s="15" t="str">
        <f>IFERROR(VLOOKUP($C43,[27]REKAP!$B$9:$D$200,3,0),"")</f>
        <v/>
      </c>
      <c r="CB43" s="15" t="str">
        <f>IFERROR(VLOOKUP($C43,[27]REKAP!$B$9:$E$200,4,0),"")</f>
        <v/>
      </c>
      <c r="CC43" s="15" t="str">
        <f>IFERROR(VLOOKUP($C43,[27]REKAP!$B$9:$G$200,6,0),"")</f>
        <v/>
      </c>
      <c r="CD43" s="15" t="str">
        <f>IFERROR(VLOOKUP($C43,[28]REKAP!$B$9:$D$200,3,0),"")</f>
        <v/>
      </c>
      <c r="CE43" s="15" t="str">
        <f>IFERROR(VLOOKUP($C43,[28]REKAP!$B$9:$E$200,4,0),"")</f>
        <v/>
      </c>
      <c r="CF43" s="15" t="str">
        <f>IFERROR(VLOOKUP($C43,[28]REKAP!$B$9:$G$200,6,0),"")</f>
        <v/>
      </c>
      <c r="CG43" s="15" t="str">
        <f>IFERROR(VLOOKUP($C43,[29]REKAP!$B$9:$D$200,3,0),"")</f>
        <v/>
      </c>
      <c r="CH43" s="15" t="str">
        <f>IFERROR(VLOOKUP($C43,[29]REKAP!$B$9:$E$200,4,0),"")</f>
        <v/>
      </c>
      <c r="CI43" s="15" t="str">
        <f>IFERROR(VLOOKUP($C43,[29]REKAP!$B$9:$G$200,6,0),"")</f>
        <v/>
      </c>
      <c r="CJ43" s="15" t="str">
        <f>IFERROR(VLOOKUP($C43,[30]REKAP!$B$9:$D$200,3,0),"")</f>
        <v/>
      </c>
      <c r="CK43" s="15" t="str">
        <f>IFERROR(VLOOKUP($C43,[30]REKAP!$B$9:$E$200,4,0),"")</f>
        <v/>
      </c>
      <c r="CL43" s="15" t="str">
        <f>IFERROR(VLOOKUP($C43,[30]REKAP!$B$9:$G$200,6,0),"")</f>
        <v/>
      </c>
      <c r="CM43" s="15" t="str">
        <f>IFERROR(VLOOKUP($C43,[31]REKAP!$B$9:$D$200,3,0),"")</f>
        <v/>
      </c>
      <c r="CN43" s="15" t="str">
        <f>IFERROR(VLOOKUP($C43,[31]REKAP!$B$9:$E$200,4,0),"")</f>
        <v/>
      </c>
      <c r="CO43" s="15" t="str">
        <f>IFERROR(VLOOKUP($C43,[31]REKAP!$B$9:$G$200,6,0),"")</f>
        <v/>
      </c>
      <c r="CP43" s="15" t="str">
        <f>IFERROR(VLOOKUP($C43,[32]REKAP!$B$9:$D$200,3,0),"")</f>
        <v/>
      </c>
      <c r="CQ43" s="15" t="str">
        <f>IFERROR(VLOOKUP($C43,[32]REKAP!$B$9:$E$200,4,0),"")</f>
        <v/>
      </c>
      <c r="CR43" s="15" t="str">
        <f>IFERROR(VLOOKUP($C43,[32]REKAP!$B$9:$G$200,6,0),"")</f>
        <v/>
      </c>
      <c r="CS43" s="15" t="str">
        <f>IFERROR(VLOOKUP($C43,[33]REKAP!$B$9:$D$200,3,0),"")</f>
        <v/>
      </c>
      <c r="CT43" s="15" t="str">
        <f>IFERROR(VLOOKUP($C43,[33]REKAP!$B$9:$E$200,4,0),"")</f>
        <v/>
      </c>
      <c r="CU43" s="15" t="str">
        <f>IFERROR(VLOOKUP($C43,[33]REKAP!$B$9:$G$200,6,0),"")</f>
        <v/>
      </c>
      <c r="CV43" s="15" t="str">
        <f>IFERROR(VLOOKUP($C43,[34]REKAP!$B$9:$D$200,3,0),"")</f>
        <v/>
      </c>
      <c r="CW43" s="15" t="str">
        <f>IFERROR(VLOOKUP($C43,[34]REKAP!$B$9:$E$200,4,0),"")</f>
        <v/>
      </c>
      <c r="CX43" s="15" t="str">
        <f>IFERROR(VLOOKUP($C43,[34]REKAP!$B$9:$G$200,6,0),"")</f>
        <v/>
      </c>
    </row>
    <row r="44" spans="3:102" x14ac:dyDescent="0.25">
      <c r="C44" s="7" t="s">
        <v>59</v>
      </c>
      <c r="D44" s="5" t="str">
        <f>IFERROR(VLOOKUP(C44,DBASE!$C$7:$D$207,2,0),"")</f>
        <v>WAFER TANGGO LONG KEJU 52GR</v>
      </c>
      <c r="E44" s="15">
        <f t="shared" si="2"/>
        <v>11.333333333333334</v>
      </c>
      <c r="F44" s="15">
        <f t="shared" si="2"/>
        <v>1020360</v>
      </c>
      <c r="H44" s="15">
        <f t="shared" si="2"/>
        <v>31200.266666666634</v>
      </c>
      <c r="J44" s="15">
        <f>IFERROR(VLOOKUP($C44,[4]REKAP!$B$9:$D$200,3,0),"")</f>
        <v>0</v>
      </c>
      <c r="K44" s="15">
        <f>IFERROR(VLOOKUP($C44,[4]REKAP!$B$9:$E$200,4,0),"")</f>
        <v>0</v>
      </c>
      <c r="L44" s="15">
        <f>IFERROR(VLOOKUP($C44,[4]REKAP!$B$9:$G$200,6,0),"")</f>
        <v>0</v>
      </c>
      <c r="M44" s="15" t="str">
        <f>IFERROR(VLOOKUP($C44,[5]REKAP!$B$9:$D$200,3,0),"")</f>
        <v/>
      </c>
      <c r="N44" s="15" t="str">
        <f>IFERROR(VLOOKUP($C44,[5]REKAP!$B$9:$E$200,4,0),"")</f>
        <v/>
      </c>
      <c r="O44" s="15" t="str">
        <f>IFERROR(VLOOKUP($C44,[5]REKAP!$B$9:$G$200,6,0),"")</f>
        <v/>
      </c>
      <c r="P44" s="15" t="str">
        <f>IFERROR(VLOOKUP($C44,[6]REKAP!$B$9:$D$200,3,0),"")</f>
        <v/>
      </c>
      <c r="Q44" s="15" t="str">
        <f>IFERROR(VLOOKUP($C44,[6]REKAP!$B$9:$E$200,4,0),"")</f>
        <v/>
      </c>
      <c r="R44" s="15" t="str">
        <f>IFERROR(VLOOKUP($C44,[6]REKAP!$B$9:$G$200,6,0),"")</f>
        <v/>
      </c>
      <c r="S44" s="15">
        <f>IFERROR(VLOOKUP($C44,[7]REKAP!$B$9:$D$200,3,0),"")</f>
        <v>0</v>
      </c>
      <c r="T44" s="15">
        <f>IFERROR(VLOOKUP($C44,[7]REKAP!$B$9:$E$200,4,0),"")</f>
        <v>0</v>
      </c>
      <c r="U44" s="15">
        <f>IFERROR(VLOOKUP($C44,[7]REKAP!$B$9:$G$200,6,0),"")</f>
        <v>0</v>
      </c>
      <c r="V44" s="15">
        <f>IFERROR(VLOOKUP($C44,[8]REKAP!$B$9:$D$200,3,0),"")</f>
        <v>0</v>
      </c>
      <c r="W44" s="15">
        <f>IFERROR(VLOOKUP($C44,[8]REKAP!$B$9:$E$200,4,0),"")</f>
        <v>0</v>
      </c>
      <c r="X44" s="15">
        <f>IFERROR(VLOOKUP($C44,[8]REKAP!$B$9:$G$200,6,0),"")</f>
        <v>0</v>
      </c>
      <c r="Y44" s="15">
        <f>IFERROR(VLOOKUP($C44,[9]REKAP!$B$9:$D$200,3,0),"")</f>
        <v>5</v>
      </c>
      <c r="Z44" s="15">
        <f>IFERROR(VLOOKUP($C44,[9]REKAP!$B$9:$E$200,4,0),"")</f>
        <v>449000</v>
      </c>
      <c r="AA44" s="15">
        <f>IFERROR(VLOOKUP($C44,[9]REKAP!$B$9:$G$200,6,0),"")</f>
        <v>12605.999999999985</v>
      </c>
      <c r="AB44" s="15">
        <f>IFERROR(VLOOKUP($C44,[10]REKAP!$B$9:$D$200,3,0),"")</f>
        <v>1</v>
      </c>
      <c r="AC44" s="15">
        <f>IFERROR(VLOOKUP($C44,[10]REKAP!$B$9:$E$200,4,0),"")</f>
        <v>90000</v>
      </c>
      <c r="AD44" s="15">
        <f>IFERROR(VLOOKUP($C44,[10]REKAP!$B$9:$G$200,6,0),"")</f>
        <v>2721.1999999999971</v>
      </c>
      <c r="AE44" s="15">
        <f>IFERROR(VLOOKUP($C44,[11]REKAP!$B$9:$D$199,3,0),"")</f>
        <v>4</v>
      </c>
      <c r="AF44" s="15">
        <f>IFERROR(VLOOKUP($C44,[11]REKAP!$B$9:$E$199,4,0),"")</f>
        <v>360000</v>
      </c>
      <c r="AG44" s="15">
        <f>IFERROR(VLOOKUP($C44,[11]REKAP!$B$9:$G$199,6,0),"")</f>
        <v>10884.799999999988</v>
      </c>
      <c r="AH44" s="15">
        <f>IFERROR(VLOOKUP($C44,[12]REKAP!$B$9:$D$200,3,0),"")</f>
        <v>1.3333333333333333</v>
      </c>
      <c r="AI44" s="15">
        <f>IFERROR(VLOOKUP($C44,[12]REKAP!$B$9:$E$200,4,0),"")</f>
        <v>121360</v>
      </c>
      <c r="AJ44" s="15">
        <f>IFERROR(VLOOKUP($C44,[12]REKAP!$B$9:$G$200,6,0),"")</f>
        <v>4988.2666666666628</v>
      </c>
      <c r="AK44" s="15">
        <f>IFERROR(VLOOKUP($C44,[13]REKAP!$B$9:$D$200,3,0),"")</f>
        <v>0</v>
      </c>
      <c r="AL44" s="15">
        <f>IFERROR(VLOOKUP($C44,[13]REKAP!$B$9:$E$200,4,0),"")</f>
        <v>0</v>
      </c>
      <c r="AM44" s="15">
        <f>IFERROR(VLOOKUP($C44,[13]REKAP!$B$9:$G$200,6,0),"")</f>
        <v>0</v>
      </c>
      <c r="AN44" s="15">
        <f>IFERROR(VLOOKUP($C44,[14]REKAP!$B$9:$D$200,3,0),"")</f>
        <v>0</v>
      </c>
      <c r="AO44" s="15">
        <f>IFERROR(VLOOKUP($C44,[14]REKAP!$B$9:$E$200,4,0),"")</f>
        <v>0</v>
      </c>
      <c r="AP44" s="15">
        <f>IFERROR(VLOOKUP($C44,[14]REKAP!$B$9:$G$200,6,0),"")</f>
        <v>0</v>
      </c>
      <c r="AQ44" s="15">
        <f>IFERROR(VLOOKUP($C44,[15]REKAP!$B$9:$D$200,3,0),"")</f>
        <v>0</v>
      </c>
      <c r="AR44" s="15">
        <f>IFERROR(VLOOKUP($C44,[15]REKAP!$B$9:$E$200,4,0),"")</f>
        <v>0</v>
      </c>
      <c r="AS44" s="15">
        <f>IFERROR(VLOOKUP($C44,[15]REKAP!$B$9:$G$200,6,0),"")</f>
        <v>0</v>
      </c>
      <c r="AT44" s="15">
        <f>IFERROR(VLOOKUP($C44,[16]REKAP!$B$9:$D$200,3,0),"")</f>
        <v>0</v>
      </c>
      <c r="AU44" s="15">
        <f>IFERROR(VLOOKUP($C44,[16]REKAP!$B$9:$E$200,4,0),"")</f>
        <v>0</v>
      </c>
      <c r="AV44" s="15">
        <f>IFERROR(VLOOKUP($C44,[16]REKAP!$B$9:$G$200,6,0),"")</f>
        <v>0</v>
      </c>
      <c r="AW44" s="15">
        <f>IFERROR(VLOOKUP($C44,[17]REKAP!$B$9:$D$200,3,0),"")</f>
        <v>0</v>
      </c>
      <c r="AX44" s="15">
        <f>IFERROR(VLOOKUP($C44,[17]REKAP!$B$9:$E$200,4,0),"")</f>
        <v>0</v>
      </c>
      <c r="AY44" s="15">
        <f>IFERROR(VLOOKUP($C44,[17]REKAP!$B$9:$G$200,6,0),"")</f>
        <v>0</v>
      </c>
      <c r="AZ44" s="15" t="str">
        <f>IFERROR(VLOOKUP($C44,[18]REKAP!$B$9:$D$200,3,0),"")</f>
        <v/>
      </c>
      <c r="BA44" s="15" t="str">
        <f>IFERROR(VLOOKUP($C44,[18]REKAP!$B$9:$E$200,4,0),"")</f>
        <v/>
      </c>
      <c r="BB44" s="15" t="str">
        <f>IFERROR(VLOOKUP($C44,[18]REKAP!$B$9:$G$200,6,0),"")</f>
        <v/>
      </c>
      <c r="BC44" s="15" t="str">
        <f>IFERROR(VLOOKUP($C44,[19]REKAP!$B$9:$D$200,3,0),"")</f>
        <v/>
      </c>
      <c r="BD44" s="15" t="str">
        <f>IFERROR(VLOOKUP($C44,[19]REKAP!$B$9:$E$200,4,0),"")</f>
        <v/>
      </c>
      <c r="BE44" s="15" t="str">
        <f>IFERROR(VLOOKUP($C44,[19]REKAP!$B$9:$G$200,6,0),"")</f>
        <v/>
      </c>
      <c r="BF44" s="15" t="str">
        <f>IFERROR(VLOOKUP($C44,[20]REKAP!$B$9:$D$200,3,0),"")</f>
        <v/>
      </c>
      <c r="BG44" s="15" t="str">
        <f>IFERROR(VLOOKUP($C44,[20]REKAP!$B$9:$E$200,4,0),"")</f>
        <v/>
      </c>
      <c r="BH44" s="15" t="str">
        <f>IFERROR(VLOOKUP($C44,[20]REKAP!$B$9:$G$200,6,0),"")</f>
        <v/>
      </c>
      <c r="BI44" s="15" t="str">
        <f>IFERROR(VLOOKUP($C44,[21]REKAP!$B$9:$D$200,3,0),"")</f>
        <v/>
      </c>
      <c r="BJ44" s="15" t="str">
        <f>IFERROR(VLOOKUP($C44,[21]REKAP!$B$9:$E$200,4,0),"")</f>
        <v/>
      </c>
      <c r="BK44" s="15" t="str">
        <f>IFERROR(VLOOKUP($C44,[21]REKAP!$B$9:$G$200,6,0),"")</f>
        <v/>
      </c>
      <c r="BL44" s="15" t="str">
        <f>IFERROR(VLOOKUP($C44,[22]REKAP!$B$9:$D$200,3,0),"")</f>
        <v/>
      </c>
      <c r="BM44" s="15" t="str">
        <f>IFERROR(VLOOKUP($C44,[22]REKAP!$B$9:$E$200,4,0),"")</f>
        <v/>
      </c>
      <c r="BN44" s="15" t="str">
        <f>IFERROR(VLOOKUP($C44,[22]REKAP!$B$9:$G$200,6,0),"")</f>
        <v/>
      </c>
      <c r="BO44" s="15" t="str">
        <f>IFERROR(VLOOKUP($C44,[23]REKAP!$B$9:$D$200,3,0),"")</f>
        <v/>
      </c>
      <c r="BP44" s="15" t="str">
        <f>IFERROR(VLOOKUP($C44,[23]REKAP!$B$9:$E$200,4,0),"")</f>
        <v/>
      </c>
      <c r="BQ44" s="15" t="str">
        <f>IFERROR(VLOOKUP($C44,[23]REKAP!$B$9:$G$200,6,0),"")</f>
        <v/>
      </c>
      <c r="BR44" s="15" t="str">
        <f>IFERROR(VLOOKUP($C44,[24]REKAP!$B$9:$D$200,3,0),"")</f>
        <v/>
      </c>
      <c r="BS44" s="15" t="str">
        <f>IFERROR(VLOOKUP($C44,[24]REKAP!$B$9:$E$200,4,0),"")</f>
        <v/>
      </c>
      <c r="BT44" s="15" t="str">
        <f>IFERROR(VLOOKUP($C44,[24]REKAP!$B$9:$G$200,6,0),"")</f>
        <v/>
      </c>
      <c r="BU44" s="15" t="str">
        <f>IFERROR(VLOOKUP($C44,[25]REKAP!$B$9:$D$200,3,0),"")</f>
        <v/>
      </c>
      <c r="BV44" s="15" t="str">
        <f>IFERROR(VLOOKUP($C44,[25]REKAP!$B$9:$E$200,4,0),"")</f>
        <v/>
      </c>
      <c r="BW44" s="15" t="str">
        <f>IFERROR(VLOOKUP($C44,[25]REKAP!$B$9:$G$200,6,0),"")</f>
        <v/>
      </c>
      <c r="BX44" s="15" t="str">
        <f>IFERROR(VLOOKUP($C44,[26]REKAP!$B$9:$D$200,3,0),"")</f>
        <v/>
      </c>
      <c r="BY44" s="15" t="str">
        <f>IFERROR(VLOOKUP($C44,[26]REKAP!$B$9:$E$200,4,0),"")</f>
        <v/>
      </c>
      <c r="BZ44" s="15" t="str">
        <f>IFERROR(VLOOKUP($C44,[26]REKAP!$B$9:$G$200,6,0),"")</f>
        <v/>
      </c>
      <c r="CA44" s="15" t="str">
        <f>IFERROR(VLOOKUP($C44,[27]REKAP!$B$9:$D$200,3,0),"")</f>
        <v/>
      </c>
      <c r="CB44" s="15" t="str">
        <f>IFERROR(VLOOKUP($C44,[27]REKAP!$B$9:$E$200,4,0),"")</f>
        <v/>
      </c>
      <c r="CC44" s="15" t="str">
        <f>IFERROR(VLOOKUP($C44,[27]REKAP!$B$9:$G$200,6,0),"")</f>
        <v/>
      </c>
      <c r="CD44" s="15" t="str">
        <f>IFERROR(VLOOKUP($C44,[28]REKAP!$B$9:$D$200,3,0),"")</f>
        <v/>
      </c>
      <c r="CE44" s="15" t="str">
        <f>IFERROR(VLOOKUP($C44,[28]REKAP!$B$9:$E$200,4,0),"")</f>
        <v/>
      </c>
      <c r="CF44" s="15" t="str">
        <f>IFERROR(VLOOKUP($C44,[28]REKAP!$B$9:$G$200,6,0),"")</f>
        <v/>
      </c>
      <c r="CG44" s="15" t="str">
        <f>IFERROR(VLOOKUP($C44,[29]REKAP!$B$9:$D$200,3,0),"")</f>
        <v/>
      </c>
      <c r="CH44" s="15" t="str">
        <f>IFERROR(VLOOKUP($C44,[29]REKAP!$B$9:$E$200,4,0),"")</f>
        <v/>
      </c>
      <c r="CI44" s="15" t="str">
        <f>IFERROR(VLOOKUP($C44,[29]REKAP!$B$9:$G$200,6,0),"")</f>
        <v/>
      </c>
      <c r="CJ44" s="15" t="str">
        <f>IFERROR(VLOOKUP($C44,[30]REKAP!$B$9:$D$200,3,0),"")</f>
        <v/>
      </c>
      <c r="CK44" s="15" t="str">
        <f>IFERROR(VLOOKUP($C44,[30]REKAP!$B$9:$E$200,4,0),"")</f>
        <v/>
      </c>
      <c r="CL44" s="15" t="str">
        <f>IFERROR(VLOOKUP($C44,[30]REKAP!$B$9:$G$200,6,0),"")</f>
        <v/>
      </c>
      <c r="CM44" s="15" t="str">
        <f>IFERROR(VLOOKUP($C44,[31]REKAP!$B$9:$D$200,3,0),"")</f>
        <v/>
      </c>
      <c r="CN44" s="15" t="str">
        <f>IFERROR(VLOOKUP($C44,[31]REKAP!$B$9:$E$200,4,0),"")</f>
        <v/>
      </c>
      <c r="CO44" s="15" t="str">
        <f>IFERROR(VLOOKUP($C44,[31]REKAP!$B$9:$G$200,6,0),"")</f>
        <v/>
      </c>
      <c r="CP44" s="15" t="str">
        <f>IFERROR(VLOOKUP($C44,[32]REKAP!$B$9:$D$200,3,0),"")</f>
        <v/>
      </c>
      <c r="CQ44" s="15" t="str">
        <f>IFERROR(VLOOKUP($C44,[32]REKAP!$B$9:$E$200,4,0),"")</f>
        <v/>
      </c>
      <c r="CR44" s="15" t="str">
        <f>IFERROR(VLOOKUP($C44,[32]REKAP!$B$9:$G$200,6,0),"")</f>
        <v/>
      </c>
      <c r="CS44" s="15" t="str">
        <f>IFERROR(VLOOKUP($C44,[33]REKAP!$B$9:$D$200,3,0),"")</f>
        <v/>
      </c>
      <c r="CT44" s="15" t="str">
        <f>IFERROR(VLOOKUP($C44,[33]REKAP!$B$9:$E$200,4,0),"")</f>
        <v/>
      </c>
      <c r="CU44" s="15" t="str">
        <f>IFERROR(VLOOKUP($C44,[33]REKAP!$B$9:$G$200,6,0),"")</f>
        <v/>
      </c>
      <c r="CV44" s="15" t="str">
        <f>IFERROR(VLOOKUP($C44,[34]REKAP!$B$9:$D$200,3,0),"")</f>
        <v/>
      </c>
      <c r="CW44" s="15" t="str">
        <f>IFERROR(VLOOKUP($C44,[34]REKAP!$B$9:$E$200,4,0),"")</f>
        <v/>
      </c>
      <c r="CX44" s="15" t="str">
        <f>IFERROR(VLOOKUP($C44,[34]REKAP!$B$9:$G$200,6,0),"")</f>
        <v/>
      </c>
    </row>
    <row r="45" spans="3:102" x14ac:dyDescent="0.25">
      <c r="C45" s="7" t="s">
        <v>60</v>
      </c>
      <c r="D45" s="5" t="str">
        <f>IFERROR(VLOOKUP(C45,DBASE!$C$7:$D$207,2,0),"")</f>
        <v>WAFFLE CRUNCHOX 8GR</v>
      </c>
      <c r="E45" s="15">
        <f t="shared" si="2"/>
        <v>4</v>
      </c>
      <c r="F45" s="15">
        <f t="shared" si="2"/>
        <v>189020</v>
      </c>
      <c r="H45" s="15">
        <f t="shared" si="2"/>
        <v>3770</v>
      </c>
      <c r="J45" s="15">
        <f>IFERROR(VLOOKUP($C45,[4]REKAP!$B$9:$D$200,3,0),"")</f>
        <v>0</v>
      </c>
      <c r="K45" s="15">
        <f>IFERROR(VLOOKUP($C45,[4]REKAP!$B$9:$E$200,4,0),"")</f>
        <v>0</v>
      </c>
      <c r="L45" s="15">
        <f>IFERROR(VLOOKUP($C45,[4]REKAP!$B$9:$G$200,6,0),"")</f>
        <v>0</v>
      </c>
      <c r="M45" s="15" t="str">
        <f>IFERROR(VLOOKUP($C45,[5]REKAP!$B$9:$D$200,3,0),"")</f>
        <v/>
      </c>
      <c r="N45" s="15" t="str">
        <f>IFERROR(VLOOKUP($C45,[5]REKAP!$B$9:$E$200,4,0),"")</f>
        <v/>
      </c>
      <c r="O45" s="15" t="str">
        <f>IFERROR(VLOOKUP($C45,[5]REKAP!$B$9:$G$200,6,0),"")</f>
        <v/>
      </c>
      <c r="P45" s="15" t="str">
        <f>IFERROR(VLOOKUP($C45,[6]REKAP!$B$9:$D$200,3,0),"")</f>
        <v/>
      </c>
      <c r="Q45" s="15" t="str">
        <f>IFERROR(VLOOKUP($C45,[6]REKAP!$B$9:$E$200,4,0),"")</f>
        <v/>
      </c>
      <c r="R45" s="15" t="str">
        <f>IFERROR(VLOOKUP($C45,[6]REKAP!$B$9:$G$200,6,0),"")</f>
        <v/>
      </c>
      <c r="S45" s="15">
        <f>IFERROR(VLOOKUP($C45,[7]REKAP!$B$9:$D$200,3,0),"")</f>
        <v>1</v>
      </c>
      <c r="T45" s="15">
        <f>IFERROR(VLOOKUP($C45,[7]REKAP!$B$9:$E$200,4,0),"")</f>
        <v>47000</v>
      </c>
      <c r="U45" s="15">
        <f>IFERROR(VLOOKUP($C45,[7]REKAP!$B$9:$G$200,6,0),"")</f>
        <v>687.5</v>
      </c>
      <c r="V45" s="15">
        <f>IFERROR(VLOOKUP($C45,[8]REKAP!$B$9:$D$200,3,0),"")</f>
        <v>1</v>
      </c>
      <c r="W45" s="15">
        <f>IFERROR(VLOOKUP($C45,[8]REKAP!$B$9:$E$200,4,0),"")</f>
        <v>47000</v>
      </c>
      <c r="X45" s="15">
        <f>IFERROR(VLOOKUP($C45,[8]REKAP!$B$9:$G$200,6,0),"")</f>
        <v>687.5</v>
      </c>
      <c r="Y45" s="15">
        <f>IFERROR(VLOOKUP($C45,[9]REKAP!$B$9:$D$200,3,0),"")</f>
        <v>0</v>
      </c>
      <c r="Z45" s="15">
        <f>IFERROR(VLOOKUP($C45,[9]REKAP!$B$9:$E$200,4,0),"")</f>
        <v>0</v>
      </c>
      <c r="AA45" s="15">
        <f>IFERROR(VLOOKUP($C45,[9]REKAP!$B$9:$G$200,6,0),"")</f>
        <v>0</v>
      </c>
      <c r="AB45" s="15">
        <f>IFERROR(VLOOKUP($C45,[10]REKAP!$B$9:$D$200,3,0),"")</f>
        <v>0</v>
      </c>
      <c r="AC45" s="15">
        <f>IFERROR(VLOOKUP($C45,[10]REKAP!$B$9:$E$200,4,0),"")</f>
        <v>0</v>
      </c>
      <c r="AD45" s="15">
        <f>IFERROR(VLOOKUP($C45,[10]REKAP!$B$9:$G$200,6,0),"")</f>
        <v>0</v>
      </c>
      <c r="AE45" s="15">
        <f>IFERROR(VLOOKUP($C45,[11]REKAP!$B$9:$D$199,3,0),"")</f>
        <v>1</v>
      </c>
      <c r="AF45" s="15">
        <f>IFERROR(VLOOKUP($C45,[11]REKAP!$B$9:$E$199,4,0),"")</f>
        <v>47000</v>
      </c>
      <c r="AG45" s="15">
        <f>IFERROR(VLOOKUP($C45,[11]REKAP!$B$9:$G$199,6,0),"")</f>
        <v>687.5</v>
      </c>
      <c r="AH45" s="15">
        <f>IFERROR(VLOOKUP($C45,[12]REKAP!$B$9:$D$200,3,0),"")</f>
        <v>1</v>
      </c>
      <c r="AI45" s="15">
        <f>IFERROR(VLOOKUP($C45,[12]REKAP!$B$9:$E$200,4,0),"")</f>
        <v>48020</v>
      </c>
      <c r="AJ45" s="15">
        <f>IFERROR(VLOOKUP($C45,[12]REKAP!$B$9:$G$200,6,0),"")</f>
        <v>1707.5</v>
      </c>
      <c r="AK45" s="15">
        <f>IFERROR(VLOOKUP($C45,[13]REKAP!$B$9:$D$200,3,0),"")</f>
        <v>0</v>
      </c>
      <c r="AL45" s="15">
        <f>IFERROR(VLOOKUP($C45,[13]REKAP!$B$9:$E$200,4,0),"")</f>
        <v>0</v>
      </c>
      <c r="AM45" s="15">
        <f>IFERROR(VLOOKUP($C45,[13]REKAP!$B$9:$G$200,6,0),"")</f>
        <v>0</v>
      </c>
      <c r="AN45" s="15">
        <f>IFERROR(VLOOKUP($C45,[14]REKAP!$B$9:$D$200,3,0),"")</f>
        <v>0</v>
      </c>
      <c r="AO45" s="15">
        <f>IFERROR(VLOOKUP($C45,[14]REKAP!$B$9:$E$200,4,0),"")</f>
        <v>0</v>
      </c>
      <c r="AP45" s="15">
        <f>IFERROR(VLOOKUP($C45,[14]REKAP!$B$9:$G$200,6,0),"")</f>
        <v>0</v>
      </c>
      <c r="AQ45" s="15">
        <f>IFERROR(VLOOKUP($C45,[15]REKAP!$B$9:$D$200,3,0),"")</f>
        <v>0</v>
      </c>
      <c r="AR45" s="15">
        <f>IFERROR(VLOOKUP($C45,[15]REKAP!$B$9:$E$200,4,0),"")</f>
        <v>0</v>
      </c>
      <c r="AS45" s="15">
        <f>IFERROR(VLOOKUP($C45,[15]REKAP!$B$9:$G$200,6,0),"")</f>
        <v>0</v>
      </c>
      <c r="AT45" s="15">
        <f>IFERROR(VLOOKUP($C45,[16]REKAP!$B$9:$D$200,3,0),"")</f>
        <v>0</v>
      </c>
      <c r="AU45" s="15">
        <f>IFERROR(VLOOKUP($C45,[16]REKAP!$B$9:$E$200,4,0),"")</f>
        <v>0</v>
      </c>
      <c r="AV45" s="15">
        <f>IFERROR(VLOOKUP($C45,[16]REKAP!$B$9:$G$200,6,0),"")</f>
        <v>0</v>
      </c>
      <c r="AW45" s="15">
        <f>IFERROR(VLOOKUP($C45,[17]REKAP!$B$9:$D$200,3,0),"")</f>
        <v>0</v>
      </c>
      <c r="AX45" s="15">
        <f>IFERROR(VLOOKUP($C45,[17]REKAP!$B$9:$E$200,4,0),"")</f>
        <v>0</v>
      </c>
      <c r="AY45" s="15">
        <f>IFERROR(VLOOKUP($C45,[17]REKAP!$B$9:$G$200,6,0),"")</f>
        <v>0</v>
      </c>
      <c r="AZ45" s="15" t="str">
        <f>IFERROR(VLOOKUP($C45,[18]REKAP!$B$9:$D$200,3,0),"")</f>
        <v/>
      </c>
      <c r="BA45" s="15" t="str">
        <f>IFERROR(VLOOKUP($C45,[18]REKAP!$B$9:$E$200,4,0),"")</f>
        <v/>
      </c>
      <c r="BB45" s="15" t="str">
        <f>IFERROR(VLOOKUP($C45,[18]REKAP!$B$9:$G$200,6,0),"")</f>
        <v/>
      </c>
      <c r="BC45" s="15" t="str">
        <f>IFERROR(VLOOKUP($C45,[19]REKAP!$B$9:$D$200,3,0),"")</f>
        <v/>
      </c>
      <c r="BD45" s="15" t="str">
        <f>IFERROR(VLOOKUP($C45,[19]REKAP!$B$9:$E$200,4,0),"")</f>
        <v/>
      </c>
      <c r="BE45" s="15" t="str">
        <f>IFERROR(VLOOKUP($C45,[19]REKAP!$B$9:$G$200,6,0),"")</f>
        <v/>
      </c>
      <c r="BF45" s="15" t="str">
        <f>IFERROR(VLOOKUP($C45,[20]REKAP!$B$9:$D$200,3,0),"")</f>
        <v/>
      </c>
      <c r="BG45" s="15" t="str">
        <f>IFERROR(VLOOKUP($C45,[20]REKAP!$B$9:$E$200,4,0),"")</f>
        <v/>
      </c>
      <c r="BH45" s="15" t="str">
        <f>IFERROR(VLOOKUP($C45,[20]REKAP!$B$9:$G$200,6,0),"")</f>
        <v/>
      </c>
      <c r="BI45" s="15" t="str">
        <f>IFERROR(VLOOKUP($C45,[21]REKAP!$B$9:$D$200,3,0),"")</f>
        <v/>
      </c>
      <c r="BJ45" s="15" t="str">
        <f>IFERROR(VLOOKUP($C45,[21]REKAP!$B$9:$E$200,4,0),"")</f>
        <v/>
      </c>
      <c r="BK45" s="15" t="str">
        <f>IFERROR(VLOOKUP($C45,[21]REKAP!$B$9:$G$200,6,0),"")</f>
        <v/>
      </c>
      <c r="BL45" s="15" t="str">
        <f>IFERROR(VLOOKUP($C45,[22]REKAP!$B$9:$D$200,3,0),"")</f>
        <v/>
      </c>
      <c r="BM45" s="15" t="str">
        <f>IFERROR(VLOOKUP($C45,[22]REKAP!$B$9:$E$200,4,0),"")</f>
        <v/>
      </c>
      <c r="BN45" s="15" t="str">
        <f>IFERROR(VLOOKUP($C45,[22]REKAP!$B$9:$G$200,6,0),"")</f>
        <v/>
      </c>
      <c r="BO45" s="15" t="str">
        <f>IFERROR(VLOOKUP($C45,[23]REKAP!$B$9:$D$200,3,0),"")</f>
        <v/>
      </c>
      <c r="BP45" s="15" t="str">
        <f>IFERROR(VLOOKUP($C45,[23]REKAP!$B$9:$E$200,4,0),"")</f>
        <v/>
      </c>
      <c r="BQ45" s="15" t="str">
        <f>IFERROR(VLOOKUP($C45,[23]REKAP!$B$9:$G$200,6,0),"")</f>
        <v/>
      </c>
      <c r="BR45" s="15" t="str">
        <f>IFERROR(VLOOKUP($C45,[24]REKAP!$B$9:$D$200,3,0),"")</f>
        <v/>
      </c>
      <c r="BS45" s="15" t="str">
        <f>IFERROR(VLOOKUP($C45,[24]REKAP!$B$9:$E$200,4,0),"")</f>
        <v/>
      </c>
      <c r="BT45" s="15" t="str">
        <f>IFERROR(VLOOKUP($C45,[24]REKAP!$B$9:$G$200,6,0),"")</f>
        <v/>
      </c>
      <c r="BU45" s="15" t="str">
        <f>IFERROR(VLOOKUP($C45,[25]REKAP!$B$9:$D$200,3,0),"")</f>
        <v/>
      </c>
      <c r="BV45" s="15" t="str">
        <f>IFERROR(VLOOKUP($C45,[25]REKAP!$B$9:$E$200,4,0),"")</f>
        <v/>
      </c>
      <c r="BW45" s="15" t="str">
        <f>IFERROR(VLOOKUP($C45,[25]REKAP!$B$9:$G$200,6,0),"")</f>
        <v/>
      </c>
      <c r="BX45" s="15" t="str">
        <f>IFERROR(VLOOKUP($C45,[26]REKAP!$B$9:$D$200,3,0),"")</f>
        <v/>
      </c>
      <c r="BY45" s="15" t="str">
        <f>IFERROR(VLOOKUP($C45,[26]REKAP!$B$9:$E$200,4,0),"")</f>
        <v/>
      </c>
      <c r="BZ45" s="15" t="str">
        <f>IFERROR(VLOOKUP($C45,[26]REKAP!$B$9:$G$200,6,0),"")</f>
        <v/>
      </c>
      <c r="CA45" s="15" t="str">
        <f>IFERROR(VLOOKUP($C45,[27]REKAP!$B$9:$D$200,3,0),"")</f>
        <v/>
      </c>
      <c r="CB45" s="15" t="str">
        <f>IFERROR(VLOOKUP($C45,[27]REKAP!$B$9:$E$200,4,0),"")</f>
        <v/>
      </c>
      <c r="CC45" s="15" t="str">
        <f>IFERROR(VLOOKUP($C45,[27]REKAP!$B$9:$G$200,6,0),"")</f>
        <v/>
      </c>
      <c r="CD45" s="15" t="str">
        <f>IFERROR(VLOOKUP($C45,[28]REKAP!$B$9:$D$200,3,0),"")</f>
        <v/>
      </c>
      <c r="CE45" s="15" t="str">
        <f>IFERROR(VLOOKUP($C45,[28]REKAP!$B$9:$E$200,4,0),"")</f>
        <v/>
      </c>
      <c r="CF45" s="15" t="str">
        <f>IFERROR(VLOOKUP($C45,[28]REKAP!$B$9:$G$200,6,0),"")</f>
        <v/>
      </c>
      <c r="CG45" s="15" t="str">
        <f>IFERROR(VLOOKUP($C45,[29]REKAP!$B$9:$D$200,3,0),"")</f>
        <v/>
      </c>
      <c r="CH45" s="15" t="str">
        <f>IFERROR(VLOOKUP($C45,[29]REKAP!$B$9:$E$200,4,0),"")</f>
        <v/>
      </c>
      <c r="CI45" s="15" t="str">
        <f>IFERROR(VLOOKUP($C45,[29]REKAP!$B$9:$G$200,6,0),"")</f>
        <v/>
      </c>
      <c r="CJ45" s="15" t="str">
        <f>IFERROR(VLOOKUP($C45,[30]REKAP!$B$9:$D$200,3,0),"")</f>
        <v/>
      </c>
      <c r="CK45" s="15" t="str">
        <f>IFERROR(VLOOKUP($C45,[30]REKAP!$B$9:$E$200,4,0),"")</f>
        <v/>
      </c>
      <c r="CL45" s="15" t="str">
        <f>IFERROR(VLOOKUP($C45,[30]REKAP!$B$9:$G$200,6,0),"")</f>
        <v/>
      </c>
      <c r="CM45" s="15" t="str">
        <f>IFERROR(VLOOKUP($C45,[31]REKAP!$B$9:$D$200,3,0),"")</f>
        <v/>
      </c>
      <c r="CN45" s="15" t="str">
        <f>IFERROR(VLOOKUP($C45,[31]REKAP!$B$9:$E$200,4,0),"")</f>
        <v/>
      </c>
      <c r="CO45" s="15" t="str">
        <f>IFERROR(VLOOKUP($C45,[31]REKAP!$B$9:$G$200,6,0),"")</f>
        <v/>
      </c>
      <c r="CP45" s="15" t="str">
        <f>IFERROR(VLOOKUP($C45,[32]REKAP!$B$9:$D$200,3,0),"")</f>
        <v/>
      </c>
      <c r="CQ45" s="15" t="str">
        <f>IFERROR(VLOOKUP($C45,[32]REKAP!$B$9:$E$200,4,0),"")</f>
        <v/>
      </c>
      <c r="CR45" s="15" t="str">
        <f>IFERROR(VLOOKUP($C45,[32]REKAP!$B$9:$G$200,6,0),"")</f>
        <v/>
      </c>
      <c r="CS45" s="15" t="str">
        <f>IFERROR(VLOOKUP($C45,[33]REKAP!$B$9:$D$200,3,0),"")</f>
        <v/>
      </c>
      <c r="CT45" s="15" t="str">
        <f>IFERROR(VLOOKUP($C45,[33]REKAP!$B$9:$E$200,4,0),"")</f>
        <v/>
      </c>
      <c r="CU45" s="15" t="str">
        <f>IFERROR(VLOOKUP($C45,[33]REKAP!$B$9:$G$200,6,0),"")</f>
        <v/>
      </c>
      <c r="CV45" s="15" t="str">
        <f>IFERROR(VLOOKUP($C45,[34]REKAP!$B$9:$D$200,3,0),"")</f>
        <v/>
      </c>
      <c r="CW45" s="15" t="str">
        <f>IFERROR(VLOOKUP($C45,[34]REKAP!$B$9:$E$200,4,0),"")</f>
        <v/>
      </c>
      <c r="CX45" s="15" t="str">
        <f>IFERROR(VLOOKUP($C45,[34]REKAP!$B$9:$G$200,6,0),"")</f>
        <v/>
      </c>
    </row>
    <row r="46" spans="3:102" x14ac:dyDescent="0.25">
      <c r="C46" s="7"/>
      <c r="D46" s="5" t="str">
        <f>IFERROR(VLOOKUP(C46,DBASE!$C$7:$D$207,2,0),"")</f>
        <v/>
      </c>
      <c r="E46" s="15">
        <f t="shared" si="2"/>
        <v>0</v>
      </c>
      <c r="F46" s="15">
        <f t="shared" si="2"/>
        <v>0</v>
      </c>
      <c r="H46" s="15">
        <f t="shared" si="2"/>
        <v>0</v>
      </c>
      <c r="J46" s="15" t="str">
        <f>IFERROR(VLOOKUP($C46,[4]REKAP!$B$9:$D$200,3,0),"")</f>
        <v/>
      </c>
      <c r="K46" s="15" t="str">
        <f>IFERROR(VLOOKUP($C46,[4]REKAP!$B$9:$E$200,4,0),"")</f>
        <v/>
      </c>
      <c r="L46" s="15" t="str">
        <f>IFERROR(VLOOKUP($C46,[4]REKAP!$B$9:$G$200,6,0),"")</f>
        <v/>
      </c>
      <c r="M46" s="15" t="str">
        <f>IFERROR(VLOOKUP($C46,[5]REKAP!$B$9:$D$200,3,0),"")</f>
        <v/>
      </c>
      <c r="N46" s="15" t="str">
        <f>IFERROR(VLOOKUP($C46,[5]REKAP!$B$9:$E$200,4,0),"")</f>
        <v/>
      </c>
      <c r="O46" s="15" t="str">
        <f>IFERROR(VLOOKUP($C46,[5]REKAP!$B$9:$G$200,6,0),"")</f>
        <v/>
      </c>
      <c r="P46" s="15" t="str">
        <f>IFERROR(VLOOKUP($C46,[6]REKAP!$B$9:$D$200,3,0),"")</f>
        <v/>
      </c>
      <c r="Q46" s="15" t="str">
        <f>IFERROR(VLOOKUP($C46,[6]REKAP!$B$9:$E$200,4,0),"")</f>
        <v/>
      </c>
      <c r="R46" s="15" t="str">
        <f>IFERROR(VLOOKUP($C46,[6]REKAP!$B$9:$G$200,6,0),"")</f>
        <v/>
      </c>
      <c r="S46" s="15" t="str">
        <f>IFERROR(VLOOKUP($C46,[7]REKAP!$B$9:$D$200,3,0),"")</f>
        <v/>
      </c>
      <c r="T46" s="15" t="str">
        <f>IFERROR(VLOOKUP($C46,[7]REKAP!$B$9:$E$200,4,0),"")</f>
        <v/>
      </c>
      <c r="U46" s="15" t="str">
        <f>IFERROR(VLOOKUP($C46,[7]REKAP!$B$9:$G$200,6,0),"")</f>
        <v/>
      </c>
      <c r="V46" s="15" t="str">
        <f>IFERROR(VLOOKUP($C46,[8]REKAP!$B$9:$D$200,3,0),"")</f>
        <v/>
      </c>
      <c r="W46" s="15" t="str">
        <f>IFERROR(VLOOKUP($C46,[8]REKAP!$B$9:$E$200,4,0),"")</f>
        <v/>
      </c>
      <c r="X46" s="15" t="str">
        <f>IFERROR(VLOOKUP($C46,[8]REKAP!$B$9:$G$200,6,0),"")</f>
        <v/>
      </c>
      <c r="Y46" s="15" t="str">
        <f>IFERROR(VLOOKUP($C46,[9]REKAP!$B$9:$D$200,3,0),"")</f>
        <v/>
      </c>
      <c r="Z46" s="15" t="str">
        <f>IFERROR(VLOOKUP($C46,[9]REKAP!$B$9:$E$200,4,0),"")</f>
        <v/>
      </c>
      <c r="AA46" s="15" t="str">
        <f>IFERROR(VLOOKUP($C46,[9]REKAP!$B$9:$G$200,6,0),"")</f>
        <v/>
      </c>
      <c r="AB46" s="15" t="str">
        <f>IFERROR(VLOOKUP($C46,[10]REKAP!$B$9:$D$200,3,0),"")</f>
        <v/>
      </c>
      <c r="AC46" s="15" t="str">
        <f>IFERROR(VLOOKUP($C46,[10]REKAP!$B$9:$E$200,4,0),"")</f>
        <v/>
      </c>
      <c r="AD46" s="15" t="str">
        <f>IFERROR(VLOOKUP($C46,[10]REKAP!$B$9:$G$200,6,0),"")</f>
        <v/>
      </c>
      <c r="AE46" s="15" t="str">
        <f>IFERROR(VLOOKUP($C46,[11]REKAP!$B$9:$D$199,3,0),"")</f>
        <v/>
      </c>
      <c r="AF46" s="15" t="str">
        <f>IFERROR(VLOOKUP($C46,[11]REKAP!$B$9:$E$199,4,0),"")</f>
        <v/>
      </c>
      <c r="AG46" s="15" t="str">
        <f>IFERROR(VLOOKUP($C46,[11]REKAP!$B$9:$G$199,6,0),"")</f>
        <v/>
      </c>
      <c r="AH46" s="15" t="str">
        <f>IFERROR(VLOOKUP($C46,[12]REKAP!$B$9:$D$200,3,0),"")</f>
        <v/>
      </c>
      <c r="AI46" s="15" t="str">
        <f>IFERROR(VLOOKUP($C46,[12]REKAP!$B$9:$E$200,4,0),"")</f>
        <v/>
      </c>
      <c r="AJ46" s="15" t="str">
        <f>IFERROR(VLOOKUP($C46,[12]REKAP!$B$9:$G$200,6,0),"")</f>
        <v/>
      </c>
      <c r="AK46" s="15" t="str">
        <f>IFERROR(VLOOKUP($C46,[13]REKAP!$B$9:$D$200,3,0),"")</f>
        <v/>
      </c>
      <c r="AL46" s="15" t="str">
        <f>IFERROR(VLOOKUP($C46,[13]REKAP!$B$9:$E$200,4,0),"")</f>
        <v/>
      </c>
      <c r="AM46" s="15" t="str">
        <f>IFERROR(VLOOKUP($C46,[13]REKAP!$B$9:$G$200,6,0),"")</f>
        <v/>
      </c>
      <c r="AN46" s="15" t="str">
        <f>IFERROR(VLOOKUP($C46,[14]REKAP!$B$9:$D$200,3,0),"")</f>
        <v/>
      </c>
      <c r="AO46" s="15" t="str">
        <f>IFERROR(VLOOKUP($C46,[14]REKAP!$B$9:$E$200,4,0),"")</f>
        <v/>
      </c>
      <c r="AP46" s="15" t="str">
        <f>IFERROR(VLOOKUP($C46,[14]REKAP!$B$9:$G$200,6,0),"")</f>
        <v/>
      </c>
      <c r="AQ46" s="15" t="str">
        <f>IFERROR(VLOOKUP($C46,[15]REKAP!$B$9:$D$200,3,0),"")</f>
        <v/>
      </c>
      <c r="AR46" s="15" t="str">
        <f>IFERROR(VLOOKUP($C46,[15]REKAP!$B$9:$E$200,4,0),"")</f>
        <v/>
      </c>
      <c r="AS46" s="15" t="str">
        <f>IFERROR(VLOOKUP($C46,[15]REKAP!$B$9:$G$200,6,0),"")</f>
        <v/>
      </c>
      <c r="AT46" s="15" t="str">
        <f>IFERROR(VLOOKUP($C46,[16]REKAP!$B$9:$D$200,3,0),"")</f>
        <v/>
      </c>
      <c r="AU46" s="15" t="str">
        <f>IFERROR(VLOOKUP($C46,[16]REKAP!$B$9:$E$200,4,0),"")</f>
        <v/>
      </c>
      <c r="AV46" s="15" t="str">
        <f>IFERROR(VLOOKUP($C46,[16]REKAP!$B$9:$G$200,6,0),"")</f>
        <v/>
      </c>
      <c r="AW46" s="15" t="str">
        <f>IFERROR(VLOOKUP($C46,[17]REKAP!$B$9:$D$200,3,0),"")</f>
        <v/>
      </c>
      <c r="AX46" s="15" t="str">
        <f>IFERROR(VLOOKUP($C46,[17]REKAP!$B$9:$E$200,4,0),"")</f>
        <v/>
      </c>
      <c r="AY46" s="15" t="str">
        <f>IFERROR(VLOOKUP($C46,[17]REKAP!$B$9:$G$200,6,0),"")</f>
        <v/>
      </c>
      <c r="AZ46" s="15" t="str">
        <f>IFERROR(VLOOKUP($C46,[18]REKAP!$B$9:$D$200,3,0),"")</f>
        <v/>
      </c>
      <c r="BA46" s="15" t="str">
        <f>IFERROR(VLOOKUP($C46,[18]REKAP!$B$9:$E$200,4,0),"")</f>
        <v/>
      </c>
      <c r="BB46" s="15" t="str">
        <f>IFERROR(VLOOKUP($C46,[18]REKAP!$B$9:$G$200,6,0),"")</f>
        <v/>
      </c>
      <c r="BC46" s="15" t="str">
        <f>IFERROR(VLOOKUP($C46,[19]REKAP!$B$9:$D$200,3,0),"")</f>
        <v/>
      </c>
      <c r="BD46" s="15" t="str">
        <f>IFERROR(VLOOKUP($C46,[19]REKAP!$B$9:$E$200,4,0),"")</f>
        <v/>
      </c>
      <c r="BE46" s="15" t="str">
        <f>IFERROR(VLOOKUP($C46,[19]REKAP!$B$9:$G$200,6,0),"")</f>
        <v/>
      </c>
      <c r="BF46" s="15" t="str">
        <f>IFERROR(VLOOKUP($C46,[20]REKAP!$B$9:$D$200,3,0),"")</f>
        <v/>
      </c>
      <c r="BG46" s="15" t="str">
        <f>IFERROR(VLOOKUP($C46,[20]REKAP!$B$9:$E$200,4,0),"")</f>
        <v/>
      </c>
      <c r="BH46" s="15" t="str">
        <f>IFERROR(VLOOKUP($C46,[20]REKAP!$B$9:$G$200,6,0),"")</f>
        <v/>
      </c>
      <c r="BI46" s="15" t="str">
        <f>IFERROR(VLOOKUP($C46,[21]REKAP!$B$9:$D$200,3,0),"")</f>
        <v/>
      </c>
      <c r="BJ46" s="15" t="str">
        <f>IFERROR(VLOOKUP($C46,[21]REKAP!$B$9:$E$200,4,0),"")</f>
        <v/>
      </c>
      <c r="BK46" s="15" t="str">
        <f>IFERROR(VLOOKUP($C46,[21]REKAP!$B$9:$G$200,6,0),"")</f>
        <v/>
      </c>
      <c r="BL46" s="15" t="str">
        <f>IFERROR(VLOOKUP($C46,[22]REKAP!$B$9:$D$200,3,0),"")</f>
        <v/>
      </c>
      <c r="BM46" s="15" t="str">
        <f>IFERROR(VLOOKUP($C46,[22]REKAP!$B$9:$E$200,4,0),"")</f>
        <v/>
      </c>
      <c r="BN46" s="15" t="str">
        <f>IFERROR(VLOOKUP($C46,[22]REKAP!$B$9:$G$200,6,0),"")</f>
        <v/>
      </c>
      <c r="BO46" s="15" t="str">
        <f>IFERROR(VLOOKUP($C46,[23]REKAP!$B$9:$D$200,3,0),"")</f>
        <v/>
      </c>
      <c r="BP46" s="15" t="str">
        <f>IFERROR(VLOOKUP($C46,[23]REKAP!$B$9:$E$200,4,0),"")</f>
        <v/>
      </c>
      <c r="BQ46" s="15" t="str">
        <f>IFERROR(VLOOKUP($C46,[23]REKAP!$B$9:$G$200,6,0),"")</f>
        <v/>
      </c>
      <c r="BR46" s="15" t="str">
        <f>IFERROR(VLOOKUP($C46,[24]REKAP!$B$9:$D$200,3,0),"")</f>
        <v/>
      </c>
      <c r="BS46" s="15" t="str">
        <f>IFERROR(VLOOKUP($C46,[24]REKAP!$B$9:$E$200,4,0),"")</f>
        <v/>
      </c>
      <c r="BT46" s="15" t="str">
        <f>IFERROR(VLOOKUP($C46,[24]REKAP!$B$9:$G$200,6,0),"")</f>
        <v/>
      </c>
      <c r="BU46" s="15" t="str">
        <f>IFERROR(VLOOKUP($C46,[25]REKAP!$B$9:$D$200,3,0),"")</f>
        <v/>
      </c>
      <c r="BV46" s="15" t="str">
        <f>IFERROR(VLOOKUP($C46,[25]REKAP!$B$9:$E$200,4,0),"")</f>
        <v/>
      </c>
      <c r="BW46" s="15" t="str">
        <f>IFERROR(VLOOKUP($C46,[25]REKAP!$B$9:$G$200,6,0),"")</f>
        <v/>
      </c>
      <c r="BX46" s="15" t="str">
        <f>IFERROR(VLOOKUP($C46,[26]REKAP!$B$9:$D$200,3,0),"")</f>
        <v/>
      </c>
      <c r="BY46" s="15" t="str">
        <f>IFERROR(VLOOKUP($C46,[26]REKAP!$B$9:$E$200,4,0),"")</f>
        <v/>
      </c>
      <c r="BZ46" s="15" t="str">
        <f>IFERROR(VLOOKUP($C46,[26]REKAP!$B$9:$G$200,6,0),"")</f>
        <v/>
      </c>
      <c r="CA46" s="15" t="str">
        <f>IFERROR(VLOOKUP($C46,[27]REKAP!$B$9:$D$200,3,0),"")</f>
        <v/>
      </c>
      <c r="CB46" s="15" t="str">
        <f>IFERROR(VLOOKUP($C46,[27]REKAP!$B$9:$E$200,4,0),"")</f>
        <v/>
      </c>
      <c r="CC46" s="15" t="str">
        <f>IFERROR(VLOOKUP($C46,[27]REKAP!$B$9:$G$200,6,0),"")</f>
        <v/>
      </c>
      <c r="CD46" s="15" t="str">
        <f>IFERROR(VLOOKUP($C46,[28]REKAP!$B$9:$D$200,3,0),"")</f>
        <v/>
      </c>
      <c r="CE46" s="15" t="str">
        <f>IFERROR(VLOOKUP($C46,[28]REKAP!$B$9:$E$200,4,0),"")</f>
        <v/>
      </c>
      <c r="CF46" s="15" t="str">
        <f>IFERROR(VLOOKUP($C46,[28]REKAP!$B$9:$G$200,6,0),"")</f>
        <v/>
      </c>
      <c r="CG46" s="15" t="str">
        <f>IFERROR(VLOOKUP($C46,[29]REKAP!$B$9:$D$200,3,0),"")</f>
        <v/>
      </c>
      <c r="CH46" s="15" t="str">
        <f>IFERROR(VLOOKUP($C46,[29]REKAP!$B$9:$E$200,4,0),"")</f>
        <v/>
      </c>
      <c r="CI46" s="15" t="str">
        <f>IFERROR(VLOOKUP($C46,[29]REKAP!$B$9:$G$200,6,0),"")</f>
        <v/>
      </c>
      <c r="CJ46" s="15" t="str">
        <f>IFERROR(VLOOKUP($C46,[30]REKAP!$B$9:$D$200,3,0),"")</f>
        <v/>
      </c>
      <c r="CK46" s="15" t="str">
        <f>IFERROR(VLOOKUP($C46,[30]REKAP!$B$9:$E$200,4,0),"")</f>
        <v/>
      </c>
      <c r="CL46" s="15" t="str">
        <f>IFERROR(VLOOKUP($C46,[30]REKAP!$B$9:$G$200,6,0),"")</f>
        <v/>
      </c>
      <c r="CM46" s="15" t="str">
        <f>IFERROR(VLOOKUP($C46,[31]REKAP!$B$9:$D$200,3,0),"")</f>
        <v/>
      </c>
      <c r="CN46" s="15" t="str">
        <f>IFERROR(VLOOKUP($C46,[31]REKAP!$B$9:$E$200,4,0),"")</f>
        <v/>
      </c>
      <c r="CO46" s="15" t="str">
        <f>IFERROR(VLOOKUP($C46,[31]REKAP!$B$9:$G$200,6,0),"")</f>
        <v/>
      </c>
      <c r="CP46" s="15" t="str">
        <f>IFERROR(VLOOKUP($C46,[32]REKAP!$B$9:$D$200,3,0),"")</f>
        <v/>
      </c>
      <c r="CQ46" s="15" t="str">
        <f>IFERROR(VLOOKUP($C46,[32]REKAP!$B$9:$E$200,4,0),"")</f>
        <v/>
      </c>
      <c r="CR46" s="15" t="str">
        <f>IFERROR(VLOOKUP($C46,[32]REKAP!$B$9:$G$200,6,0),"")</f>
        <v/>
      </c>
      <c r="CS46" s="15" t="str">
        <f>IFERROR(VLOOKUP($C46,[33]REKAP!$B$9:$D$200,3,0),"")</f>
        <v/>
      </c>
      <c r="CT46" s="15" t="str">
        <f>IFERROR(VLOOKUP($C46,[33]REKAP!$B$9:$E$200,4,0),"")</f>
        <v/>
      </c>
      <c r="CU46" s="15" t="str">
        <f>IFERROR(VLOOKUP($C46,[33]REKAP!$B$9:$G$200,6,0),"")</f>
        <v/>
      </c>
      <c r="CV46" s="15" t="str">
        <f>IFERROR(VLOOKUP($C46,[34]REKAP!$B$9:$D$200,3,0),"")</f>
        <v/>
      </c>
      <c r="CW46" s="15" t="str">
        <f>IFERROR(VLOOKUP($C46,[34]REKAP!$B$9:$E$200,4,0),"")</f>
        <v/>
      </c>
      <c r="CX46" s="15" t="str">
        <f>IFERROR(VLOOKUP($C46,[34]REKAP!$B$9:$G$200,6,0),"")</f>
        <v/>
      </c>
    </row>
    <row r="47" spans="3:102" x14ac:dyDescent="0.25">
      <c r="C47" s="7" t="s">
        <v>90</v>
      </c>
      <c r="D47" s="5" t="str">
        <f>IFERROR(VLOOKUP(C47,DBASE!$C$7:$D$207,2,0),"")</f>
        <v>INUL JELLY</v>
      </c>
      <c r="E47" s="15">
        <f t="shared" si="2"/>
        <v>7</v>
      </c>
      <c r="F47" s="15">
        <f t="shared" si="2"/>
        <v>123270</v>
      </c>
      <c r="H47" s="15">
        <f t="shared" si="2"/>
        <v>7770</v>
      </c>
      <c r="J47" s="15" t="str">
        <f>IFERROR(VLOOKUP($C47,[4]REKAP!$B$9:$D$200,3,0),"")</f>
        <v/>
      </c>
      <c r="K47" s="15" t="str">
        <f>IFERROR(VLOOKUP($C47,[4]REKAP!$B$9:$E$200,4,0),"")</f>
        <v/>
      </c>
      <c r="L47" s="15" t="str">
        <f>IFERROR(VLOOKUP($C47,[4]REKAP!$B$9:$G$200,6,0),"")</f>
        <v/>
      </c>
      <c r="M47" s="15" t="str">
        <f>IFERROR(VLOOKUP($C47,[5]REKAP!$B$9:$D$200,3,0),"")</f>
        <v/>
      </c>
      <c r="N47" s="15" t="str">
        <f>IFERROR(VLOOKUP($C47,[5]REKAP!$B$9:$E$200,4,0),"")</f>
        <v/>
      </c>
      <c r="O47" s="15" t="str">
        <f>IFERROR(VLOOKUP($C47,[5]REKAP!$B$9:$G$200,6,0),"")</f>
        <v/>
      </c>
      <c r="P47" s="15" t="str">
        <f>IFERROR(VLOOKUP($C47,[6]REKAP!$B$9:$D$200,3,0),"")</f>
        <v/>
      </c>
      <c r="Q47" s="15" t="str">
        <f>IFERROR(VLOOKUP($C47,[6]REKAP!$B$9:$E$200,4,0),"")</f>
        <v/>
      </c>
      <c r="R47" s="15" t="str">
        <f>IFERROR(VLOOKUP($C47,[6]REKAP!$B$9:$G$200,6,0),"")</f>
        <v/>
      </c>
      <c r="S47" s="15" t="str">
        <f>IFERROR(VLOOKUP($C47,[7]REKAP!$B$9:$D$200,3,0),"")</f>
        <v/>
      </c>
      <c r="T47" s="15" t="str">
        <f>IFERROR(VLOOKUP($C47,[7]REKAP!$B$9:$E$200,4,0),"")</f>
        <v/>
      </c>
      <c r="U47" s="15" t="str">
        <f>IFERROR(VLOOKUP($C47,[7]REKAP!$B$9:$G$200,6,0),"")</f>
        <v/>
      </c>
      <c r="V47" s="15">
        <f>IFERROR(VLOOKUP($C47,[8]REKAP!$B$9:$D$200,3,0),"")</f>
        <v>0</v>
      </c>
      <c r="W47" s="15">
        <f>IFERROR(VLOOKUP($C47,[8]REKAP!$B$9:$E$200,4,0),"")</f>
        <v>0</v>
      </c>
      <c r="X47" s="15">
        <f>IFERROR(VLOOKUP($C47,[8]REKAP!$B$9:$G$200,6,0),"")</f>
        <v>0</v>
      </c>
      <c r="Y47" s="15">
        <f>IFERROR(VLOOKUP($C47,[9]REKAP!$B$9:$D$200,3,0),"")</f>
        <v>0</v>
      </c>
      <c r="Z47" s="15">
        <f>IFERROR(VLOOKUP($C47,[9]REKAP!$B$9:$E$200,4,0),"")</f>
        <v>0</v>
      </c>
      <c r="AA47" s="15">
        <f>IFERROR(VLOOKUP($C47,[9]REKAP!$B$9:$G$200,6,0),"")</f>
        <v>0</v>
      </c>
      <c r="AB47" s="15">
        <f>IFERROR(VLOOKUP($C47,[10]REKAP!$B$9:$D$200,3,0),"")</f>
        <v>2</v>
      </c>
      <c r="AC47" s="15">
        <f>IFERROR(VLOOKUP($C47,[10]REKAP!$B$9:$E$200,4,0),"")</f>
        <v>35000</v>
      </c>
      <c r="AD47" s="15">
        <f>IFERROR(VLOOKUP($C47,[10]REKAP!$B$9:$G$200,6,0),"")</f>
        <v>2000</v>
      </c>
      <c r="AE47" s="15">
        <f>IFERROR(VLOOKUP($C47,[11]REKAP!$B$9:$D$199,3,0),"")</f>
        <v>1</v>
      </c>
      <c r="AF47" s="15">
        <f>IFERROR(VLOOKUP($C47,[11]REKAP!$B$9:$E$199,4,0),"")</f>
        <v>17500</v>
      </c>
      <c r="AG47" s="15">
        <f>IFERROR(VLOOKUP($C47,[11]REKAP!$B$9:$G$199,6,0),"")</f>
        <v>1000</v>
      </c>
      <c r="AH47" s="15">
        <f>IFERROR(VLOOKUP($C47,[12]REKAP!$B$9:$D$200,3,0),"")</f>
        <v>4</v>
      </c>
      <c r="AI47" s="15">
        <f>IFERROR(VLOOKUP($C47,[12]REKAP!$B$9:$E$200,4,0),"")</f>
        <v>70770</v>
      </c>
      <c r="AJ47" s="15">
        <f>IFERROR(VLOOKUP($C47,[12]REKAP!$B$9:$G$200,6,0),"")</f>
        <v>4770</v>
      </c>
      <c r="AK47" s="15" t="str">
        <f>IFERROR(VLOOKUP($C47,[13]REKAP!$B$9:$D$200,3,0),"")</f>
        <v/>
      </c>
      <c r="AL47" s="15" t="str">
        <f>IFERROR(VLOOKUP($C47,[13]REKAP!$B$9:$E$200,4,0),"")</f>
        <v/>
      </c>
      <c r="AM47" s="15" t="str">
        <f>IFERROR(VLOOKUP($C47,[13]REKAP!$B$9:$G$200,6,0),"")</f>
        <v/>
      </c>
      <c r="AN47" s="15" t="str">
        <f>IFERROR(VLOOKUP($C47,[14]REKAP!$B$9:$D$200,3,0),"")</f>
        <v/>
      </c>
      <c r="AO47" s="15" t="str">
        <f>IFERROR(VLOOKUP($C47,[14]REKAP!$B$9:$E$200,4,0),"")</f>
        <v/>
      </c>
      <c r="AP47" s="15" t="str">
        <f>IFERROR(VLOOKUP($C47,[14]REKAP!$B$9:$G$200,6,0),"")</f>
        <v/>
      </c>
      <c r="AQ47" s="15" t="str">
        <f>IFERROR(VLOOKUP($C47,[15]REKAP!$B$9:$D$200,3,0),"")</f>
        <v/>
      </c>
      <c r="AR47" s="15" t="str">
        <f>IFERROR(VLOOKUP($C47,[15]REKAP!$B$9:$E$200,4,0),"")</f>
        <v/>
      </c>
      <c r="AS47" s="15" t="str">
        <f>IFERROR(VLOOKUP($C47,[15]REKAP!$B$9:$G$200,6,0),"")</f>
        <v/>
      </c>
      <c r="AT47" s="15" t="str">
        <f>IFERROR(VLOOKUP($C47,[16]REKAP!$B$9:$D$200,3,0),"")</f>
        <v/>
      </c>
      <c r="AU47" s="15" t="str">
        <f>IFERROR(VLOOKUP($C47,[16]REKAP!$B$9:$E$200,4,0),"")</f>
        <v/>
      </c>
      <c r="AV47" s="15" t="str">
        <f>IFERROR(VLOOKUP($C47,[16]REKAP!$B$9:$G$200,6,0),"")</f>
        <v/>
      </c>
      <c r="AW47" s="15" t="str">
        <f>IFERROR(VLOOKUP($C47,[17]REKAP!$B$9:$D$200,3,0),"")</f>
        <v/>
      </c>
      <c r="AX47" s="15" t="str">
        <f>IFERROR(VLOOKUP($C47,[17]REKAP!$B$9:$E$200,4,0),"")</f>
        <v/>
      </c>
      <c r="AY47" s="15" t="str">
        <f>IFERROR(VLOOKUP($C47,[17]REKAP!$B$9:$G$200,6,0),"")</f>
        <v/>
      </c>
      <c r="AZ47" s="15" t="str">
        <f>IFERROR(VLOOKUP($C47,[18]REKAP!$B$9:$D$200,3,0),"")</f>
        <v/>
      </c>
      <c r="BA47" s="15" t="str">
        <f>IFERROR(VLOOKUP($C47,[18]REKAP!$B$9:$E$200,4,0),"")</f>
        <v/>
      </c>
      <c r="BB47" s="15" t="str">
        <f>IFERROR(VLOOKUP($C47,[18]REKAP!$B$9:$G$200,6,0),"")</f>
        <v/>
      </c>
      <c r="BC47" s="15" t="str">
        <f>IFERROR(VLOOKUP($C47,[19]REKAP!$B$9:$D$200,3,0),"")</f>
        <v/>
      </c>
      <c r="BD47" s="15" t="str">
        <f>IFERROR(VLOOKUP($C47,[19]REKAP!$B$9:$E$200,4,0),"")</f>
        <v/>
      </c>
      <c r="BE47" s="15" t="str">
        <f>IFERROR(VLOOKUP($C47,[19]REKAP!$B$9:$G$200,6,0),"")</f>
        <v/>
      </c>
      <c r="BF47" s="15" t="str">
        <f>IFERROR(VLOOKUP($C47,[20]REKAP!$B$9:$D$200,3,0),"")</f>
        <v/>
      </c>
      <c r="BG47" s="15" t="str">
        <f>IFERROR(VLOOKUP($C47,[20]REKAP!$B$9:$E$200,4,0),"")</f>
        <v/>
      </c>
      <c r="BH47" s="15" t="str">
        <f>IFERROR(VLOOKUP($C47,[20]REKAP!$B$9:$G$200,6,0),"")</f>
        <v/>
      </c>
      <c r="BI47" s="15" t="str">
        <f>IFERROR(VLOOKUP($C47,[21]REKAP!$B$9:$D$200,3,0),"")</f>
        <v/>
      </c>
      <c r="BJ47" s="15" t="str">
        <f>IFERROR(VLOOKUP($C47,[21]REKAP!$B$9:$E$200,4,0),"")</f>
        <v/>
      </c>
      <c r="BK47" s="15" t="str">
        <f>IFERROR(VLOOKUP($C47,[21]REKAP!$B$9:$G$200,6,0),"")</f>
        <v/>
      </c>
      <c r="BL47" s="15" t="str">
        <f>IFERROR(VLOOKUP($C47,[22]REKAP!$B$9:$D$200,3,0),"")</f>
        <v/>
      </c>
      <c r="BM47" s="15" t="str">
        <f>IFERROR(VLOOKUP($C47,[22]REKAP!$B$9:$E$200,4,0),"")</f>
        <v/>
      </c>
      <c r="BN47" s="15" t="str">
        <f>IFERROR(VLOOKUP($C47,[22]REKAP!$B$9:$G$200,6,0),"")</f>
        <v/>
      </c>
      <c r="BO47" s="15" t="str">
        <f>IFERROR(VLOOKUP($C47,[23]REKAP!$B$9:$D$200,3,0),"")</f>
        <v/>
      </c>
      <c r="BP47" s="15" t="str">
        <f>IFERROR(VLOOKUP($C47,[23]REKAP!$B$9:$E$200,4,0),"")</f>
        <v/>
      </c>
      <c r="BQ47" s="15" t="str">
        <f>IFERROR(VLOOKUP($C47,[23]REKAP!$B$9:$G$200,6,0),"")</f>
        <v/>
      </c>
      <c r="BR47" s="15" t="str">
        <f>IFERROR(VLOOKUP($C47,[24]REKAP!$B$9:$D$200,3,0),"")</f>
        <v/>
      </c>
      <c r="BS47" s="15" t="str">
        <f>IFERROR(VLOOKUP($C47,[24]REKAP!$B$9:$E$200,4,0),"")</f>
        <v/>
      </c>
      <c r="BT47" s="15" t="str">
        <f>IFERROR(VLOOKUP($C47,[24]REKAP!$B$9:$G$200,6,0),"")</f>
        <v/>
      </c>
      <c r="BU47" s="15" t="str">
        <f>IFERROR(VLOOKUP($C47,[25]REKAP!$B$9:$D$200,3,0),"")</f>
        <v/>
      </c>
      <c r="BV47" s="15" t="str">
        <f>IFERROR(VLOOKUP($C47,[25]REKAP!$B$9:$E$200,4,0),"")</f>
        <v/>
      </c>
      <c r="BW47" s="15" t="str">
        <f>IFERROR(VLOOKUP($C47,[25]REKAP!$B$9:$G$200,6,0),"")</f>
        <v/>
      </c>
      <c r="BX47" s="15" t="str">
        <f>IFERROR(VLOOKUP($C47,[26]REKAP!$B$9:$D$200,3,0),"")</f>
        <v/>
      </c>
      <c r="BY47" s="15" t="str">
        <f>IFERROR(VLOOKUP($C47,[26]REKAP!$B$9:$E$200,4,0),"")</f>
        <v/>
      </c>
      <c r="BZ47" s="15" t="str">
        <f>IFERROR(VLOOKUP($C47,[26]REKAP!$B$9:$G$200,6,0),"")</f>
        <v/>
      </c>
      <c r="CA47" s="15" t="str">
        <f>IFERROR(VLOOKUP($C47,[27]REKAP!$B$9:$D$200,3,0),"")</f>
        <v/>
      </c>
      <c r="CB47" s="15" t="str">
        <f>IFERROR(VLOOKUP($C47,[27]REKAP!$B$9:$E$200,4,0),"")</f>
        <v/>
      </c>
      <c r="CC47" s="15" t="str">
        <f>IFERROR(VLOOKUP($C47,[27]REKAP!$B$9:$G$200,6,0),"")</f>
        <v/>
      </c>
      <c r="CD47" s="15" t="str">
        <f>IFERROR(VLOOKUP($C47,[28]REKAP!$B$9:$D$200,3,0),"")</f>
        <v/>
      </c>
      <c r="CE47" s="15" t="str">
        <f>IFERROR(VLOOKUP($C47,[28]REKAP!$B$9:$E$200,4,0),"")</f>
        <v/>
      </c>
      <c r="CF47" s="15" t="str">
        <f>IFERROR(VLOOKUP($C47,[28]REKAP!$B$9:$G$200,6,0),"")</f>
        <v/>
      </c>
      <c r="CG47" s="15" t="str">
        <f>IFERROR(VLOOKUP($C47,[29]REKAP!$B$9:$D$200,3,0),"")</f>
        <v/>
      </c>
      <c r="CH47" s="15" t="str">
        <f>IFERROR(VLOOKUP($C47,[29]REKAP!$B$9:$E$200,4,0),"")</f>
        <v/>
      </c>
      <c r="CI47" s="15" t="str">
        <f>IFERROR(VLOOKUP($C47,[29]REKAP!$B$9:$G$200,6,0),"")</f>
        <v/>
      </c>
      <c r="CJ47" s="15" t="str">
        <f>IFERROR(VLOOKUP($C47,[30]REKAP!$B$9:$D$200,3,0),"")</f>
        <v/>
      </c>
      <c r="CK47" s="15" t="str">
        <f>IFERROR(VLOOKUP($C47,[30]REKAP!$B$9:$E$200,4,0),"")</f>
        <v/>
      </c>
      <c r="CL47" s="15" t="str">
        <f>IFERROR(VLOOKUP($C47,[30]REKAP!$B$9:$G$200,6,0),"")</f>
        <v/>
      </c>
      <c r="CM47" s="15" t="str">
        <f>IFERROR(VLOOKUP($C47,[31]REKAP!$B$9:$D$200,3,0),"")</f>
        <v/>
      </c>
      <c r="CN47" s="15" t="str">
        <f>IFERROR(VLOOKUP($C47,[31]REKAP!$B$9:$E$200,4,0),"")</f>
        <v/>
      </c>
      <c r="CO47" s="15" t="str">
        <f>IFERROR(VLOOKUP($C47,[31]REKAP!$B$9:$G$200,6,0),"")</f>
        <v/>
      </c>
      <c r="CP47" s="15" t="str">
        <f>IFERROR(VLOOKUP($C47,[32]REKAP!$B$9:$D$200,3,0),"")</f>
        <v/>
      </c>
      <c r="CQ47" s="15" t="str">
        <f>IFERROR(VLOOKUP($C47,[32]REKAP!$B$9:$E$200,4,0),"")</f>
        <v/>
      </c>
      <c r="CR47" s="15" t="str">
        <f>IFERROR(VLOOKUP($C47,[32]REKAP!$B$9:$G$200,6,0),"")</f>
        <v/>
      </c>
      <c r="CS47" s="15" t="str">
        <f>IFERROR(VLOOKUP($C47,[33]REKAP!$B$9:$D$200,3,0),"")</f>
        <v/>
      </c>
      <c r="CT47" s="15" t="str">
        <f>IFERROR(VLOOKUP($C47,[33]REKAP!$B$9:$E$200,4,0),"")</f>
        <v/>
      </c>
      <c r="CU47" s="15" t="str">
        <f>IFERROR(VLOOKUP($C47,[33]REKAP!$B$9:$G$200,6,0),"")</f>
        <v/>
      </c>
      <c r="CV47" s="15" t="str">
        <f>IFERROR(VLOOKUP($C47,[34]REKAP!$B$9:$D$200,3,0),"")</f>
        <v/>
      </c>
      <c r="CW47" s="15" t="str">
        <f>IFERROR(VLOOKUP($C47,[34]REKAP!$B$9:$E$200,4,0),"")</f>
        <v/>
      </c>
      <c r="CX47" s="15" t="str">
        <f>IFERROR(VLOOKUP($C47,[34]REKAP!$B$9:$G$200,6,0),"")</f>
        <v/>
      </c>
    </row>
    <row r="48" spans="3:102" x14ac:dyDescent="0.25">
      <c r="C48" s="7" t="s">
        <v>91</v>
      </c>
      <c r="D48" s="5" t="str">
        <f>IFERROR(VLOOKUP(C48,DBASE!$C$7:$D$207,2,0),"")</f>
        <v>DONALD PUDING CUP</v>
      </c>
      <c r="E48" s="15">
        <f t="shared" si="2"/>
        <v>15</v>
      </c>
      <c r="F48" s="15">
        <f t="shared" si="2"/>
        <v>277500</v>
      </c>
      <c r="H48" s="15">
        <f t="shared" si="2"/>
        <v>19838.709677419374</v>
      </c>
      <c r="J48" s="15" t="str">
        <f>IFERROR(VLOOKUP($C48,[4]REKAP!$B$9:$D$200,3,0),"")</f>
        <v/>
      </c>
      <c r="K48" s="15" t="str">
        <f>IFERROR(VLOOKUP($C48,[4]REKAP!$B$9:$E$200,4,0),"")</f>
        <v/>
      </c>
      <c r="L48" s="15" t="str">
        <f>IFERROR(VLOOKUP($C48,[4]REKAP!$B$9:$G$200,6,0),"")</f>
        <v/>
      </c>
      <c r="M48" s="15" t="str">
        <f>IFERROR(VLOOKUP($C48,[5]REKAP!$B$9:$D$200,3,0),"")</f>
        <v/>
      </c>
      <c r="N48" s="15" t="str">
        <f>IFERROR(VLOOKUP($C48,[5]REKAP!$B$9:$E$200,4,0),"")</f>
        <v/>
      </c>
      <c r="O48" s="15" t="str">
        <f>IFERROR(VLOOKUP($C48,[5]REKAP!$B$9:$G$200,6,0),"")</f>
        <v/>
      </c>
      <c r="P48" s="15" t="str">
        <f>IFERROR(VLOOKUP($C48,[6]REKAP!$B$9:$D$200,3,0),"")</f>
        <v/>
      </c>
      <c r="Q48" s="15" t="str">
        <f>IFERROR(VLOOKUP($C48,[6]REKAP!$B$9:$E$200,4,0),"")</f>
        <v/>
      </c>
      <c r="R48" s="15" t="str">
        <f>IFERROR(VLOOKUP($C48,[6]REKAP!$B$9:$G$200,6,0),"")</f>
        <v/>
      </c>
      <c r="S48" s="15" t="str">
        <f>IFERROR(VLOOKUP($C48,[7]REKAP!$B$9:$D$200,3,0),"")</f>
        <v/>
      </c>
      <c r="T48" s="15" t="str">
        <f>IFERROR(VLOOKUP($C48,[7]REKAP!$B$9:$E$200,4,0),"")</f>
        <v/>
      </c>
      <c r="U48" s="15" t="str">
        <f>IFERROR(VLOOKUP($C48,[7]REKAP!$B$9:$G$200,6,0),"")</f>
        <v/>
      </c>
      <c r="V48" s="15">
        <f>IFERROR(VLOOKUP($C48,[8]REKAP!$B$9:$D$200,3,0),"")</f>
        <v>0</v>
      </c>
      <c r="W48" s="15">
        <f>IFERROR(VLOOKUP($C48,[8]REKAP!$B$9:$E$200,4,0),"")</f>
        <v>0</v>
      </c>
      <c r="X48" s="15">
        <f>IFERROR(VLOOKUP($C48,[8]REKAP!$B$9:$G$200,6,0),"")</f>
        <v>0</v>
      </c>
      <c r="Y48" s="15">
        <f>IFERROR(VLOOKUP($C48,[9]REKAP!$B$9:$D$200,3,0),"")</f>
        <v>10</v>
      </c>
      <c r="Z48" s="15">
        <f>IFERROR(VLOOKUP($C48,[9]REKAP!$B$9:$E$200,4,0),"")</f>
        <v>185000</v>
      </c>
      <c r="AA48" s="15">
        <f>IFERROR(VLOOKUP($C48,[9]REKAP!$B$9:$G$200,6,0),"")</f>
        <v>13225.806451612916</v>
      </c>
      <c r="AB48" s="15">
        <f>IFERROR(VLOOKUP($C48,[10]REKAP!$B$9:$D$200,3,0),"")</f>
        <v>0</v>
      </c>
      <c r="AC48" s="15">
        <f>IFERROR(VLOOKUP($C48,[10]REKAP!$B$9:$E$200,4,0),"")</f>
        <v>0</v>
      </c>
      <c r="AD48" s="15">
        <f>IFERROR(VLOOKUP($C48,[10]REKAP!$B$9:$G$200,6,0),"")</f>
        <v>0</v>
      </c>
      <c r="AE48" s="15">
        <f>IFERROR(VLOOKUP($C48,[11]REKAP!$B$9:$D$199,3,0),"")</f>
        <v>5</v>
      </c>
      <c r="AF48" s="15">
        <f>IFERROR(VLOOKUP($C48,[11]REKAP!$B$9:$E$199,4,0),"")</f>
        <v>92500</v>
      </c>
      <c r="AG48" s="15">
        <f>IFERROR(VLOOKUP($C48,[11]REKAP!$B$9:$G$199,6,0),"")</f>
        <v>6612.9032258064581</v>
      </c>
      <c r="AH48" s="15">
        <f>IFERROR(VLOOKUP($C48,[12]REKAP!$B$9:$D$200,3,0),"")</f>
        <v>0</v>
      </c>
      <c r="AI48" s="15">
        <f>IFERROR(VLOOKUP($C48,[12]REKAP!$B$9:$E$200,4,0),"")</f>
        <v>0</v>
      </c>
      <c r="AJ48" s="15">
        <f>IFERROR(VLOOKUP($C48,[12]REKAP!$B$9:$G$200,6,0),"")</f>
        <v>0</v>
      </c>
      <c r="AK48" s="15" t="str">
        <f>IFERROR(VLOOKUP($C48,[13]REKAP!$B$9:$D$200,3,0),"")</f>
        <v/>
      </c>
      <c r="AL48" s="15" t="str">
        <f>IFERROR(VLOOKUP($C48,[13]REKAP!$B$9:$E$200,4,0),"")</f>
        <v/>
      </c>
      <c r="AM48" s="15" t="str">
        <f>IFERROR(VLOOKUP($C48,[13]REKAP!$B$9:$G$200,6,0),"")</f>
        <v/>
      </c>
      <c r="AN48" s="15" t="str">
        <f>IFERROR(VLOOKUP($C48,[14]REKAP!$B$9:$D$200,3,0),"")</f>
        <v/>
      </c>
      <c r="AO48" s="15" t="str">
        <f>IFERROR(VLOOKUP($C48,[14]REKAP!$B$9:$E$200,4,0),"")</f>
        <v/>
      </c>
      <c r="AP48" s="15" t="str">
        <f>IFERROR(VLOOKUP($C48,[14]REKAP!$B$9:$G$200,6,0),"")</f>
        <v/>
      </c>
      <c r="AQ48" s="15" t="str">
        <f>IFERROR(VLOOKUP($C48,[15]REKAP!$B$9:$D$200,3,0),"")</f>
        <v/>
      </c>
      <c r="AR48" s="15" t="str">
        <f>IFERROR(VLOOKUP($C48,[15]REKAP!$B$9:$E$200,4,0),"")</f>
        <v/>
      </c>
      <c r="AS48" s="15" t="str">
        <f>IFERROR(VLOOKUP($C48,[15]REKAP!$B$9:$G$200,6,0),"")</f>
        <v/>
      </c>
      <c r="AT48" s="15" t="str">
        <f>IFERROR(VLOOKUP($C48,[16]REKAP!$B$9:$D$200,3,0),"")</f>
        <v/>
      </c>
      <c r="AU48" s="15" t="str">
        <f>IFERROR(VLOOKUP($C48,[16]REKAP!$B$9:$E$200,4,0),"")</f>
        <v/>
      </c>
      <c r="AV48" s="15" t="str">
        <f>IFERROR(VLOOKUP($C48,[16]REKAP!$B$9:$G$200,6,0),"")</f>
        <v/>
      </c>
      <c r="AW48" s="15" t="str">
        <f>IFERROR(VLOOKUP($C48,[17]REKAP!$B$9:$D$200,3,0),"")</f>
        <v/>
      </c>
      <c r="AX48" s="15" t="str">
        <f>IFERROR(VLOOKUP($C48,[17]REKAP!$B$9:$E$200,4,0),"")</f>
        <v/>
      </c>
      <c r="AY48" s="15" t="str">
        <f>IFERROR(VLOOKUP($C48,[17]REKAP!$B$9:$G$200,6,0),"")</f>
        <v/>
      </c>
      <c r="AZ48" s="15" t="str">
        <f>IFERROR(VLOOKUP($C48,[18]REKAP!$B$9:$D$200,3,0),"")</f>
        <v/>
      </c>
      <c r="BA48" s="15" t="str">
        <f>IFERROR(VLOOKUP($C48,[18]REKAP!$B$9:$E$200,4,0),"")</f>
        <v/>
      </c>
      <c r="BB48" s="15" t="str">
        <f>IFERROR(VLOOKUP($C48,[18]REKAP!$B$9:$G$200,6,0),"")</f>
        <v/>
      </c>
      <c r="BC48" s="15" t="str">
        <f>IFERROR(VLOOKUP($C48,[19]REKAP!$B$9:$D$200,3,0),"")</f>
        <v/>
      </c>
      <c r="BD48" s="15" t="str">
        <f>IFERROR(VLOOKUP($C48,[19]REKAP!$B$9:$E$200,4,0),"")</f>
        <v/>
      </c>
      <c r="BE48" s="15" t="str">
        <f>IFERROR(VLOOKUP($C48,[19]REKAP!$B$9:$G$200,6,0),"")</f>
        <v/>
      </c>
      <c r="BF48" s="15" t="str">
        <f>IFERROR(VLOOKUP($C48,[20]REKAP!$B$9:$D$200,3,0),"")</f>
        <v/>
      </c>
      <c r="BG48" s="15" t="str">
        <f>IFERROR(VLOOKUP($C48,[20]REKAP!$B$9:$E$200,4,0),"")</f>
        <v/>
      </c>
      <c r="BH48" s="15" t="str">
        <f>IFERROR(VLOOKUP($C48,[20]REKAP!$B$9:$G$200,6,0),"")</f>
        <v/>
      </c>
      <c r="BI48" s="15" t="str">
        <f>IFERROR(VLOOKUP($C48,[21]REKAP!$B$9:$D$200,3,0),"")</f>
        <v/>
      </c>
      <c r="BJ48" s="15" t="str">
        <f>IFERROR(VLOOKUP($C48,[21]REKAP!$B$9:$E$200,4,0),"")</f>
        <v/>
      </c>
      <c r="BK48" s="15" t="str">
        <f>IFERROR(VLOOKUP($C48,[21]REKAP!$B$9:$G$200,6,0),"")</f>
        <v/>
      </c>
      <c r="BL48" s="15" t="str">
        <f>IFERROR(VLOOKUP($C48,[22]REKAP!$B$9:$D$200,3,0),"")</f>
        <v/>
      </c>
      <c r="BM48" s="15" t="str">
        <f>IFERROR(VLOOKUP($C48,[22]REKAP!$B$9:$E$200,4,0),"")</f>
        <v/>
      </c>
      <c r="BN48" s="15" t="str">
        <f>IFERROR(VLOOKUP($C48,[22]REKAP!$B$9:$G$200,6,0),"")</f>
        <v/>
      </c>
      <c r="BO48" s="15" t="str">
        <f>IFERROR(VLOOKUP($C48,[23]REKAP!$B$9:$D$200,3,0),"")</f>
        <v/>
      </c>
      <c r="BP48" s="15" t="str">
        <f>IFERROR(VLOOKUP($C48,[23]REKAP!$B$9:$E$200,4,0),"")</f>
        <v/>
      </c>
      <c r="BQ48" s="15" t="str">
        <f>IFERROR(VLOOKUP($C48,[23]REKAP!$B$9:$G$200,6,0),"")</f>
        <v/>
      </c>
      <c r="BR48" s="15" t="str">
        <f>IFERROR(VLOOKUP($C48,[24]REKAP!$B$9:$D$200,3,0),"")</f>
        <v/>
      </c>
      <c r="BS48" s="15" t="str">
        <f>IFERROR(VLOOKUP($C48,[24]REKAP!$B$9:$E$200,4,0),"")</f>
        <v/>
      </c>
      <c r="BT48" s="15" t="str">
        <f>IFERROR(VLOOKUP($C48,[24]REKAP!$B$9:$G$200,6,0),"")</f>
        <v/>
      </c>
      <c r="BU48" s="15" t="str">
        <f>IFERROR(VLOOKUP($C48,[25]REKAP!$B$9:$D$200,3,0),"")</f>
        <v/>
      </c>
      <c r="BV48" s="15" t="str">
        <f>IFERROR(VLOOKUP($C48,[25]REKAP!$B$9:$E$200,4,0),"")</f>
        <v/>
      </c>
      <c r="BW48" s="15" t="str">
        <f>IFERROR(VLOOKUP($C48,[25]REKAP!$B$9:$G$200,6,0),"")</f>
        <v/>
      </c>
      <c r="BX48" s="15" t="str">
        <f>IFERROR(VLOOKUP($C48,[26]REKAP!$B$9:$D$200,3,0),"")</f>
        <v/>
      </c>
      <c r="BY48" s="15" t="str">
        <f>IFERROR(VLOOKUP($C48,[26]REKAP!$B$9:$E$200,4,0),"")</f>
        <v/>
      </c>
      <c r="BZ48" s="15" t="str">
        <f>IFERROR(VLOOKUP($C48,[26]REKAP!$B$9:$G$200,6,0),"")</f>
        <v/>
      </c>
      <c r="CA48" s="15" t="str">
        <f>IFERROR(VLOOKUP($C48,[27]REKAP!$B$9:$D$200,3,0),"")</f>
        <v/>
      </c>
      <c r="CB48" s="15" t="str">
        <f>IFERROR(VLOOKUP($C48,[27]REKAP!$B$9:$E$200,4,0),"")</f>
        <v/>
      </c>
      <c r="CC48" s="15" t="str">
        <f>IFERROR(VLOOKUP($C48,[27]REKAP!$B$9:$G$200,6,0),"")</f>
        <v/>
      </c>
      <c r="CD48" s="15" t="str">
        <f>IFERROR(VLOOKUP($C48,[28]REKAP!$B$9:$D$200,3,0),"")</f>
        <v/>
      </c>
      <c r="CE48" s="15" t="str">
        <f>IFERROR(VLOOKUP($C48,[28]REKAP!$B$9:$E$200,4,0),"")</f>
        <v/>
      </c>
      <c r="CF48" s="15" t="str">
        <f>IFERROR(VLOOKUP($C48,[28]REKAP!$B$9:$G$200,6,0),"")</f>
        <v/>
      </c>
      <c r="CG48" s="15" t="str">
        <f>IFERROR(VLOOKUP($C48,[29]REKAP!$B$9:$D$200,3,0),"")</f>
        <v/>
      </c>
      <c r="CH48" s="15" t="str">
        <f>IFERROR(VLOOKUP($C48,[29]REKAP!$B$9:$E$200,4,0),"")</f>
        <v/>
      </c>
      <c r="CI48" s="15" t="str">
        <f>IFERROR(VLOOKUP($C48,[29]REKAP!$B$9:$G$200,6,0),"")</f>
        <v/>
      </c>
      <c r="CJ48" s="15" t="str">
        <f>IFERROR(VLOOKUP($C48,[30]REKAP!$B$9:$D$200,3,0),"")</f>
        <v/>
      </c>
      <c r="CK48" s="15" t="str">
        <f>IFERROR(VLOOKUP($C48,[30]REKAP!$B$9:$E$200,4,0),"")</f>
        <v/>
      </c>
      <c r="CL48" s="15" t="str">
        <f>IFERROR(VLOOKUP($C48,[30]REKAP!$B$9:$G$200,6,0),"")</f>
        <v/>
      </c>
      <c r="CM48" s="15" t="str">
        <f>IFERROR(VLOOKUP($C48,[31]REKAP!$B$9:$D$200,3,0),"")</f>
        <v/>
      </c>
      <c r="CN48" s="15" t="str">
        <f>IFERROR(VLOOKUP($C48,[31]REKAP!$B$9:$E$200,4,0),"")</f>
        <v/>
      </c>
      <c r="CO48" s="15" t="str">
        <f>IFERROR(VLOOKUP($C48,[31]REKAP!$B$9:$G$200,6,0),"")</f>
        <v/>
      </c>
      <c r="CP48" s="15" t="str">
        <f>IFERROR(VLOOKUP($C48,[32]REKAP!$B$9:$D$200,3,0),"")</f>
        <v/>
      </c>
      <c r="CQ48" s="15" t="str">
        <f>IFERROR(VLOOKUP($C48,[32]REKAP!$B$9:$E$200,4,0),"")</f>
        <v/>
      </c>
      <c r="CR48" s="15" t="str">
        <f>IFERROR(VLOOKUP($C48,[32]REKAP!$B$9:$G$200,6,0),"")</f>
        <v/>
      </c>
      <c r="CS48" s="15" t="str">
        <f>IFERROR(VLOOKUP($C48,[33]REKAP!$B$9:$D$200,3,0),"")</f>
        <v/>
      </c>
      <c r="CT48" s="15" t="str">
        <f>IFERROR(VLOOKUP($C48,[33]REKAP!$B$9:$E$200,4,0),"")</f>
        <v/>
      </c>
      <c r="CU48" s="15" t="str">
        <f>IFERROR(VLOOKUP($C48,[33]REKAP!$B$9:$G$200,6,0),"")</f>
        <v/>
      </c>
      <c r="CV48" s="15" t="str">
        <f>IFERROR(VLOOKUP($C48,[34]REKAP!$B$9:$D$200,3,0),"")</f>
        <v/>
      </c>
      <c r="CW48" s="15" t="str">
        <f>IFERROR(VLOOKUP($C48,[34]REKAP!$B$9:$E$200,4,0),"")</f>
        <v/>
      </c>
      <c r="CX48" s="15" t="str">
        <f>IFERROR(VLOOKUP($C48,[34]REKAP!$B$9:$G$200,6,0),"")</f>
        <v/>
      </c>
    </row>
    <row r="49" spans="3:102" x14ac:dyDescent="0.25">
      <c r="C49" s="7" t="s">
        <v>126</v>
      </c>
      <c r="D49" s="5" t="str">
        <f>IFERROR(VLOOKUP(C49,DBASE!$C$7:$D$207,2,0),"")</f>
        <v>DONALD BIG STICK TUPPERWARE</v>
      </c>
      <c r="E49" s="15">
        <f t="shared" si="2"/>
        <v>10</v>
      </c>
      <c r="F49" s="15">
        <f t="shared" si="2"/>
        <v>539143.14150000003</v>
      </c>
      <c r="H49" s="15">
        <f t="shared" si="2"/>
        <v>9143.1414999999979</v>
      </c>
      <c r="J49" s="15" t="str">
        <f>IFERROR(VLOOKUP($C49,[4]REKAP!$B$9:$D$200,3,0),"")</f>
        <v/>
      </c>
      <c r="K49" s="15" t="str">
        <f>IFERROR(VLOOKUP($C49,[4]REKAP!$B$9:$E$200,4,0),"")</f>
        <v/>
      </c>
      <c r="L49" s="15" t="str">
        <f>IFERROR(VLOOKUP($C49,[4]REKAP!$B$9:$G$200,6,0),"")</f>
        <v/>
      </c>
      <c r="M49" s="15" t="str">
        <f>IFERROR(VLOOKUP($C49,[5]REKAP!$B$9:$D$200,3,0),"")</f>
        <v/>
      </c>
      <c r="N49" s="15" t="str">
        <f>IFERROR(VLOOKUP($C49,[5]REKAP!$B$9:$E$200,4,0),"")</f>
        <v/>
      </c>
      <c r="O49" s="15" t="str">
        <f>IFERROR(VLOOKUP($C49,[5]REKAP!$B$9:$G$200,6,0),"")</f>
        <v/>
      </c>
      <c r="P49" s="15" t="str">
        <f>IFERROR(VLOOKUP($C49,[6]REKAP!$B$9:$D$200,3,0),"")</f>
        <v/>
      </c>
      <c r="Q49" s="15" t="str">
        <f>IFERROR(VLOOKUP($C49,[6]REKAP!$B$9:$E$200,4,0),"")</f>
        <v/>
      </c>
      <c r="R49" s="15" t="str">
        <f>IFERROR(VLOOKUP($C49,[6]REKAP!$B$9:$G$200,6,0),"")</f>
        <v/>
      </c>
      <c r="S49" s="15" t="str">
        <f>IFERROR(VLOOKUP($C49,[7]REKAP!$B$9:$D$200,3,0),"")</f>
        <v/>
      </c>
      <c r="T49" s="15" t="str">
        <f>IFERROR(VLOOKUP($C49,[7]REKAP!$B$9:$E$200,4,0),"")</f>
        <v/>
      </c>
      <c r="U49" s="15" t="str">
        <f>IFERROR(VLOOKUP($C49,[7]REKAP!$B$9:$G$200,6,0),"")</f>
        <v/>
      </c>
      <c r="V49" s="15">
        <f>IFERROR(VLOOKUP($C49,[8]REKAP!$B$9:$D$200,3,0),"")</f>
        <v>0</v>
      </c>
      <c r="W49" s="15">
        <f>IFERROR(VLOOKUP($C49,[8]REKAP!$B$9:$E$200,4,0),"")</f>
        <v>0</v>
      </c>
      <c r="X49" s="15">
        <f>IFERROR(VLOOKUP($C49,[8]REKAP!$B$9:$G$200,6,0),"")</f>
        <v>0</v>
      </c>
      <c r="Y49" s="15">
        <f>IFERROR(VLOOKUP($C49,[9]REKAP!$B$9:$D$200,3,0),"")</f>
        <v>4</v>
      </c>
      <c r="Z49" s="15">
        <f>IFERROR(VLOOKUP($C49,[9]REKAP!$B$9:$E$200,4,0),"")</f>
        <v>216000</v>
      </c>
      <c r="AA49" s="15">
        <f>IFERROR(VLOOKUP($C49,[9]REKAP!$B$9:$G$200,6,0),"")</f>
        <v>4000</v>
      </c>
      <c r="AB49" s="15">
        <f>IFERROR(VLOOKUP($C49,[10]REKAP!$B$9:$D$200,3,0),"")</f>
        <v>1</v>
      </c>
      <c r="AC49" s="15">
        <f>IFERROR(VLOOKUP($C49,[10]REKAP!$B$9:$E$200,4,0),"")</f>
        <v>54000</v>
      </c>
      <c r="AD49" s="15">
        <f>IFERROR(VLOOKUP($C49,[10]REKAP!$B$9:$G$200,6,0),"")</f>
        <v>1000</v>
      </c>
      <c r="AE49" s="15">
        <f>IFERROR(VLOOKUP($C49,[11]REKAP!$B$9:$D$199,3,0),"")</f>
        <v>1</v>
      </c>
      <c r="AF49" s="15">
        <f>IFERROR(VLOOKUP($C49,[11]REKAP!$B$9:$E$199,4,0),"")</f>
        <v>54000</v>
      </c>
      <c r="AG49" s="15">
        <f>IFERROR(VLOOKUP($C49,[11]REKAP!$B$9:$G$199,6,0),"")</f>
        <v>1000</v>
      </c>
      <c r="AH49" s="15">
        <f>IFERROR(VLOOKUP($C49,[12]REKAP!$B$9:$D$200,3,0),"")</f>
        <v>4</v>
      </c>
      <c r="AI49" s="15">
        <f>IFERROR(VLOOKUP($C49,[12]REKAP!$B$9:$E$200,4,0),"")</f>
        <v>215143.1415</v>
      </c>
      <c r="AJ49" s="15">
        <f>IFERROR(VLOOKUP($C49,[12]REKAP!$B$9:$G$200,6,0),"")</f>
        <v>3143.1414999999979</v>
      </c>
      <c r="AK49" s="15" t="str">
        <f>IFERROR(VLOOKUP($C49,[13]REKAP!$B$9:$D$200,3,0),"")</f>
        <v/>
      </c>
      <c r="AL49" s="15" t="str">
        <f>IFERROR(VLOOKUP($C49,[13]REKAP!$B$9:$E$200,4,0),"")</f>
        <v/>
      </c>
      <c r="AM49" s="15" t="str">
        <f>IFERROR(VLOOKUP($C49,[13]REKAP!$B$9:$G$200,6,0),"")</f>
        <v/>
      </c>
      <c r="AN49" s="15" t="str">
        <f>IFERROR(VLOOKUP($C49,[14]REKAP!$B$9:$D$200,3,0),"")</f>
        <v/>
      </c>
      <c r="AO49" s="15" t="str">
        <f>IFERROR(VLOOKUP($C49,[14]REKAP!$B$9:$E$200,4,0),"")</f>
        <v/>
      </c>
      <c r="AP49" s="15" t="str">
        <f>IFERROR(VLOOKUP($C49,[14]REKAP!$B$9:$G$200,6,0),"")</f>
        <v/>
      </c>
      <c r="AQ49" s="15" t="str">
        <f>IFERROR(VLOOKUP($C49,[15]REKAP!$B$9:$D$200,3,0),"")</f>
        <v/>
      </c>
      <c r="AR49" s="15" t="str">
        <f>IFERROR(VLOOKUP($C49,[15]REKAP!$B$9:$E$200,4,0),"")</f>
        <v/>
      </c>
      <c r="AS49" s="15" t="str">
        <f>IFERROR(VLOOKUP($C49,[15]REKAP!$B$9:$G$200,6,0),"")</f>
        <v/>
      </c>
      <c r="AT49" s="15" t="str">
        <f>IFERROR(VLOOKUP($C49,[16]REKAP!$B$9:$D$200,3,0),"")</f>
        <v/>
      </c>
      <c r="AU49" s="15" t="str">
        <f>IFERROR(VLOOKUP($C49,[16]REKAP!$B$9:$E$200,4,0),"")</f>
        <v/>
      </c>
      <c r="AV49" s="15" t="str">
        <f>IFERROR(VLOOKUP($C49,[16]REKAP!$B$9:$G$200,6,0),"")</f>
        <v/>
      </c>
      <c r="AW49" s="15" t="str">
        <f>IFERROR(VLOOKUP($C49,[17]REKAP!$B$9:$D$200,3,0),"")</f>
        <v/>
      </c>
      <c r="AX49" s="15" t="str">
        <f>IFERROR(VLOOKUP($C49,[17]REKAP!$B$9:$E$200,4,0),"")</f>
        <v/>
      </c>
      <c r="AY49" s="15" t="str">
        <f>IFERROR(VLOOKUP($C49,[17]REKAP!$B$9:$G$200,6,0),"")</f>
        <v/>
      </c>
      <c r="AZ49" s="15" t="str">
        <f>IFERROR(VLOOKUP($C49,[18]REKAP!$B$9:$D$200,3,0),"")</f>
        <v/>
      </c>
      <c r="BA49" s="15" t="str">
        <f>IFERROR(VLOOKUP($C49,[18]REKAP!$B$9:$E$200,4,0),"")</f>
        <v/>
      </c>
      <c r="BB49" s="15" t="str">
        <f>IFERROR(VLOOKUP($C49,[18]REKAP!$B$9:$G$200,6,0),"")</f>
        <v/>
      </c>
      <c r="BC49" s="15" t="str">
        <f>IFERROR(VLOOKUP($C49,[19]REKAP!$B$9:$D$200,3,0),"")</f>
        <v/>
      </c>
      <c r="BD49" s="15" t="str">
        <f>IFERROR(VLOOKUP($C49,[19]REKAP!$B$9:$E$200,4,0),"")</f>
        <v/>
      </c>
      <c r="BE49" s="15" t="str">
        <f>IFERROR(VLOOKUP($C49,[19]REKAP!$B$9:$G$200,6,0),"")</f>
        <v/>
      </c>
      <c r="BF49" s="15" t="str">
        <f>IFERROR(VLOOKUP($C49,[20]REKAP!$B$9:$D$200,3,0),"")</f>
        <v/>
      </c>
      <c r="BG49" s="15" t="str">
        <f>IFERROR(VLOOKUP($C49,[20]REKAP!$B$9:$E$200,4,0),"")</f>
        <v/>
      </c>
      <c r="BH49" s="15" t="str">
        <f>IFERROR(VLOOKUP($C49,[20]REKAP!$B$9:$G$200,6,0),"")</f>
        <v/>
      </c>
      <c r="BI49" s="15" t="str">
        <f>IFERROR(VLOOKUP($C49,[21]REKAP!$B$9:$D$200,3,0),"")</f>
        <v/>
      </c>
      <c r="BJ49" s="15" t="str">
        <f>IFERROR(VLOOKUP($C49,[21]REKAP!$B$9:$E$200,4,0),"")</f>
        <v/>
      </c>
      <c r="BK49" s="15" t="str">
        <f>IFERROR(VLOOKUP($C49,[21]REKAP!$B$9:$G$200,6,0),"")</f>
        <v/>
      </c>
      <c r="BL49" s="15" t="str">
        <f>IFERROR(VLOOKUP($C49,[22]REKAP!$B$9:$D$200,3,0),"")</f>
        <v/>
      </c>
      <c r="BM49" s="15" t="str">
        <f>IFERROR(VLOOKUP($C49,[22]REKAP!$B$9:$E$200,4,0),"")</f>
        <v/>
      </c>
      <c r="BN49" s="15" t="str">
        <f>IFERROR(VLOOKUP($C49,[22]REKAP!$B$9:$G$200,6,0),"")</f>
        <v/>
      </c>
      <c r="BO49" s="15" t="str">
        <f>IFERROR(VLOOKUP($C49,[23]REKAP!$B$9:$D$200,3,0),"")</f>
        <v/>
      </c>
      <c r="BP49" s="15" t="str">
        <f>IFERROR(VLOOKUP($C49,[23]REKAP!$B$9:$E$200,4,0),"")</f>
        <v/>
      </c>
      <c r="BQ49" s="15" t="str">
        <f>IFERROR(VLOOKUP($C49,[23]REKAP!$B$9:$G$200,6,0),"")</f>
        <v/>
      </c>
      <c r="BR49" s="15" t="str">
        <f>IFERROR(VLOOKUP($C49,[24]REKAP!$B$9:$D$200,3,0),"")</f>
        <v/>
      </c>
      <c r="BS49" s="15" t="str">
        <f>IFERROR(VLOOKUP($C49,[24]REKAP!$B$9:$E$200,4,0),"")</f>
        <v/>
      </c>
      <c r="BT49" s="15" t="str">
        <f>IFERROR(VLOOKUP($C49,[24]REKAP!$B$9:$G$200,6,0),"")</f>
        <v/>
      </c>
      <c r="BU49" s="15" t="str">
        <f>IFERROR(VLOOKUP($C49,[25]REKAP!$B$9:$D$200,3,0),"")</f>
        <v/>
      </c>
      <c r="BV49" s="15" t="str">
        <f>IFERROR(VLOOKUP($C49,[25]REKAP!$B$9:$E$200,4,0),"")</f>
        <v/>
      </c>
      <c r="BW49" s="15" t="str">
        <f>IFERROR(VLOOKUP($C49,[25]REKAP!$B$9:$G$200,6,0),"")</f>
        <v/>
      </c>
      <c r="BX49" s="15" t="str">
        <f>IFERROR(VLOOKUP($C49,[26]REKAP!$B$9:$D$200,3,0),"")</f>
        <v/>
      </c>
      <c r="BY49" s="15" t="str">
        <f>IFERROR(VLOOKUP($C49,[26]REKAP!$B$9:$E$200,4,0),"")</f>
        <v/>
      </c>
      <c r="BZ49" s="15" t="str">
        <f>IFERROR(VLOOKUP($C49,[26]REKAP!$B$9:$G$200,6,0),"")</f>
        <v/>
      </c>
      <c r="CA49" s="15" t="str">
        <f>IFERROR(VLOOKUP($C49,[27]REKAP!$B$9:$D$200,3,0),"")</f>
        <v/>
      </c>
      <c r="CB49" s="15" t="str">
        <f>IFERROR(VLOOKUP($C49,[27]REKAP!$B$9:$E$200,4,0),"")</f>
        <v/>
      </c>
      <c r="CC49" s="15" t="str">
        <f>IFERROR(VLOOKUP($C49,[27]REKAP!$B$9:$G$200,6,0),"")</f>
        <v/>
      </c>
      <c r="CD49" s="15" t="str">
        <f>IFERROR(VLOOKUP($C49,[28]REKAP!$B$9:$D$200,3,0),"")</f>
        <v/>
      </c>
      <c r="CE49" s="15" t="str">
        <f>IFERROR(VLOOKUP($C49,[28]REKAP!$B$9:$E$200,4,0),"")</f>
        <v/>
      </c>
      <c r="CF49" s="15" t="str">
        <f>IFERROR(VLOOKUP($C49,[28]REKAP!$B$9:$G$200,6,0),"")</f>
        <v/>
      </c>
      <c r="CG49" s="15" t="str">
        <f>IFERROR(VLOOKUP($C49,[29]REKAP!$B$9:$D$200,3,0),"")</f>
        <v/>
      </c>
      <c r="CH49" s="15" t="str">
        <f>IFERROR(VLOOKUP($C49,[29]REKAP!$B$9:$E$200,4,0),"")</f>
        <v/>
      </c>
      <c r="CI49" s="15" t="str">
        <f>IFERROR(VLOOKUP($C49,[29]REKAP!$B$9:$G$200,6,0),"")</f>
        <v/>
      </c>
      <c r="CJ49" s="15" t="str">
        <f>IFERROR(VLOOKUP($C49,[30]REKAP!$B$9:$D$200,3,0),"")</f>
        <v/>
      </c>
      <c r="CK49" s="15" t="str">
        <f>IFERROR(VLOOKUP($C49,[30]REKAP!$B$9:$E$200,4,0),"")</f>
        <v/>
      </c>
      <c r="CL49" s="15" t="str">
        <f>IFERROR(VLOOKUP($C49,[30]REKAP!$B$9:$G$200,6,0),"")</f>
        <v/>
      </c>
      <c r="CM49" s="15" t="str">
        <f>IFERROR(VLOOKUP($C49,[31]REKAP!$B$9:$D$200,3,0),"")</f>
        <v/>
      </c>
      <c r="CN49" s="15" t="str">
        <f>IFERROR(VLOOKUP($C49,[31]REKAP!$B$9:$E$200,4,0),"")</f>
        <v/>
      </c>
      <c r="CO49" s="15" t="str">
        <f>IFERROR(VLOOKUP($C49,[31]REKAP!$B$9:$G$200,6,0),"")</f>
        <v/>
      </c>
      <c r="CP49" s="15" t="str">
        <f>IFERROR(VLOOKUP($C49,[32]REKAP!$B$9:$D$200,3,0),"")</f>
        <v/>
      </c>
      <c r="CQ49" s="15" t="str">
        <f>IFERROR(VLOOKUP($C49,[32]REKAP!$B$9:$E$200,4,0),"")</f>
        <v/>
      </c>
      <c r="CR49" s="15" t="str">
        <f>IFERROR(VLOOKUP($C49,[32]REKAP!$B$9:$G$200,6,0),"")</f>
        <v/>
      </c>
      <c r="CS49" s="15" t="str">
        <f>IFERROR(VLOOKUP($C49,[33]REKAP!$B$9:$D$200,3,0),"")</f>
        <v/>
      </c>
      <c r="CT49" s="15" t="str">
        <f>IFERROR(VLOOKUP($C49,[33]REKAP!$B$9:$E$200,4,0),"")</f>
        <v/>
      </c>
      <c r="CU49" s="15" t="str">
        <f>IFERROR(VLOOKUP($C49,[33]REKAP!$B$9:$G$200,6,0),"")</f>
        <v/>
      </c>
      <c r="CV49" s="15" t="str">
        <f>IFERROR(VLOOKUP($C49,[34]REKAP!$B$9:$D$200,3,0),"")</f>
        <v/>
      </c>
      <c r="CW49" s="15" t="str">
        <f>IFERROR(VLOOKUP($C49,[34]REKAP!$B$9:$E$200,4,0),"")</f>
        <v/>
      </c>
      <c r="CX49" s="15" t="str">
        <f>IFERROR(VLOOKUP($C49,[34]REKAP!$B$9:$G$200,6,0),"")</f>
        <v/>
      </c>
    </row>
    <row r="50" spans="3:102" x14ac:dyDescent="0.25">
      <c r="C50" s="7" t="s">
        <v>125</v>
      </c>
      <c r="D50" s="5" t="str">
        <f>IFERROR(VLOOKUP(C50,DBASE!$C$7:$D$207,2,0),"")</f>
        <v>DONALD BIG STICK TOPLES</v>
      </c>
      <c r="E50" s="15">
        <f t="shared" si="2"/>
        <v>12</v>
      </c>
      <c r="F50" s="15">
        <f t="shared" si="2"/>
        <v>563000</v>
      </c>
      <c r="H50" s="15">
        <f t="shared" si="2"/>
        <v>11000</v>
      </c>
      <c r="J50" s="15" t="str">
        <f>IFERROR(VLOOKUP($C50,[4]REKAP!$B$9:$D$200,3,0),"")</f>
        <v/>
      </c>
      <c r="K50" s="15" t="str">
        <f>IFERROR(VLOOKUP($C50,[4]REKAP!$B$9:$E$200,4,0),"")</f>
        <v/>
      </c>
      <c r="L50" s="15" t="str">
        <f>IFERROR(VLOOKUP($C50,[4]REKAP!$B$9:$G$200,6,0),"")</f>
        <v/>
      </c>
      <c r="M50" s="15" t="str">
        <f>IFERROR(VLOOKUP($C50,[5]REKAP!$B$9:$D$200,3,0),"")</f>
        <v/>
      </c>
      <c r="N50" s="15" t="str">
        <f>IFERROR(VLOOKUP($C50,[5]REKAP!$B$9:$E$200,4,0),"")</f>
        <v/>
      </c>
      <c r="O50" s="15" t="str">
        <f>IFERROR(VLOOKUP($C50,[5]REKAP!$B$9:$G$200,6,0),"")</f>
        <v/>
      </c>
      <c r="P50" s="15" t="str">
        <f>IFERROR(VLOOKUP($C50,[6]REKAP!$B$9:$D$200,3,0),"")</f>
        <v/>
      </c>
      <c r="Q50" s="15" t="str">
        <f>IFERROR(VLOOKUP($C50,[6]REKAP!$B$9:$E$200,4,0),"")</f>
        <v/>
      </c>
      <c r="R50" s="15" t="str">
        <f>IFERROR(VLOOKUP($C50,[6]REKAP!$B$9:$G$200,6,0),"")</f>
        <v/>
      </c>
      <c r="S50" s="15" t="str">
        <f>IFERROR(VLOOKUP($C50,[7]REKAP!$B$9:$D$200,3,0),"")</f>
        <v/>
      </c>
      <c r="T50" s="15" t="str">
        <f>IFERROR(VLOOKUP($C50,[7]REKAP!$B$9:$E$200,4,0),"")</f>
        <v/>
      </c>
      <c r="U50" s="15" t="str">
        <f>IFERROR(VLOOKUP($C50,[7]REKAP!$B$9:$G$200,6,0),"")</f>
        <v/>
      </c>
      <c r="V50" s="15">
        <f>IFERROR(VLOOKUP($C50,[8]REKAP!$B$9:$D$200,3,0),"")</f>
        <v>5</v>
      </c>
      <c r="W50" s="15">
        <f>IFERROR(VLOOKUP($C50,[8]REKAP!$B$9:$E$200,4,0),"")</f>
        <v>234000</v>
      </c>
      <c r="X50" s="15">
        <f>IFERROR(VLOOKUP($C50,[8]REKAP!$B$9:$G$200,6,0),"")</f>
        <v>4000</v>
      </c>
      <c r="Y50" s="15">
        <f>IFERROR(VLOOKUP($C50,[9]REKAP!$B$9:$D$200,3,0),"")</f>
        <v>5</v>
      </c>
      <c r="Z50" s="15">
        <f>IFERROR(VLOOKUP($C50,[9]REKAP!$B$9:$E$200,4,0),"")</f>
        <v>235000</v>
      </c>
      <c r="AA50" s="15">
        <f>IFERROR(VLOOKUP($C50,[9]REKAP!$B$9:$G$200,6,0),"")</f>
        <v>5000</v>
      </c>
      <c r="AB50" s="15">
        <f>IFERROR(VLOOKUP($C50,[10]REKAP!$B$9:$D$200,3,0),"")</f>
        <v>0</v>
      </c>
      <c r="AC50" s="15">
        <f>IFERROR(VLOOKUP($C50,[10]REKAP!$B$9:$E$200,4,0),"")</f>
        <v>0</v>
      </c>
      <c r="AD50" s="15">
        <f>IFERROR(VLOOKUP($C50,[10]REKAP!$B$9:$G$200,6,0),"")</f>
        <v>0</v>
      </c>
      <c r="AE50" s="15">
        <f>IFERROR(VLOOKUP($C50,[11]REKAP!$B$9:$D$199,3,0),"")</f>
        <v>0</v>
      </c>
      <c r="AF50" s="15">
        <f>IFERROR(VLOOKUP($C50,[11]REKAP!$B$9:$E$199,4,0),"")</f>
        <v>0</v>
      </c>
      <c r="AG50" s="15">
        <f>IFERROR(VLOOKUP($C50,[11]REKAP!$B$9:$G$199,6,0),"")</f>
        <v>0</v>
      </c>
      <c r="AH50" s="15">
        <f>IFERROR(VLOOKUP($C50,[12]REKAP!$B$9:$D$200,3,0),"")</f>
        <v>2</v>
      </c>
      <c r="AI50" s="15">
        <f>IFERROR(VLOOKUP($C50,[12]REKAP!$B$9:$E$200,4,0),"")</f>
        <v>94000</v>
      </c>
      <c r="AJ50" s="15">
        <f>IFERROR(VLOOKUP($C50,[12]REKAP!$B$9:$G$200,6,0),"")</f>
        <v>2000</v>
      </c>
      <c r="AK50" s="15" t="str">
        <f>IFERROR(VLOOKUP($C50,[13]REKAP!$B$9:$D$200,3,0),"")</f>
        <v/>
      </c>
      <c r="AL50" s="15" t="str">
        <f>IFERROR(VLOOKUP($C50,[13]REKAP!$B$9:$E$200,4,0),"")</f>
        <v/>
      </c>
      <c r="AM50" s="15" t="str">
        <f>IFERROR(VLOOKUP($C50,[13]REKAP!$B$9:$G$200,6,0),"")</f>
        <v/>
      </c>
      <c r="AN50" s="15" t="str">
        <f>IFERROR(VLOOKUP($C50,[14]REKAP!$B$9:$D$200,3,0),"")</f>
        <v/>
      </c>
      <c r="AO50" s="15" t="str">
        <f>IFERROR(VLOOKUP($C50,[14]REKAP!$B$9:$E$200,4,0),"")</f>
        <v/>
      </c>
      <c r="AP50" s="15" t="str">
        <f>IFERROR(VLOOKUP($C50,[14]REKAP!$B$9:$G$200,6,0),"")</f>
        <v/>
      </c>
      <c r="AQ50" s="15" t="str">
        <f>IFERROR(VLOOKUP($C50,[15]REKAP!$B$9:$D$200,3,0),"")</f>
        <v/>
      </c>
      <c r="AR50" s="15" t="str">
        <f>IFERROR(VLOOKUP($C50,[15]REKAP!$B$9:$E$200,4,0),"")</f>
        <v/>
      </c>
      <c r="AS50" s="15" t="str">
        <f>IFERROR(VLOOKUP($C50,[15]REKAP!$B$9:$G$200,6,0),"")</f>
        <v/>
      </c>
      <c r="AT50" s="15" t="str">
        <f>IFERROR(VLOOKUP($C50,[16]REKAP!$B$9:$D$200,3,0),"")</f>
        <v/>
      </c>
      <c r="AU50" s="15" t="str">
        <f>IFERROR(VLOOKUP($C50,[16]REKAP!$B$9:$E$200,4,0),"")</f>
        <v/>
      </c>
      <c r="AV50" s="15" t="str">
        <f>IFERROR(VLOOKUP($C50,[16]REKAP!$B$9:$G$200,6,0),"")</f>
        <v/>
      </c>
      <c r="AW50" s="15" t="str">
        <f>IFERROR(VLOOKUP($C50,[17]REKAP!$B$9:$D$200,3,0),"")</f>
        <v/>
      </c>
      <c r="AX50" s="15" t="str">
        <f>IFERROR(VLOOKUP($C50,[17]REKAP!$B$9:$E$200,4,0),"")</f>
        <v/>
      </c>
      <c r="AY50" s="15" t="str">
        <f>IFERROR(VLOOKUP($C50,[17]REKAP!$B$9:$G$200,6,0),"")</f>
        <v/>
      </c>
      <c r="AZ50" s="15" t="str">
        <f>IFERROR(VLOOKUP($C50,[18]REKAP!$B$9:$D$200,3,0),"")</f>
        <v/>
      </c>
      <c r="BA50" s="15" t="str">
        <f>IFERROR(VLOOKUP($C50,[18]REKAP!$B$9:$E$200,4,0),"")</f>
        <v/>
      </c>
      <c r="BB50" s="15" t="str">
        <f>IFERROR(VLOOKUP($C50,[18]REKAP!$B$9:$G$200,6,0),"")</f>
        <v/>
      </c>
      <c r="BC50" s="15" t="str">
        <f>IFERROR(VLOOKUP($C50,[19]REKAP!$B$9:$D$200,3,0),"")</f>
        <v/>
      </c>
      <c r="BD50" s="15" t="str">
        <f>IFERROR(VLOOKUP($C50,[19]REKAP!$B$9:$E$200,4,0),"")</f>
        <v/>
      </c>
      <c r="BE50" s="15" t="str">
        <f>IFERROR(VLOOKUP($C50,[19]REKAP!$B$9:$G$200,6,0),"")</f>
        <v/>
      </c>
      <c r="BF50" s="15" t="str">
        <f>IFERROR(VLOOKUP($C50,[20]REKAP!$B$9:$D$200,3,0),"")</f>
        <v/>
      </c>
      <c r="BG50" s="15" t="str">
        <f>IFERROR(VLOOKUP($C50,[20]REKAP!$B$9:$E$200,4,0),"")</f>
        <v/>
      </c>
      <c r="BH50" s="15" t="str">
        <f>IFERROR(VLOOKUP($C50,[20]REKAP!$B$9:$G$200,6,0),"")</f>
        <v/>
      </c>
      <c r="BI50" s="15" t="str">
        <f>IFERROR(VLOOKUP($C50,[21]REKAP!$B$9:$D$200,3,0),"")</f>
        <v/>
      </c>
      <c r="BJ50" s="15" t="str">
        <f>IFERROR(VLOOKUP($C50,[21]REKAP!$B$9:$E$200,4,0),"")</f>
        <v/>
      </c>
      <c r="BK50" s="15" t="str">
        <f>IFERROR(VLOOKUP($C50,[21]REKAP!$B$9:$G$200,6,0),"")</f>
        <v/>
      </c>
      <c r="BL50" s="15" t="str">
        <f>IFERROR(VLOOKUP($C50,[22]REKAP!$B$9:$D$200,3,0),"")</f>
        <v/>
      </c>
      <c r="BM50" s="15" t="str">
        <f>IFERROR(VLOOKUP($C50,[22]REKAP!$B$9:$E$200,4,0),"")</f>
        <v/>
      </c>
      <c r="BN50" s="15" t="str">
        <f>IFERROR(VLOOKUP($C50,[22]REKAP!$B$9:$G$200,6,0),"")</f>
        <v/>
      </c>
      <c r="BO50" s="15" t="str">
        <f>IFERROR(VLOOKUP($C50,[23]REKAP!$B$9:$D$200,3,0),"")</f>
        <v/>
      </c>
      <c r="BP50" s="15" t="str">
        <f>IFERROR(VLOOKUP($C50,[23]REKAP!$B$9:$E$200,4,0),"")</f>
        <v/>
      </c>
      <c r="BQ50" s="15" t="str">
        <f>IFERROR(VLOOKUP($C50,[23]REKAP!$B$9:$G$200,6,0),"")</f>
        <v/>
      </c>
      <c r="BR50" s="15" t="str">
        <f>IFERROR(VLOOKUP($C50,[24]REKAP!$B$9:$D$200,3,0),"")</f>
        <v/>
      </c>
      <c r="BS50" s="15" t="str">
        <f>IFERROR(VLOOKUP($C50,[24]REKAP!$B$9:$E$200,4,0),"")</f>
        <v/>
      </c>
      <c r="BT50" s="15" t="str">
        <f>IFERROR(VLOOKUP($C50,[24]REKAP!$B$9:$G$200,6,0),"")</f>
        <v/>
      </c>
      <c r="BU50" s="15" t="str">
        <f>IFERROR(VLOOKUP($C50,[25]REKAP!$B$9:$D$200,3,0),"")</f>
        <v/>
      </c>
      <c r="BV50" s="15" t="str">
        <f>IFERROR(VLOOKUP($C50,[25]REKAP!$B$9:$E$200,4,0),"")</f>
        <v/>
      </c>
      <c r="BW50" s="15" t="str">
        <f>IFERROR(VLOOKUP($C50,[25]REKAP!$B$9:$G$200,6,0),"")</f>
        <v/>
      </c>
      <c r="BX50" s="15" t="str">
        <f>IFERROR(VLOOKUP($C50,[26]REKAP!$B$9:$D$200,3,0),"")</f>
        <v/>
      </c>
      <c r="BY50" s="15" t="str">
        <f>IFERROR(VLOOKUP($C50,[26]REKAP!$B$9:$E$200,4,0),"")</f>
        <v/>
      </c>
      <c r="BZ50" s="15" t="str">
        <f>IFERROR(VLOOKUP($C50,[26]REKAP!$B$9:$G$200,6,0),"")</f>
        <v/>
      </c>
      <c r="CA50" s="15" t="str">
        <f>IFERROR(VLOOKUP($C50,[27]REKAP!$B$9:$D$200,3,0),"")</f>
        <v/>
      </c>
      <c r="CB50" s="15" t="str">
        <f>IFERROR(VLOOKUP($C50,[27]REKAP!$B$9:$E$200,4,0),"")</f>
        <v/>
      </c>
      <c r="CC50" s="15" t="str">
        <f>IFERROR(VLOOKUP($C50,[27]REKAP!$B$9:$G$200,6,0),"")</f>
        <v/>
      </c>
      <c r="CD50" s="15" t="str">
        <f>IFERROR(VLOOKUP($C50,[28]REKAP!$B$9:$D$200,3,0),"")</f>
        <v/>
      </c>
      <c r="CE50" s="15" t="str">
        <f>IFERROR(VLOOKUP($C50,[28]REKAP!$B$9:$E$200,4,0),"")</f>
        <v/>
      </c>
      <c r="CF50" s="15" t="str">
        <f>IFERROR(VLOOKUP($C50,[28]REKAP!$B$9:$G$200,6,0),"")</f>
        <v/>
      </c>
      <c r="CG50" s="15" t="str">
        <f>IFERROR(VLOOKUP($C50,[29]REKAP!$B$9:$D$200,3,0),"")</f>
        <v/>
      </c>
      <c r="CH50" s="15" t="str">
        <f>IFERROR(VLOOKUP($C50,[29]REKAP!$B$9:$E$200,4,0),"")</f>
        <v/>
      </c>
      <c r="CI50" s="15" t="str">
        <f>IFERROR(VLOOKUP($C50,[29]REKAP!$B$9:$G$200,6,0),"")</f>
        <v/>
      </c>
      <c r="CJ50" s="15" t="str">
        <f>IFERROR(VLOOKUP($C50,[30]REKAP!$B$9:$D$200,3,0),"")</f>
        <v/>
      </c>
      <c r="CK50" s="15" t="str">
        <f>IFERROR(VLOOKUP($C50,[30]REKAP!$B$9:$E$200,4,0),"")</f>
        <v/>
      </c>
      <c r="CL50" s="15" t="str">
        <f>IFERROR(VLOOKUP($C50,[30]REKAP!$B$9:$G$200,6,0),"")</f>
        <v/>
      </c>
      <c r="CM50" s="15" t="str">
        <f>IFERROR(VLOOKUP($C50,[31]REKAP!$B$9:$D$200,3,0),"")</f>
        <v/>
      </c>
      <c r="CN50" s="15" t="str">
        <f>IFERROR(VLOOKUP($C50,[31]REKAP!$B$9:$E$200,4,0),"")</f>
        <v/>
      </c>
      <c r="CO50" s="15" t="str">
        <f>IFERROR(VLOOKUP($C50,[31]REKAP!$B$9:$G$200,6,0),"")</f>
        <v/>
      </c>
      <c r="CP50" s="15" t="str">
        <f>IFERROR(VLOOKUP($C50,[32]REKAP!$B$9:$D$200,3,0),"")</f>
        <v/>
      </c>
      <c r="CQ50" s="15" t="str">
        <f>IFERROR(VLOOKUP($C50,[32]REKAP!$B$9:$E$200,4,0),"")</f>
        <v/>
      </c>
      <c r="CR50" s="15" t="str">
        <f>IFERROR(VLOOKUP($C50,[32]REKAP!$B$9:$G$200,6,0),"")</f>
        <v/>
      </c>
      <c r="CS50" s="15" t="str">
        <f>IFERROR(VLOOKUP($C50,[33]REKAP!$B$9:$D$200,3,0),"")</f>
        <v/>
      </c>
      <c r="CT50" s="15" t="str">
        <f>IFERROR(VLOOKUP($C50,[33]REKAP!$B$9:$E$200,4,0),"")</f>
        <v/>
      </c>
      <c r="CU50" s="15" t="str">
        <f>IFERROR(VLOOKUP($C50,[33]REKAP!$B$9:$G$200,6,0),"")</f>
        <v/>
      </c>
      <c r="CV50" s="15" t="str">
        <f>IFERROR(VLOOKUP($C50,[34]REKAP!$B$9:$D$200,3,0),"")</f>
        <v/>
      </c>
      <c r="CW50" s="15" t="str">
        <f>IFERROR(VLOOKUP($C50,[34]REKAP!$B$9:$E$200,4,0),"")</f>
        <v/>
      </c>
      <c r="CX50" s="15" t="str">
        <f>IFERROR(VLOOKUP($C50,[34]REKAP!$B$9:$G$200,6,0),"")</f>
        <v/>
      </c>
    </row>
    <row r="51" spans="3:102" x14ac:dyDescent="0.25">
      <c r="C51" s="7" t="s">
        <v>124</v>
      </c>
      <c r="D51" s="5" t="str">
        <f>IFERROR(VLOOKUP(C51,DBASE!$C$7:$D$207,2,0),"")</f>
        <v>DONALD BIG STICK PAK</v>
      </c>
      <c r="E51" s="15">
        <f t="shared" si="2"/>
        <v>7</v>
      </c>
      <c r="F51" s="15">
        <f t="shared" si="2"/>
        <v>286639.913</v>
      </c>
      <c r="H51" s="15">
        <f t="shared" si="2"/>
        <v>6639.913000000015</v>
      </c>
      <c r="J51" s="15" t="str">
        <f>IFERROR(VLOOKUP($C51,[4]REKAP!$B$9:$D$200,3,0),"")</f>
        <v/>
      </c>
      <c r="K51" s="15" t="str">
        <f>IFERROR(VLOOKUP($C51,[4]REKAP!$B$9:$E$200,4,0),"")</f>
        <v/>
      </c>
      <c r="L51" s="15" t="str">
        <f>IFERROR(VLOOKUP($C51,[4]REKAP!$B$9:$G$200,6,0),"")</f>
        <v/>
      </c>
      <c r="M51" s="15" t="str">
        <f>IFERROR(VLOOKUP($C51,[5]REKAP!$B$9:$D$200,3,0),"")</f>
        <v/>
      </c>
      <c r="N51" s="15" t="str">
        <f>IFERROR(VLOOKUP($C51,[5]REKAP!$B$9:$E$200,4,0),"")</f>
        <v/>
      </c>
      <c r="O51" s="15" t="str">
        <f>IFERROR(VLOOKUP($C51,[5]REKAP!$B$9:$G$200,6,0),"")</f>
        <v/>
      </c>
      <c r="P51" s="15" t="str">
        <f>IFERROR(VLOOKUP($C51,[6]REKAP!$B$9:$D$200,3,0),"")</f>
        <v/>
      </c>
      <c r="Q51" s="15" t="str">
        <f>IFERROR(VLOOKUP($C51,[6]REKAP!$B$9:$E$200,4,0),"")</f>
        <v/>
      </c>
      <c r="R51" s="15" t="str">
        <f>IFERROR(VLOOKUP($C51,[6]REKAP!$B$9:$G$200,6,0),"")</f>
        <v/>
      </c>
      <c r="S51" s="15" t="str">
        <f>IFERROR(VLOOKUP($C51,[7]REKAP!$B$9:$D$200,3,0),"")</f>
        <v/>
      </c>
      <c r="T51" s="15" t="str">
        <f>IFERROR(VLOOKUP($C51,[7]REKAP!$B$9:$E$200,4,0),"")</f>
        <v/>
      </c>
      <c r="U51" s="15" t="str">
        <f>IFERROR(VLOOKUP($C51,[7]REKAP!$B$9:$G$200,6,0),"")</f>
        <v/>
      </c>
      <c r="V51" s="15">
        <f>IFERROR(VLOOKUP($C51,[8]REKAP!$B$9:$D$200,3,0),"")</f>
        <v>0</v>
      </c>
      <c r="W51" s="15">
        <f>IFERROR(VLOOKUP($C51,[8]REKAP!$B$9:$E$200,4,0),"")</f>
        <v>0</v>
      </c>
      <c r="X51" s="15">
        <f>IFERROR(VLOOKUP($C51,[8]REKAP!$B$9:$G$200,6,0),"")</f>
        <v>0</v>
      </c>
      <c r="Y51" s="15">
        <f>IFERROR(VLOOKUP($C51,[9]REKAP!$B$9:$D$200,3,0),"")</f>
        <v>1</v>
      </c>
      <c r="Z51" s="15">
        <f>IFERROR(VLOOKUP($C51,[9]REKAP!$B$9:$E$200,4,0),"")</f>
        <v>41000</v>
      </c>
      <c r="AA51" s="15">
        <f>IFERROR(VLOOKUP($C51,[9]REKAP!$B$9:$G$200,6,0),"")</f>
        <v>1000</v>
      </c>
      <c r="AB51" s="15">
        <f>IFERROR(VLOOKUP($C51,[10]REKAP!$B$9:$D$200,3,0),"")</f>
        <v>1</v>
      </c>
      <c r="AC51" s="15">
        <f>IFERROR(VLOOKUP($C51,[10]REKAP!$B$9:$E$200,4,0),"")</f>
        <v>41000</v>
      </c>
      <c r="AD51" s="15">
        <f>IFERROR(VLOOKUP($C51,[10]REKAP!$B$9:$G$200,6,0),"")</f>
        <v>1000</v>
      </c>
      <c r="AE51" s="15">
        <f>IFERROR(VLOOKUP($C51,[11]REKAP!$B$9:$D$199,3,0),"")</f>
        <v>2</v>
      </c>
      <c r="AF51" s="15">
        <f>IFERROR(VLOOKUP($C51,[11]REKAP!$B$9:$E$199,4,0),"")</f>
        <v>82000</v>
      </c>
      <c r="AG51" s="15">
        <f>IFERROR(VLOOKUP($C51,[11]REKAP!$B$9:$G$199,6,0),"")</f>
        <v>2000</v>
      </c>
      <c r="AH51" s="15">
        <f>IFERROR(VLOOKUP($C51,[12]REKAP!$B$9:$D$200,3,0),"")</f>
        <v>3</v>
      </c>
      <c r="AI51" s="15">
        <f>IFERROR(VLOOKUP($C51,[12]REKAP!$B$9:$E$200,4,0),"")</f>
        <v>122639.91300000002</v>
      </c>
      <c r="AJ51" s="15">
        <f>IFERROR(VLOOKUP($C51,[12]REKAP!$B$9:$G$200,6,0),"")</f>
        <v>2639.913000000015</v>
      </c>
      <c r="AK51" s="15" t="str">
        <f>IFERROR(VLOOKUP($C51,[13]REKAP!$B$9:$D$200,3,0),"")</f>
        <v/>
      </c>
      <c r="AL51" s="15" t="str">
        <f>IFERROR(VLOOKUP($C51,[13]REKAP!$B$9:$E$200,4,0),"")</f>
        <v/>
      </c>
      <c r="AM51" s="15" t="str">
        <f>IFERROR(VLOOKUP($C51,[13]REKAP!$B$9:$G$200,6,0),"")</f>
        <v/>
      </c>
      <c r="AN51" s="15" t="str">
        <f>IFERROR(VLOOKUP($C51,[14]REKAP!$B$9:$D$200,3,0),"")</f>
        <v/>
      </c>
      <c r="AO51" s="15" t="str">
        <f>IFERROR(VLOOKUP($C51,[14]REKAP!$B$9:$E$200,4,0),"")</f>
        <v/>
      </c>
      <c r="AP51" s="15" t="str">
        <f>IFERROR(VLOOKUP($C51,[14]REKAP!$B$9:$G$200,6,0),"")</f>
        <v/>
      </c>
      <c r="AQ51" s="15" t="str">
        <f>IFERROR(VLOOKUP($C51,[15]REKAP!$B$9:$D$200,3,0),"")</f>
        <v/>
      </c>
      <c r="AR51" s="15" t="str">
        <f>IFERROR(VLOOKUP($C51,[15]REKAP!$B$9:$E$200,4,0),"")</f>
        <v/>
      </c>
      <c r="AS51" s="15" t="str">
        <f>IFERROR(VLOOKUP($C51,[15]REKAP!$B$9:$G$200,6,0),"")</f>
        <v/>
      </c>
      <c r="AT51" s="15" t="str">
        <f>IFERROR(VLOOKUP($C51,[16]REKAP!$B$9:$D$200,3,0),"")</f>
        <v/>
      </c>
      <c r="AU51" s="15" t="str">
        <f>IFERROR(VLOOKUP($C51,[16]REKAP!$B$9:$E$200,4,0),"")</f>
        <v/>
      </c>
      <c r="AV51" s="15" t="str">
        <f>IFERROR(VLOOKUP($C51,[16]REKAP!$B$9:$G$200,6,0),"")</f>
        <v/>
      </c>
      <c r="AW51" s="15" t="str">
        <f>IFERROR(VLOOKUP($C51,[17]REKAP!$B$9:$D$200,3,0),"")</f>
        <v/>
      </c>
      <c r="AX51" s="15" t="str">
        <f>IFERROR(VLOOKUP($C51,[17]REKAP!$B$9:$E$200,4,0),"")</f>
        <v/>
      </c>
      <c r="AY51" s="15" t="str">
        <f>IFERROR(VLOOKUP($C51,[17]REKAP!$B$9:$G$200,6,0),"")</f>
        <v/>
      </c>
      <c r="AZ51" s="15" t="str">
        <f>IFERROR(VLOOKUP($C51,[18]REKAP!$B$9:$D$200,3,0),"")</f>
        <v/>
      </c>
      <c r="BA51" s="15" t="str">
        <f>IFERROR(VLOOKUP($C51,[18]REKAP!$B$9:$E$200,4,0),"")</f>
        <v/>
      </c>
      <c r="BB51" s="15" t="str">
        <f>IFERROR(VLOOKUP($C51,[18]REKAP!$B$9:$G$200,6,0),"")</f>
        <v/>
      </c>
      <c r="BC51" s="15" t="str">
        <f>IFERROR(VLOOKUP($C51,[19]REKAP!$B$9:$D$200,3,0),"")</f>
        <v/>
      </c>
      <c r="BD51" s="15" t="str">
        <f>IFERROR(VLOOKUP($C51,[19]REKAP!$B$9:$E$200,4,0),"")</f>
        <v/>
      </c>
      <c r="BE51" s="15" t="str">
        <f>IFERROR(VLOOKUP($C51,[19]REKAP!$B$9:$G$200,6,0),"")</f>
        <v/>
      </c>
      <c r="BF51" s="15" t="str">
        <f>IFERROR(VLOOKUP($C51,[20]REKAP!$B$9:$D$200,3,0),"")</f>
        <v/>
      </c>
      <c r="BG51" s="15" t="str">
        <f>IFERROR(VLOOKUP($C51,[20]REKAP!$B$9:$E$200,4,0),"")</f>
        <v/>
      </c>
      <c r="BH51" s="15" t="str">
        <f>IFERROR(VLOOKUP($C51,[20]REKAP!$B$9:$G$200,6,0),"")</f>
        <v/>
      </c>
      <c r="BI51" s="15" t="str">
        <f>IFERROR(VLOOKUP($C51,[21]REKAP!$B$9:$D$200,3,0),"")</f>
        <v/>
      </c>
      <c r="BJ51" s="15" t="str">
        <f>IFERROR(VLOOKUP($C51,[21]REKAP!$B$9:$E$200,4,0),"")</f>
        <v/>
      </c>
      <c r="BK51" s="15" t="str">
        <f>IFERROR(VLOOKUP($C51,[21]REKAP!$B$9:$G$200,6,0),"")</f>
        <v/>
      </c>
      <c r="BL51" s="15" t="str">
        <f>IFERROR(VLOOKUP($C51,[22]REKAP!$B$9:$D$200,3,0),"")</f>
        <v/>
      </c>
      <c r="BM51" s="15" t="str">
        <f>IFERROR(VLOOKUP($C51,[22]REKAP!$B$9:$E$200,4,0),"")</f>
        <v/>
      </c>
      <c r="BN51" s="15" t="str">
        <f>IFERROR(VLOOKUP($C51,[22]REKAP!$B$9:$G$200,6,0),"")</f>
        <v/>
      </c>
      <c r="BO51" s="15" t="str">
        <f>IFERROR(VLOOKUP($C51,[23]REKAP!$B$9:$D$200,3,0),"")</f>
        <v/>
      </c>
      <c r="BP51" s="15" t="str">
        <f>IFERROR(VLOOKUP($C51,[23]REKAP!$B$9:$E$200,4,0),"")</f>
        <v/>
      </c>
      <c r="BQ51" s="15" t="str">
        <f>IFERROR(VLOOKUP($C51,[23]REKAP!$B$9:$G$200,6,0),"")</f>
        <v/>
      </c>
      <c r="BR51" s="15" t="str">
        <f>IFERROR(VLOOKUP($C51,[24]REKAP!$B$9:$D$200,3,0),"")</f>
        <v/>
      </c>
      <c r="BS51" s="15" t="str">
        <f>IFERROR(VLOOKUP($C51,[24]REKAP!$B$9:$E$200,4,0),"")</f>
        <v/>
      </c>
      <c r="BT51" s="15" t="str">
        <f>IFERROR(VLOOKUP($C51,[24]REKAP!$B$9:$G$200,6,0),"")</f>
        <v/>
      </c>
      <c r="BU51" s="15" t="str">
        <f>IFERROR(VLOOKUP($C51,[25]REKAP!$B$9:$D$200,3,0),"")</f>
        <v/>
      </c>
      <c r="BV51" s="15" t="str">
        <f>IFERROR(VLOOKUP($C51,[25]REKAP!$B$9:$E$200,4,0),"")</f>
        <v/>
      </c>
      <c r="BW51" s="15" t="str">
        <f>IFERROR(VLOOKUP($C51,[25]REKAP!$B$9:$G$200,6,0),"")</f>
        <v/>
      </c>
      <c r="BX51" s="15" t="str">
        <f>IFERROR(VLOOKUP($C51,[26]REKAP!$B$9:$D$200,3,0),"")</f>
        <v/>
      </c>
      <c r="BY51" s="15" t="str">
        <f>IFERROR(VLOOKUP($C51,[26]REKAP!$B$9:$E$200,4,0),"")</f>
        <v/>
      </c>
      <c r="BZ51" s="15" t="str">
        <f>IFERROR(VLOOKUP($C51,[26]REKAP!$B$9:$G$200,6,0),"")</f>
        <v/>
      </c>
      <c r="CA51" s="15" t="str">
        <f>IFERROR(VLOOKUP($C51,[27]REKAP!$B$9:$D$200,3,0),"")</f>
        <v/>
      </c>
      <c r="CB51" s="15" t="str">
        <f>IFERROR(VLOOKUP($C51,[27]REKAP!$B$9:$E$200,4,0),"")</f>
        <v/>
      </c>
      <c r="CC51" s="15" t="str">
        <f>IFERROR(VLOOKUP($C51,[27]REKAP!$B$9:$G$200,6,0),"")</f>
        <v/>
      </c>
      <c r="CD51" s="15" t="str">
        <f>IFERROR(VLOOKUP($C51,[28]REKAP!$B$9:$D$200,3,0),"")</f>
        <v/>
      </c>
      <c r="CE51" s="15" t="str">
        <f>IFERROR(VLOOKUP($C51,[28]REKAP!$B$9:$E$200,4,0),"")</f>
        <v/>
      </c>
      <c r="CF51" s="15" t="str">
        <f>IFERROR(VLOOKUP($C51,[28]REKAP!$B$9:$G$200,6,0),"")</f>
        <v/>
      </c>
      <c r="CG51" s="15" t="str">
        <f>IFERROR(VLOOKUP($C51,[29]REKAP!$B$9:$D$200,3,0),"")</f>
        <v/>
      </c>
      <c r="CH51" s="15" t="str">
        <f>IFERROR(VLOOKUP($C51,[29]REKAP!$B$9:$E$200,4,0),"")</f>
        <v/>
      </c>
      <c r="CI51" s="15" t="str">
        <f>IFERROR(VLOOKUP($C51,[29]REKAP!$B$9:$G$200,6,0),"")</f>
        <v/>
      </c>
      <c r="CJ51" s="15" t="str">
        <f>IFERROR(VLOOKUP($C51,[30]REKAP!$B$9:$D$200,3,0),"")</f>
        <v/>
      </c>
      <c r="CK51" s="15" t="str">
        <f>IFERROR(VLOOKUP($C51,[30]REKAP!$B$9:$E$200,4,0),"")</f>
        <v/>
      </c>
      <c r="CL51" s="15" t="str">
        <f>IFERROR(VLOOKUP($C51,[30]REKAP!$B$9:$G$200,6,0),"")</f>
        <v/>
      </c>
      <c r="CM51" s="15" t="str">
        <f>IFERROR(VLOOKUP($C51,[31]REKAP!$B$9:$D$200,3,0),"")</f>
        <v/>
      </c>
      <c r="CN51" s="15" t="str">
        <f>IFERROR(VLOOKUP($C51,[31]REKAP!$B$9:$E$200,4,0),"")</f>
        <v/>
      </c>
      <c r="CO51" s="15" t="str">
        <f>IFERROR(VLOOKUP($C51,[31]REKAP!$B$9:$G$200,6,0),"")</f>
        <v/>
      </c>
      <c r="CP51" s="15" t="str">
        <f>IFERROR(VLOOKUP($C51,[32]REKAP!$B$9:$D$200,3,0),"")</f>
        <v/>
      </c>
      <c r="CQ51" s="15" t="str">
        <f>IFERROR(VLOOKUP($C51,[32]REKAP!$B$9:$E$200,4,0),"")</f>
        <v/>
      </c>
      <c r="CR51" s="15" t="str">
        <f>IFERROR(VLOOKUP($C51,[32]REKAP!$B$9:$G$200,6,0),"")</f>
        <v/>
      </c>
      <c r="CS51" s="15" t="str">
        <f>IFERROR(VLOOKUP($C51,[33]REKAP!$B$9:$D$200,3,0),"")</f>
        <v/>
      </c>
      <c r="CT51" s="15" t="str">
        <f>IFERROR(VLOOKUP($C51,[33]REKAP!$B$9:$E$200,4,0),"")</f>
        <v/>
      </c>
      <c r="CU51" s="15" t="str">
        <f>IFERROR(VLOOKUP($C51,[33]REKAP!$B$9:$G$200,6,0),"")</f>
        <v/>
      </c>
      <c r="CV51" s="15" t="str">
        <f>IFERROR(VLOOKUP($C51,[34]REKAP!$B$9:$D$200,3,0),"")</f>
        <v/>
      </c>
      <c r="CW51" s="15" t="str">
        <f>IFERROR(VLOOKUP($C51,[34]REKAP!$B$9:$E$200,4,0),"")</f>
        <v/>
      </c>
      <c r="CX51" s="15" t="str">
        <f>IFERROR(VLOOKUP($C51,[34]REKAP!$B$9:$G$200,6,0),"")</f>
        <v/>
      </c>
    </row>
    <row r="52" spans="3:102" x14ac:dyDescent="0.25">
      <c r="C52" s="7" t="s">
        <v>122</v>
      </c>
      <c r="D52" s="5" t="str">
        <f>IFERROR(VLOOKUP(C52,DBASE!$C$7:$D$207,2,0),"")</f>
        <v>LPK ICE CREAM</v>
      </c>
      <c r="E52" s="15">
        <f t="shared" si="2"/>
        <v>1</v>
      </c>
      <c r="F52" s="15">
        <f t="shared" si="2"/>
        <v>19000</v>
      </c>
      <c r="H52" s="15">
        <f t="shared" si="2"/>
        <v>1000</v>
      </c>
      <c r="J52" s="15" t="str">
        <f>IFERROR(VLOOKUP($C52,[4]REKAP!$B$9:$D$200,3,0),"")</f>
        <v/>
      </c>
      <c r="K52" s="15" t="str">
        <f>IFERROR(VLOOKUP($C52,[4]REKAP!$B$9:$E$200,4,0),"")</f>
        <v/>
      </c>
      <c r="L52" s="15" t="str">
        <f>IFERROR(VLOOKUP($C52,[4]REKAP!$B$9:$G$200,6,0),"")</f>
        <v/>
      </c>
      <c r="M52" s="15" t="str">
        <f>IFERROR(VLOOKUP($C52,[5]REKAP!$B$9:$D$200,3,0),"")</f>
        <v/>
      </c>
      <c r="N52" s="15" t="str">
        <f>IFERROR(VLOOKUP($C52,[5]REKAP!$B$9:$E$200,4,0),"")</f>
        <v/>
      </c>
      <c r="O52" s="15" t="str">
        <f>IFERROR(VLOOKUP($C52,[5]REKAP!$B$9:$G$200,6,0),"")</f>
        <v/>
      </c>
      <c r="P52" s="15" t="str">
        <f>IFERROR(VLOOKUP($C52,[6]REKAP!$B$9:$D$200,3,0),"")</f>
        <v/>
      </c>
      <c r="Q52" s="15" t="str">
        <f>IFERROR(VLOOKUP($C52,[6]REKAP!$B$9:$E$200,4,0),"")</f>
        <v/>
      </c>
      <c r="R52" s="15" t="str">
        <f>IFERROR(VLOOKUP($C52,[6]REKAP!$B$9:$G$200,6,0),"")</f>
        <v/>
      </c>
      <c r="S52" s="15" t="str">
        <f>IFERROR(VLOOKUP($C52,[7]REKAP!$B$9:$D$200,3,0),"")</f>
        <v/>
      </c>
      <c r="T52" s="15" t="str">
        <f>IFERROR(VLOOKUP($C52,[7]REKAP!$B$9:$E$200,4,0),"")</f>
        <v/>
      </c>
      <c r="U52" s="15" t="str">
        <f>IFERROR(VLOOKUP($C52,[7]REKAP!$B$9:$G$200,6,0),"")</f>
        <v/>
      </c>
      <c r="V52" s="15">
        <f>IFERROR(VLOOKUP($C52,[8]REKAP!$B$9:$D$200,3,0),"")</f>
        <v>0</v>
      </c>
      <c r="W52" s="15">
        <f>IFERROR(VLOOKUP($C52,[8]REKAP!$B$9:$E$200,4,0),"")</f>
        <v>0</v>
      </c>
      <c r="X52" s="15">
        <f>IFERROR(VLOOKUP($C52,[8]REKAP!$B$9:$G$200,6,0),"")</f>
        <v>0</v>
      </c>
      <c r="Y52" s="15">
        <f>IFERROR(VLOOKUP($C52,[9]REKAP!$B$9:$D$200,3,0),"")</f>
        <v>1</v>
      </c>
      <c r="Z52" s="15">
        <f>IFERROR(VLOOKUP($C52,[9]REKAP!$B$9:$E$200,4,0),"")</f>
        <v>19000</v>
      </c>
      <c r="AA52" s="15">
        <f>IFERROR(VLOOKUP($C52,[9]REKAP!$B$9:$G$200,6,0),"")</f>
        <v>1000</v>
      </c>
      <c r="AB52" s="15">
        <f>IFERROR(VLOOKUP($C52,[10]REKAP!$B$9:$D$200,3,0),"")</f>
        <v>0</v>
      </c>
      <c r="AC52" s="15">
        <f>IFERROR(VLOOKUP($C52,[10]REKAP!$B$9:$E$200,4,0),"")</f>
        <v>0</v>
      </c>
      <c r="AD52" s="15">
        <f>IFERROR(VLOOKUP($C52,[10]REKAP!$B$9:$G$200,6,0),"")</f>
        <v>0</v>
      </c>
      <c r="AE52" s="15">
        <f>IFERROR(VLOOKUP($C52,[11]REKAP!$B$9:$D$199,3,0),"")</f>
        <v>0</v>
      </c>
      <c r="AF52" s="15">
        <f>IFERROR(VLOOKUP($C52,[11]REKAP!$B$9:$E$199,4,0),"")</f>
        <v>0</v>
      </c>
      <c r="AG52" s="15">
        <f>IFERROR(VLOOKUP($C52,[11]REKAP!$B$9:$G$199,6,0),"")</f>
        <v>0</v>
      </c>
      <c r="AH52" s="15">
        <f>IFERROR(VLOOKUP($C52,[12]REKAP!$B$9:$D$200,3,0),"")</f>
        <v>0</v>
      </c>
      <c r="AI52" s="15">
        <f>IFERROR(VLOOKUP($C52,[12]REKAP!$B$9:$E$200,4,0),"")</f>
        <v>0</v>
      </c>
      <c r="AJ52" s="15">
        <f>IFERROR(VLOOKUP($C52,[12]REKAP!$B$9:$G$200,6,0),"")</f>
        <v>0</v>
      </c>
      <c r="AK52" s="15" t="str">
        <f>IFERROR(VLOOKUP($C52,[13]REKAP!$B$9:$D$200,3,0),"")</f>
        <v/>
      </c>
      <c r="AL52" s="15" t="str">
        <f>IFERROR(VLOOKUP($C52,[13]REKAP!$B$9:$E$200,4,0),"")</f>
        <v/>
      </c>
      <c r="AM52" s="15" t="str">
        <f>IFERROR(VLOOKUP($C52,[13]REKAP!$B$9:$G$200,6,0),"")</f>
        <v/>
      </c>
      <c r="AN52" s="15" t="str">
        <f>IFERROR(VLOOKUP($C52,[14]REKAP!$B$9:$D$200,3,0),"")</f>
        <v/>
      </c>
      <c r="AO52" s="15" t="str">
        <f>IFERROR(VLOOKUP($C52,[14]REKAP!$B$9:$E$200,4,0),"")</f>
        <v/>
      </c>
      <c r="AP52" s="15" t="str">
        <f>IFERROR(VLOOKUP($C52,[14]REKAP!$B$9:$G$200,6,0),"")</f>
        <v/>
      </c>
      <c r="AQ52" s="15" t="str">
        <f>IFERROR(VLOOKUP($C52,[15]REKAP!$B$9:$D$200,3,0),"")</f>
        <v/>
      </c>
      <c r="AR52" s="15" t="str">
        <f>IFERROR(VLOOKUP($C52,[15]REKAP!$B$9:$E$200,4,0),"")</f>
        <v/>
      </c>
      <c r="AS52" s="15" t="str">
        <f>IFERROR(VLOOKUP($C52,[15]REKAP!$B$9:$G$200,6,0),"")</f>
        <v/>
      </c>
      <c r="AT52" s="15" t="str">
        <f>IFERROR(VLOOKUP($C52,[16]REKAP!$B$9:$D$200,3,0),"")</f>
        <v/>
      </c>
      <c r="AU52" s="15" t="str">
        <f>IFERROR(VLOOKUP($C52,[16]REKAP!$B$9:$E$200,4,0),"")</f>
        <v/>
      </c>
      <c r="AV52" s="15" t="str">
        <f>IFERROR(VLOOKUP($C52,[16]REKAP!$B$9:$G$200,6,0),"")</f>
        <v/>
      </c>
      <c r="AW52" s="15" t="str">
        <f>IFERROR(VLOOKUP($C52,[17]REKAP!$B$9:$D$200,3,0),"")</f>
        <v/>
      </c>
      <c r="AX52" s="15" t="str">
        <f>IFERROR(VLOOKUP($C52,[17]REKAP!$B$9:$E$200,4,0),"")</f>
        <v/>
      </c>
      <c r="AY52" s="15" t="str">
        <f>IFERROR(VLOOKUP($C52,[17]REKAP!$B$9:$G$200,6,0),"")</f>
        <v/>
      </c>
      <c r="AZ52" s="15" t="str">
        <f>IFERROR(VLOOKUP($C52,[18]REKAP!$B$9:$D$200,3,0),"")</f>
        <v/>
      </c>
      <c r="BA52" s="15" t="str">
        <f>IFERROR(VLOOKUP($C52,[18]REKAP!$B$9:$E$200,4,0),"")</f>
        <v/>
      </c>
      <c r="BB52" s="15" t="str">
        <f>IFERROR(VLOOKUP($C52,[18]REKAP!$B$9:$G$200,6,0),"")</f>
        <v/>
      </c>
      <c r="BC52" s="15" t="str">
        <f>IFERROR(VLOOKUP($C52,[19]REKAP!$B$9:$D$200,3,0),"")</f>
        <v/>
      </c>
      <c r="BD52" s="15" t="str">
        <f>IFERROR(VLOOKUP($C52,[19]REKAP!$B$9:$E$200,4,0),"")</f>
        <v/>
      </c>
      <c r="BE52" s="15" t="str">
        <f>IFERROR(VLOOKUP($C52,[19]REKAP!$B$9:$G$200,6,0),"")</f>
        <v/>
      </c>
      <c r="BF52" s="15" t="str">
        <f>IFERROR(VLOOKUP($C52,[20]REKAP!$B$9:$D$200,3,0),"")</f>
        <v/>
      </c>
      <c r="BG52" s="15" t="str">
        <f>IFERROR(VLOOKUP($C52,[20]REKAP!$B$9:$E$200,4,0),"")</f>
        <v/>
      </c>
      <c r="BH52" s="15" t="str">
        <f>IFERROR(VLOOKUP($C52,[20]REKAP!$B$9:$G$200,6,0),"")</f>
        <v/>
      </c>
      <c r="BI52" s="15" t="str">
        <f>IFERROR(VLOOKUP($C52,[21]REKAP!$B$9:$D$200,3,0),"")</f>
        <v/>
      </c>
      <c r="BJ52" s="15" t="str">
        <f>IFERROR(VLOOKUP($C52,[21]REKAP!$B$9:$E$200,4,0),"")</f>
        <v/>
      </c>
      <c r="BK52" s="15" t="str">
        <f>IFERROR(VLOOKUP($C52,[21]REKAP!$B$9:$G$200,6,0),"")</f>
        <v/>
      </c>
      <c r="BL52" s="15" t="str">
        <f>IFERROR(VLOOKUP($C52,[22]REKAP!$B$9:$D$200,3,0),"")</f>
        <v/>
      </c>
      <c r="BM52" s="15" t="str">
        <f>IFERROR(VLOOKUP($C52,[22]REKAP!$B$9:$E$200,4,0),"")</f>
        <v/>
      </c>
      <c r="BN52" s="15" t="str">
        <f>IFERROR(VLOOKUP($C52,[22]REKAP!$B$9:$G$200,6,0),"")</f>
        <v/>
      </c>
      <c r="BO52" s="15" t="str">
        <f>IFERROR(VLOOKUP($C52,[23]REKAP!$B$9:$D$200,3,0),"")</f>
        <v/>
      </c>
      <c r="BP52" s="15" t="str">
        <f>IFERROR(VLOOKUP($C52,[23]REKAP!$B$9:$E$200,4,0),"")</f>
        <v/>
      </c>
      <c r="BQ52" s="15" t="str">
        <f>IFERROR(VLOOKUP($C52,[23]REKAP!$B$9:$G$200,6,0),"")</f>
        <v/>
      </c>
      <c r="BR52" s="15" t="str">
        <f>IFERROR(VLOOKUP($C52,[24]REKAP!$B$9:$D$200,3,0),"")</f>
        <v/>
      </c>
      <c r="BS52" s="15" t="str">
        <f>IFERROR(VLOOKUP($C52,[24]REKAP!$B$9:$E$200,4,0),"")</f>
        <v/>
      </c>
      <c r="BT52" s="15" t="str">
        <f>IFERROR(VLOOKUP($C52,[24]REKAP!$B$9:$G$200,6,0),"")</f>
        <v/>
      </c>
      <c r="BU52" s="15" t="str">
        <f>IFERROR(VLOOKUP($C52,[25]REKAP!$B$9:$D$200,3,0),"")</f>
        <v/>
      </c>
      <c r="BV52" s="15" t="str">
        <f>IFERROR(VLOOKUP($C52,[25]REKAP!$B$9:$E$200,4,0),"")</f>
        <v/>
      </c>
      <c r="BW52" s="15" t="str">
        <f>IFERROR(VLOOKUP($C52,[25]REKAP!$B$9:$G$200,6,0),"")</f>
        <v/>
      </c>
      <c r="BX52" s="15" t="str">
        <f>IFERROR(VLOOKUP($C52,[26]REKAP!$B$9:$D$200,3,0),"")</f>
        <v/>
      </c>
      <c r="BY52" s="15" t="str">
        <f>IFERROR(VLOOKUP($C52,[26]REKAP!$B$9:$E$200,4,0),"")</f>
        <v/>
      </c>
      <c r="BZ52" s="15" t="str">
        <f>IFERROR(VLOOKUP($C52,[26]REKAP!$B$9:$G$200,6,0),"")</f>
        <v/>
      </c>
      <c r="CA52" s="15" t="str">
        <f>IFERROR(VLOOKUP($C52,[27]REKAP!$B$9:$D$200,3,0),"")</f>
        <v/>
      </c>
      <c r="CB52" s="15" t="str">
        <f>IFERROR(VLOOKUP($C52,[27]REKAP!$B$9:$E$200,4,0),"")</f>
        <v/>
      </c>
      <c r="CC52" s="15" t="str">
        <f>IFERROR(VLOOKUP($C52,[27]REKAP!$B$9:$G$200,6,0),"")</f>
        <v/>
      </c>
      <c r="CD52" s="15" t="str">
        <f>IFERROR(VLOOKUP($C52,[28]REKAP!$B$9:$D$200,3,0),"")</f>
        <v/>
      </c>
      <c r="CE52" s="15" t="str">
        <f>IFERROR(VLOOKUP($C52,[28]REKAP!$B$9:$E$200,4,0),"")</f>
        <v/>
      </c>
      <c r="CF52" s="15" t="str">
        <f>IFERROR(VLOOKUP($C52,[28]REKAP!$B$9:$G$200,6,0),"")</f>
        <v/>
      </c>
      <c r="CG52" s="15" t="str">
        <f>IFERROR(VLOOKUP($C52,[29]REKAP!$B$9:$D$200,3,0),"")</f>
        <v/>
      </c>
      <c r="CH52" s="15" t="str">
        <f>IFERROR(VLOOKUP($C52,[29]REKAP!$B$9:$E$200,4,0),"")</f>
        <v/>
      </c>
      <c r="CI52" s="15" t="str">
        <f>IFERROR(VLOOKUP($C52,[29]REKAP!$B$9:$G$200,6,0),"")</f>
        <v/>
      </c>
      <c r="CJ52" s="15" t="str">
        <f>IFERROR(VLOOKUP($C52,[30]REKAP!$B$9:$D$200,3,0),"")</f>
        <v/>
      </c>
      <c r="CK52" s="15" t="str">
        <f>IFERROR(VLOOKUP($C52,[30]REKAP!$B$9:$E$200,4,0),"")</f>
        <v/>
      </c>
      <c r="CL52" s="15" t="str">
        <f>IFERROR(VLOOKUP($C52,[30]REKAP!$B$9:$G$200,6,0),"")</f>
        <v/>
      </c>
      <c r="CM52" s="15" t="str">
        <f>IFERROR(VLOOKUP($C52,[31]REKAP!$B$9:$D$200,3,0),"")</f>
        <v/>
      </c>
      <c r="CN52" s="15" t="str">
        <f>IFERROR(VLOOKUP($C52,[31]REKAP!$B$9:$E$200,4,0),"")</f>
        <v/>
      </c>
      <c r="CO52" s="15" t="str">
        <f>IFERROR(VLOOKUP($C52,[31]REKAP!$B$9:$G$200,6,0),"")</f>
        <v/>
      </c>
      <c r="CP52" s="15" t="str">
        <f>IFERROR(VLOOKUP($C52,[32]REKAP!$B$9:$D$200,3,0),"")</f>
        <v/>
      </c>
      <c r="CQ52" s="15" t="str">
        <f>IFERROR(VLOOKUP($C52,[32]REKAP!$B$9:$E$200,4,0),"")</f>
        <v/>
      </c>
      <c r="CR52" s="15" t="str">
        <f>IFERROR(VLOOKUP($C52,[32]REKAP!$B$9:$G$200,6,0),"")</f>
        <v/>
      </c>
      <c r="CS52" s="15" t="str">
        <f>IFERROR(VLOOKUP($C52,[33]REKAP!$B$9:$D$200,3,0),"")</f>
        <v/>
      </c>
      <c r="CT52" s="15" t="str">
        <f>IFERROR(VLOOKUP($C52,[33]REKAP!$B$9:$E$200,4,0),"")</f>
        <v/>
      </c>
      <c r="CU52" s="15" t="str">
        <f>IFERROR(VLOOKUP($C52,[33]REKAP!$B$9:$G$200,6,0),"")</f>
        <v/>
      </c>
      <c r="CV52" s="15" t="str">
        <f>IFERROR(VLOOKUP($C52,[34]REKAP!$B$9:$D$200,3,0),"")</f>
        <v/>
      </c>
      <c r="CW52" s="15" t="str">
        <f>IFERROR(VLOOKUP($C52,[34]REKAP!$B$9:$E$200,4,0),"")</f>
        <v/>
      </c>
      <c r="CX52" s="15" t="str">
        <f>IFERROR(VLOOKUP($C52,[34]REKAP!$B$9:$G$200,6,0),"")</f>
        <v/>
      </c>
    </row>
    <row r="53" spans="3:102" x14ac:dyDescent="0.25">
      <c r="C53" s="7" t="s">
        <v>123</v>
      </c>
      <c r="D53" s="5" t="str">
        <f>IFERROR(VLOOKUP(C53,DBASE!$C$7:$D$207,2,0),"")</f>
        <v>LPK JELLY BOX DUS</v>
      </c>
      <c r="E53" s="15">
        <f t="shared" si="2"/>
        <v>1</v>
      </c>
      <c r="F53" s="15">
        <f t="shared" si="2"/>
        <v>22000</v>
      </c>
      <c r="H53" s="15">
        <f t="shared" si="2"/>
        <v>1250</v>
      </c>
      <c r="J53" s="15" t="str">
        <f>IFERROR(VLOOKUP($C53,[4]REKAP!$B$9:$D$200,3,0),"")</f>
        <v/>
      </c>
      <c r="K53" s="15" t="str">
        <f>IFERROR(VLOOKUP($C53,[4]REKAP!$B$9:$E$200,4,0),"")</f>
        <v/>
      </c>
      <c r="L53" s="15" t="str">
        <f>IFERROR(VLOOKUP($C53,[4]REKAP!$B$9:$G$200,6,0),"")</f>
        <v/>
      </c>
      <c r="M53" s="15" t="str">
        <f>IFERROR(VLOOKUP($C53,[5]REKAP!$B$9:$D$200,3,0),"")</f>
        <v/>
      </c>
      <c r="N53" s="15" t="str">
        <f>IFERROR(VLOOKUP($C53,[5]REKAP!$B$9:$E$200,4,0),"")</f>
        <v/>
      </c>
      <c r="O53" s="15" t="str">
        <f>IFERROR(VLOOKUP($C53,[5]REKAP!$B$9:$G$200,6,0),"")</f>
        <v/>
      </c>
      <c r="P53" s="15" t="str">
        <f>IFERROR(VLOOKUP($C53,[6]REKAP!$B$9:$D$200,3,0),"")</f>
        <v/>
      </c>
      <c r="Q53" s="15" t="str">
        <f>IFERROR(VLOOKUP($C53,[6]REKAP!$B$9:$E$200,4,0),"")</f>
        <v/>
      </c>
      <c r="R53" s="15" t="str">
        <f>IFERROR(VLOOKUP($C53,[6]REKAP!$B$9:$G$200,6,0),"")</f>
        <v/>
      </c>
      <c r="S53" s="15" t="str">
        <f>IFERROR(VLOOKUP($C53,[7]REKAP!$B$9:$D$200,3,0),"")</f>
        <v/>
      </c>
      <c r="T53" s="15" t="str">
        <f>IFERROR(VLOOKUP($C53,[7]REKAP!$B$9:$E$200,4,0),"")</f>
        <v/>
      </c>
      <c r="U53" s="15" t="str">
        <f>IFERROR(VLOOKUP($C53,[7]REKAP!$B$9:$G$200,6,0),"")</f>
        <v/>
      </c>
      <c r="V53" s="15">
        <f>IFERROR(VLOOKUP($C53,[8]REKAP!$B$9:$D$200,3,0),"")</f>
        <v>0</v>
      </c>
      <c r="W53" s="15">
        <f>IFERROR(VLOOKUP($C53,[8]REKAP!$B$9:$E$200,4,0),"")</f>
        <v>0</v>
      </c>
      <c r="X53" s="15">
        <f>IFERROR(VLOOKUP($C53,[8]REKAP!$B$9:$G$200,6,0),"")</f>
        <v>0</v>
      </c>
      <c r="Y53" s="15">
        <f>IFERROR(VLOOKUP($C53,[9]REKAP!$B$9:$D$200,3,0),"")</f>
        <v>1</v>
      </c>
      <c r="Z53" s="15">
        <f>IFERROR(VLOOKUP($C53,[9]REKAP!$B$9:$E$200,4,0),"")</f>
        <v>22000</v>
      </c>
      <c r="AA53" s="15">
        <f>IFERROR(VLOOKUP($C53,[9]REKAP!$B$9:$G$200,6,0),"")</f>
        <v>1250</v>
      </c>
      <c r="AB53" s="15">
        <f>IFERROR(VLOOKUP($C53,[10]REKAP!$B$9:$D$200,3,0),"")</f>
        <v>0</v>
      </c>
      <c r="AC53" s="15">
        <f>IFERROR(VLOOKUP($C53,[10]REKAP!$B$9:$E$200,4,0),"")</f>
        <v>0</v>
      </c>
      <c r="AD53" s="15">
        <f>IFERROR(VLOOKUP($C53,[10]REKAP!$B$9:$G$200,6,0),"")</f>
        <v>0</v>
      </c>
      <c r="AE53" s="15">
        <f>IFERROR(VLOOKUP($C53,[11]REKAP!$B$9:$D$199,3,0),"")</f>
        <v>0</v>
      </c>
      <c r="AF53" s="15">
        <f>IFERROR(VLOOKUP($C53,[11]REKAP!$B$9:$E$199,4,0),"")</f>
        <v>0</v>
      </c>
      <c r="AG53" s="15">
        <f>IFERROR(VLOOKUP($C53,[11]REKAP!$B$9:$G$199,6,0),"")</f>
        <v>0</v>
      </c>
      <c r="AH53" s="15">
        <f>IFERROR(VLOOKUP($C53,[12]REKAP!$B$9:$D$200,3,0),"")</f>
        <v>0</v>
      </c>
      <c r="AI53" s="15">
        <f>IFERROR(VLOOKUP($C53,[12]REKAP!$B$9:$E$200,4,0),"")</f>
        <v>0</v>
      </c>
      <c r="AJ53" s="15">
        <f>IFERROR(VLOOKUP($C53,[12]REKAP!$B$9:$G$200,6,0),"")</f>
        <v>0</v>
      </c>
      <c r="AK53" s="15" t="str">
        <f>IFERROR(VLOOKUP($C53,[13]REKAP!$B$9:$D$200,3,0),"")</f>
        <v/>
      </c>
      <c r="AL53" s="15" t="str">
        <f>IFERROR(VLOOKUP($C53,[13]REKAP!$B$9:$E$200,4,0),"")</f>
        <v/>
      </c>
      <c r="AM53" s="15" t="str">
        <f>IFERROR(VLOOKUP($C53,[13]REKAP!$B$9:$G$200,6,0),"")</f>
        <v/>
      </c>
      <c r="AN53" s="15" t="str">
        <f>IFERROR(VLOOKUP($C53,[14]REKAP!$B$9:$D$200,3,0),"")</f>
        <v/>
      </c>
      <c r="AO53" s="15" t="str">
        <f>IFERROR(VLOOKUP($C53,[14]REKAP!$B$9:$E$200,4,0),"")</f>
        <v/>
      </c>
      <c r="AP53" s="15" t="str">
        <f>IFERROR(VLOOKUP($C53,[14]REKAP!$B$9:$G$200,6,0),"")</f>
        <v/>
      </c>
      <c r="AQ53" s="15" t="str">
        <f>IFERROR(VLOOKUP($C53,[15]REKAP!$B$9:$D$200,3,0),"")</f>
        <v/>
      </c>
      <c r="AR53" s="15" t="str">
        <f>IFERROR(VLOOKUP($C53,[15]REKAP!$B$9:$E$200,4,0),"")</f>
        <v/>
      </c>
      <c r="AS53" s="15" t="str">
        <f>IFERROR(VLOOKUP($C53,[15]REKAP!$B$9:$G$200,6,0),"")</f>
        <v/>
      </c>
      <c r="AT53" s="15" t="str">
        <f>IFERROR(VLOOKUP($C53,[16]REKAP!$B$9:$D$200,3,0),"")</f>
        <v/>
      </c>
      <c r="AU53" s="15" t="str">
        <f>IFERROR(VLOOKUP($C53,[16]REKAP!$B$9:$E$200,4,0),"")</f>
        <v/>
      </c>
      <c r="AV53" s="15" t="str">
        <f>IFERROR(VLOOKUP($C53,[16]REKAP!$B$9:$G$200,6,0),"")</f>
        <v/>
      </c>
      <c r="AW53" s="15" t="str">
        <f>IFERROR(VLOOKUP($C53,[17]REKAP!$B$9:$D$200,3,0),"")</f>
        <v/>
      </c>
      <c r="AX53" s="15" t="str">
        <f>IFERROR(VLOOKUP($C53,[17]REKAP!$B$9:$E$200,4,0),"")</f>
        <v/>
      </c>
      <c r="AY53" s="15" t="str">
        <f>IFERROR(VLOOKUP($C53,[17]REKAP!$B$9:$G$200,6,0),"")</f>
        <v/>
      </c>
      <c r="AZ53" s="15" t="str">
        <f>IFERROR(VLOOKUP($C53,[18]REKAP!$B$9:$D$200,3,0),"")</f>
        <v/>
      </c>
      <c r="BA53" s="15" t="str">
        <f>IFERROR(VLOOKUP($C53,[18]REKAP!$B$9:$E$200,4,0),"")</f>
        <v/>
      </c>
      <c r="BB53" s="15" t="str">
        <f>IFERROR(VLOOKUP($C53,[18]REKAP!$B$9:$G$200,6,0),"")</f>
        <v/>
      </c>
      <c r="BC53" s="15" t="str">
        <f>IFERROR(VLOOKUP($C53,[19]REKAP!$B$9:$D$200,3,0),"")</f>
        <v/>
      </c>
      <c r="BD53" s="15" t="str">
        <f>IFERROR(VLOOKUP($C53,[19]REKAP!$B$9:$E$200,4,0),"")</f>
        <v/>
      </c>
      <c r="BE53" s="15" t="str">
        <f>IFERROR(VLOOKUP($C53,[19]REKAP!$B$9:$G$200,6,0),"")</f>
        <v/>
      </c>
      <c r="BF53" s="15" t="str">
        <f>IFERROR(VLOOKUP($C53,[20]REKAP!$B$9:$D$200,3,0),"")</f>
        <v/>
      </c>
      <c r="BG53" s="15" t="str">
        <f>IFERROR(VLOOKUP($C53,[20]REKAP!$B$9:$E$200,4,0),"")</f>
        <v/>
      </c>
      <c r="BH53" s="15" t="str">
        <f>IFERROR(VLOOKUP($C53,[20]REKAP!$B$9:$G$200,6,0),"")</f>
        <v/>
      </c>
      <c r="BI53" s="15" t="str">
        <f>IFERROR(VLOOKUP($C53,[21]REKAP!$B$9:$D$200,3,0),"")</f>
        <v/>
      </c>
      <c r="BJ53" s="15" t="str">
        <f>IFERROR(VLOOKUP($C53,[21]REKAP!$B$9:$E$200,4,0),"")</f>
        <v/>
      </c>
      <c r="BK53" s="15" t="str">
        <f>IFERROR(VLOOKUP($C53,[21]REKAP!$B$9:$G$200,6,0),"")</f>
        <v/>
      </c>
      <c r="BL53" s="15" t="str">
        <f>IFERROR(VLOOKUP($C53,[22]REKAP!$B$9:$D$200,3,0),"")</f>
        <v/>
      </c>
      <c r="BM53" s="15" t="str">
        <f>IFERROR(VLOOKUP($C53,[22]REKAP!$B$9:$E$200,4,0),"")</f>
        <v/>
      </c>
      <c r="BN53" s="15" t="str">
        <f>IFERROR(VLOOKUP($C53,[22]REKAP!$B$9:$G$200,6,0),"")</f>
        <v/>
      </c>
      <c r="BO53" s="15" t="str">
        <f>IFERROR(VLOOKUP($C53,[23]REKAP!$B$9:$D$200,3,0),"")</f>
        <v/>
      </c>
      <c r="BP53" s="15" t="str">
        <f>IFERROR(VLOOKUP($C53,[23]REKAP!$B$9:$E$200,4,0),"")</f>
        <v/>
      </c>
      <c r="BQ53" s="15" t="str">
        <f>IFERROR(VLOOKUP($C53,[23]REKAP!$B$9:$G$200,6,0),"")</f>
        <v/>
      </c>
      <c r="BR53" s="15" t="str">
        <f>IFERROR(VLOOKUP($C53,[24]REKAP!$B$9:$D$200,3,0),"")</f>
        <v/>
      </c>
      <c r="BS53" s="15" t="str">
        <f>IFERROR(VLOOKUP($C53,[24]REKAP!$B$9:$E$200,4,0),"")</f>
        <v/>
      </c>
      <c r="BT53" s="15" t="str">
        <f>IFERROR(VLOOKUP($C53,[24]REKAP!$B$9:$G$200,6,0),"")</f>
        <v/>
      </c>
      <c r="BU53" s="15" t="str">
        <f>IFERROR(VLOOKUP($C53,[25]REKAP!$B$9:$D$200,3,0),"")</f>
        <v/>
      </c>
      <c r="BV53" s="15" t="str">
        <f>IFERROR(VLOOKUP($C53,[25]REKAP!$B$9:$E$200,4,0),"")</f>
        <v/>
      </c>
      <c r="BW53" s="15" t="str">
        <f>IFERROR(VLOOKUP($C53,[25]REKAP!$B$9:$G$200,6,0),"")</f>
        <v/>
      </c>
      <c r="BX53" s="15" t="str">
        <f>IFERROR(VLOOKUP($C53,[26]REKAP!$B$9:$D$200,3,0),"")</f>
        <v/>
      </c>
      <c r="BY53" s="15" t="str">
        <f>IFERROR(VLOOKUP($C53,[26]REKAP!$B$9:$E$200,4,0),"")</f>
        <v/>
      </c>
      <c r="BZ53" s="15" t="str">
        <f>IFERROR(VLOOKUP($C53,[26]REKAP!$B$9:$G$200,6,0),"")</f>
        <v/>
      </c>
      <c r="CA53" s="15" t="str">
        <f>IFERROR(VLOOKUP($C53,[27]REKAP!$B$9:$D$200,3,0),"")</f>
        <v/>
      </c>
      <c r="CB53" s="15" t="str">
        <f>IFERROR(VLOOKUP($C53,[27]REKAP!$B$9:$E$200,4,0),"")</f>
        <v/>
      </c>
      <c r="CC53" s="15" t="str">
        <f>IFERROR(VLOOKUP($C53,[27]REKAP!$B$9:$G$200,6,0),"")</f>
        <v/>
      </c>
      <c r="CD53" s="15" t="str">
        <f>IFERROR(VLOOKUP($C53,[28]REKAP!$B$9:$D$200,3,0),"")</f>
        <v/>
      </c>
      <c r="CE53" s="15" t="str">
        <f>IFERROR(VLOOKUP($C53,[28]REKAP!$B$9:$E$200,4,0),"")</f>
        <v/>
      </c>
      <c r="CF53" s="15" t="str">
        <f>IFERROR(VLOOKUP($C53,[28]REKAP!$B$9:$G$200,6,0),"")</f>
        <v/>
      </c>
      <c r="CG53" s="15" t="str">
        <f>IFERROR(VLOOKUP($C53,[29]REKAP!$B$9:$D$200,3,0),"")</f>
        <v/>
      </c>
      <c r="CH53" s="15" t="str">
        <f>IFERROR(VLOOKUP($C53,[29]REKAP!$B$9:$E$200,4,0),"")</f>
        <v/>
      </c>
      <c r="CI53" s="15" t="str">
        <f>IFERROR(VLOOKUP($C53,[29]REKAP!$B$9:$G$200,6,0),"")</f>
        <v/>
      </c>
      <c r="CJ53" s="15" t="str">
        <f>IFERROR(VLOOKUP($C53,[30]REKAP!$B$9:$D$200,3,0),"")</f>
        <v/>
      </c>
      <c r="CK53" s="15" t="str">
        <f>IFERROR(VLOOKUP($C53,[30]REKAP!$B$9:$E$200,4,0),"")</f>
        <v/>
      </c>
      <c r="CL53" s="15" t="str">
        <f>IFERROR(VLOOKUP($C53,[30]REKAP!$B$9:$G$200,6,0),"")</f>
        <v/>
      </c>
      <c r="CM53" s="15" t="str">
        <f>IFERROR(VLOOKUP($C53,[31]REKAP!$B$9:$D$200,3,0),"")</f>
        <v/>
      </c>
      <c r="CN53" s="15" t="str">
        <f>IFERROR(VLOOKUP($C53,[31]REKAP!$B$9:$E$200,4,0),"")</f>
        <v/>
      </c>
      <c r="CO53" s="15" t="str">
        <f>IFERROR(VLOOKUP($C53,[31]REKAP!$B$9:$G$200,6,0),"")</f>
        <v/>
      </c>
      <c r="CP53" s="15" t="str">
        <f>IFERROR(VLOOKUP($C53,[32]REKAP!$B$9:$D$200,3,0),"")</f>
        <v/>
      </c>
      <c r="CQ53" s="15" t="str">
        <f>IFERROR(VLOOKUP($C53,[32]REKAP!$B$9:$E$200,4,0),"")</f>
        <v/>
      </c>
      <c r="CR53" s="15" t="str">
        <f>IFERROR(VLOOKUP($C53,[32]REKAP!$B$9:$G$200,6,0),"")</f>
        <v/>
      </c>
      <c r="CS53" s="15" t="str">
        <f>IFERROR(VLOOKUP($C53,[33]REKAP!$B$9:$D$200,3,0),"")</f>
        <v/>
      </c>
      <c r="CT53" s="15" t="str">
        <f>IFERROR(VLOOKUP($C53,[33]REKAP!$B$9:$E$200,4,0),"")</f>
        <v/>
      </c>
      <c r="CU53" s="15" t="str">
        <f>IFERROR(VLOOKUP($C53,[33]REKAP!$B$9:$G$200,6,0),"")</f>
        <v/>
      </c>
      <c r="CV53" s="15" t="str">
        <f>IFERROR(VLOOKUP($C53,[34]REKAP!$B$9:$D$200,3,0),"")</f>
        <v/>
      </c>
      <c r="CW53" s="15" t="str">
        <f>IFERROR(VLOOKUP($C53,[34]REKAP!$B$9:$E$200,4,0),"")</f>
        <v/>
      </c>
      <c r="CX53" s="15" t="str">
        <f>IFERROR(VLOOKUP($C53,[34]REKAP!$B$9:$G$200,6,0),"")</f>
        <v/>
      </c>
    </row>
    <row r="54" spans="3:102" x14ac:dyDescent="0.25">
      <c r="C54" s="7" t="s">
        <v>120</v>
      </c>
      <c r="D54" s="5" t="str">
        <f>IFERROR(VLOOKUP(C54,DBASE!$C$7:$D$207,2,0),"")</f>
        <v>NITCHI MEISES</v>
      </c>
      <c r="E54" s="15">
        <f t="shared" si="2"/>
        <v>1</v>
      </c>
      <c r="F54" s="15">
        <f t="shared" si="2"/>
        <v>48000</v>
      </c>
      <c r="H54" s="15">
        <f t="shared" si="2"/>
        <v>1940</v>
      </c>
      <c r="J54" s="15" t="str">
        <f>IFERROR(VLOOKUP($C54,[4]REKAP!$B$9:$D$200,3,0),"")</f>
        <v/>
      </c>
      <c r="K54" s="15" t="str">
        <f>IFERROR(VLOOKUP($C54,[4]REKAP!$B$9:$E$200,4,0),"")</f>
        <v/>
      </c>
      <c r="L54" s="15" t="str">
        <f>IFERROR(VLOOKUP($C54,[4]REKAP!$B$9:$G$200,6,0),"")</f>
        <v/>
      </c>
      <c r="M54" s="15" t="str">
        <f>IFERROR(VLOOKUP($C54,[5]REKAP!$B$9:$D$200,3,0),"")</f>
        <v/>
      </c>
      <c r="N54" s="15" t="str">
        <f>IFERROR(VLOOKUP($C54,[5]REKAP!$B$9:$E$200,4,0),"")</f>
        <v/>
      </c>
      <c r="O54" s="15" t="str">
        <f>IFERROR(VLOOKUP($C54,[5]REKAP!$B$9:$G$200,6,0),"")</f>
        <v/>
      </c>
      <c r="P54" s="15" t="str">
        <f>IFERROR(VLOOKUP($C54,[6]REKAP!$B$9:$D$200,3,0),"")</f>
        <v/>
      </c>
      <c r="Q54" s="15" t="str">
        <f>IFERROR(VLOOKUP($C54,[6]REKAP!$B$9:$E$200,4,0),"")</f>
        <v/>
      </c>
      <c r="R54" s="15" t="str">
        <f>IFERROR(VLOOKUP($C54,[6]REKAP!$B$9:$G$200,6,0),"")</f>
        <v/>
      </c>
      <c r="S54" s="15" t="str">
        <f>IFERROR(VLOOKUP($C54,[7]REKAP!$B$9:$D$200,3,0),"")</f>
        <v/>
      </c>
      <c r="T54" s="15" t="str">
        <f>IFERROR(VLOOKUP($C54,[7]REKAP!$B$9:$E$200,4,0),"")</f>
        <v/>
      </c>
      <c r="U54" s="15" t="str">
        <f>IFERROR(VLOOKUP($C54,[7]REKAP!$B$9:$G$200,6,0),"")</f>
        <v/>
      </c>
      <c r="V54" s="15">
        <f>IFERROR(VLOOKUP($C54,[8]REKAP!$B$9:$D$200,3,0),"")</f>
        <v>0</v>
      </c>
      <c r="W54" s="15">
        <f>IFERROR(VLOOKUP($C54,[8]REKAP!$B$9:$E$200,4,0),"")</f>
        <v>0</v>
      </c>
      <c r="X54" s="15">
        <f>IFERROR(VLOOKUP($C54,[8]REKAP!$B$9:$G$200,6,0),"")</f>
        <v>0</v>
      </c>
      <c r="Y54" s="15">
        <f>IFERROR(VLOOKUP($C54,[9]REKAP!$B$9:$D$200,3,0),"")</f>
        <v>1</v>
      </c>
      <c r="Z54" s="15">
        <f>IFERROR(VLOOKUP($C54,[9]REKAP!$B$9:$E$200,4,0),"")</f>
        <v>48000</v>
      </c>
      <c r="AA54" s="15">
        <f>IFERROR(VLOOKUP($C54,[9]REKAP!$B$9:$G$200,6,0),"")</f>
        <v>1940</v>
      </c>
      <c r="AB54" s="15">
        <f>IFERROR(VLOOKUP($C54,[10]REKAP!$B$9:$D$200,3,0),"")</f>
        <v>0</v>
      </c>
      <c r="AC54" s="15">
        <f>IFERROR(VLOOKUP($C54,[10]REKAP!$B$9:$E$200,4,0),"")</f>
        <v>0</v>
      </c>
      <c r="AD54" s="15">
        <f>IFERROR(VLOOKUP($C54,[10]REKAP!$B$9:$G$200,6,0),"")</f>
        <v>0</v>
      </c>
      <c r="AE54" s="15">
        <f>IFERROR(VLOOKUP($C54,[11]REKAP!$B$9:$D$199,3,0),"")</f>
        <v>0</v>
      </c>
      <c r="AF54" s="15">
        <f>IFERROR(VLOOKUP($C54,[11]REKAP!$B$9:$E$199,4,0),"")</f>
        <v>0</v>
      </c>
      <c r="AG54" s="15">
        <f>IFERROR(VLOOKUP($C54,[11]REKAP!$B$9:$G$199,6,0),"")</f>
        <v>0</v>
      </c>
      <c r="AH54" s="15">
        <f>IFERROR(VLOOKUP($C54,[12]REKAP!$B$9:$D$200,3,0),"")</f>
        <v>0</v>
      </c>
      <c r="AI54" s="15">
        <f>IFERROR(VLOOKUP($C54,[12]REKAP!$B$9:$E$200,4,0),"")</f>
        <v>0</v>
      </c>
      <c r="AJ54" s="15">
        <f>IFERROR(VLOOKUP($C54,[12]REKAP!$B$9:$G$200,6,0),"")</f>
        <v>0</v>
      </c>
      <c r="AK54" s="15" t="str">
        <f>IFERROR(VLOOKUP($C54,[13]REKAP!$B$9:$D$200,3,0),"")</f>
        <v/>
      </c>
      <c r="AL54" s="15" t="str">
        <f>IFERROR(VLOOKUP($C54,[13]REKAP!$B$9:$E$200,4,0),"")</f>
        <v/>
      </c>
      <c r="AM54" s="15" t="str">
        <f>IFERROR(VLOOKUP($C54,[13]REKAP!$B$9:$G$200,6,0),"")</f>
        <v/>
      </c>
      <c r="AN54" s="15" t="str">
        <f>IFERROR(VLOOKUP($C54,[14]REKAP!$B$9:$D$200,3,0),"")</f>
        <v/>
      </c>
      <c r="AO54" s="15" t="str">
        <f>IFERROR(VLOOKUP($C54,[14]REKAP!$B$9:$E$200,4,0),"")</f>
        <v/>
      </c>
      <c r="AP54" s="15" t="str">
        <f>IFERROR(VLOOKUP($C54,[14]REKAP!$B$9:$G$200,6,0),"")</f>
        <v/>
      </c>
      <c r="AQ54" s="15" t="str">
        <f>IFERROR(VLOOKUP($C54,[15]REKAP!$B$9:$D$200,3,0),"")</f>
        <v/>
      </c>
      <c r="AR54" s="15" t="str">
        <f>IFERROR(VLOOKUP($C54,[15]REKAP!$B$9:$E$200,4,0),"")</f>
        <v/>
      </c>
      <c r="AS54" s="15" t="str">
        <f>IFERROR(VLOOKUP($C54,[15]REKAP!$B$9:$G$200,6,0),"")</f>
        <v/>
      </c>
      <c r="AT54" s="15" t="str">
        <f>IFERROR(VLOOKUP($C54,[16]REKAP!$B$9:$D$200,3,0),"")</f>
        <v/>
      </c>
      <c r="AU54" s="15" t="str">
        <f>IFERROR(VLOOKUP($C54,[16]REKAP!$B$9:$E$200,4,0),"")</f>
        <v/>
      </c>
      <c r="AV54" s="15" t="str">
        <f>IFERROR(VLOOKUP($C54,[16]REKAP!$B$9:$G$200,6,0),"")</f>
        <v/>
      </c>
      <c r="AW54" s="15" t="str">
        <f>IFERROR(VLOOKUP($C54,[17]REKAP!$B$9:$D$200,3,0),"")</f>
        <v/>
      </c>
      <c r="AX54" s="15" t="str">
        <f>IFERROR(VLOOKUP($C54,[17]REKAP!$B$9:$E$200,4,0),"")</f>
        <v/>
      </c>
      <c r="AY54" s="15" t="str">
        <f>IFERROR(VLOOKUP($C54,[17]REKAP!$B$9:$G$200,6,0),"")</f>
        <v/>
      </c>
      <c r="AZ54" s="15" t="str">
        <f>IFERROR(VLOOKUP($C54,[18]REKAP!$B$9:$D$200,3,0),"")</f>
        <v/>
      </c>
      <c r="BA54" s="15" t="str">
        <f>IFERROR(VLOOKUP($C54,[18]REKAP!$B$9:$E$200,4,0),"")</f>
        <v/>
      </c>
      <c r="BB54" s="15" t="str">
        <f>IFERROR(VLOOKUP($C54,[18]REKAP!$B$9:$G$200,6,0),"")</f>
        <v/>
      </c>
      <c r="BC54" s="15" t="str">
        <f>IFERROR(VLOOKUP($C54,[19]REKAP!$B$9:$D$200,3,0),"")</f>
        <v/>
      </c>
      <c r="BD54" s="15" t="str">
        <f>IFERROR(VLOOKUP($C54,[19]REKAP!$B$9:$E$200,4,0),"")</f>
        <v/>
      </c>
      <c r="BE54" s="15" t="str">
        <f>IFERROR(VLOOKUP($C54,[19]REKAP!$B$9:$G$200,6,0),"")</f>
        <v/>
      </c>
      <c r="BF54" s="15" t="str">
        <f>IFERROR(VLOOKUP($C54,[20]REKAP!$B$9:$D$200,3,0),"")</f>
        <v/>
      </c>
      <c r="BG54" s="15" t="str">
        <f>IFERROR(VLOOKUP($C54,[20]REKAP!$B$9:$E$200,4,0),"")</f>
        <v/>
      </c>
      <c r="BH54" s="15" t="str">
        <f>IFERROR(VLOOKUP($C54,[20]REKAP!$B$9:$G$200,6,0),"")</f>
        <v/>
      </c>
      <c r="BI54" s="15" t="str">
        <f>IFERROR(VLOOKUP($C54,[21]REKAP!$B$9:$D$200,3,0),"")</f>
        <v/>
      </c>
      <c r="BJ54" s="15" t="str">
        <f>IFERROR(VLOOKUP($C54,[21]REKAP!$B$9:$E$200,4,0),"")</f>
        <v/>
      </c>
      <c r="BK54" s="15" t="str">
        <f>IFERROR(VLOOKUP($C54,[21]REKAP!$B$9:$G$200,6,0),"")</f>
        <v/>
      </c>
      <c r="BL54" s="15" t="str">
        <f>IFERROR(VLOOKUP($C54,[22]REKAP!$B$9:$D$200,3,0),"")</f>
        <v/>
      </c>
      <c r="BM54" s="15" t="str">
        <f>IFERROR(VLOOKUP($C54,[22]REKAP!$B$9:$E$200,4,0),"")</f>
        <v/>
      </c>
      <c r="BN54" s="15" t="str">
        <f>IFERROR(VLOOKUP($C54,[22]REKAP!$B$9:$G$200,6,0),"")</f>
        <v/>
      </c>
      <c r="BO54" s="15" t="str">
        <f>IFERROR(VLOOKUP($C54,[23]REKAP!$B$9:$D$200,3,0),"")</f>
        <v/>
      </c>
      <c r="BP54" s="15" t="str">
        <f>IFERROR(VLOOKUP($C54,[23]REKAP!$B$9:$E$200,4,0),"")</f>
        <v/>
      </c>
      <c r="BQ54" s="15" t="str">
        <f>IFERROR(VLOOKUP($C54,[23]REKAP!$B$9:$G$200,6,0),"")</f>
        <v/>
      </c>
      <c r="BR54" s="15" t="str">
        <f>IFERROR(VLOOKUP($C54,[24]REKAP!$B$9:$D$200,3,0),"")</f>
        <v/>
      </c>
      <c r="BS54" s="15" t="str">
        <f>IFERROR(VLOOKUP($C54,[24]REKAP!$B$9:$E$200,4,0),"")</f>
        <v/>
      </c>
      <c r="BT54" s="15" t="str">
        <f>IFERROR(VLOOKUP($C54,[24]REKAP!$B$9:$G$200,6,0),"")</f>
        <v/>
      </c>
      <c r="BU54" s="15" t="str">
        <f>IFERROR(VLOOKUP($C54,[25]REKAP!$B$9:$D$200,3,0),"")</f>
        <v/>
      </c>
      <c r="BV54" s="15" t="str">
        <f>IFERROR(VLOOKUP($C54,[25]REKAP!$B$9:$E$200,4,0),"")</f>
        <v/>
      </c>
      <c r="BW54" s="15" t="str">
        <f>IFERROR(VLOOKUP($C54,[25]REKAP!$B$9:$G$200,6,0),"")</f>
        <v/>
      </c>
      <c r="BX54" s="15" t="str">
        <f>IFERROR(VLOOKUP($C54,[26]REKAP!$B$9:$D$200,3,0),"")</f>
        <v/>
      </c>
      <c r="BY54" s="15" t="str">
        <f>IFERROR(VLOOKUP($C54,[26]REKAP!$B$9:$E$200,4,0),"")</f>
        <v/>
      </c>
      <c r="BZ54" s="15" t="str">
        <f>IFERROR(VLOOKUP($C54,[26]REKAP!$B$9:$G$200,6,0),"")</f>
        <v/>
      </c>
      <c r="CA54" s="15" t="str">
        <f>IFERROR(VLOOKUP($C54,[27]REKAP!$B$9:$D$200,3,0),"")</f>
        <v/>
      </c>
      <c r="CB54" s="15" t="str">
        <f>IFERROR(VLOOKUP($C54,[27]REKAP!$B$9:$E$200,4,0),"")</f>
        <v/>
      </c>
      <c r="CC54" s="15" t="str">
        <f>IFERROR(VLOOKUP($C54,[27]REKAP!$B$9:$G$200,6,0),"")</f>
        <v/>
      </c>
      <c r="CD54" s="15" t="str">
        <f>IFERROR(VLOOKUP($C54,[28]REKAP!$B$9:$D$200,3,0),"")</f>
        <v/>
      </c>
      <c r="CE54" s="15" t="str">
        <f>IFERROR(VLOOKUP($C54,[28]REKAP!$B$9:$E$200,4,0),"")</f>
        <v/>
      </c>
      <c r="CF54" s="15" t="str">
        <f>IFERROR(VLOOKUP($C54,[28]REKAP!$B$9:$G$200,6,0),"")</f>
        <v/>
      </c>
      <c r="CG54" s="15" t="str">
        <f>IFERROR(VLOOKUP($C54,[29]REKAP!$B$9:$D$200,3,0),"")</f>
        <v/>
      </c>
      <c r="CH54" s="15" t="str">
        <f>IFERROR(VLOOKUP($C54,[29]REKAP!$B$9:$E$200,4,0),"")</f>
        <v/>
      </c>
      <c r="CI54" s="15" t="str">
        <f>IFERROR(VLOOKUP($C54,[29]REKAP!$B$9:$G$200,6,0),"")</f>
        <v/>
      </c>
      <c r="CJ54" s="15" t="str">
        <f>IFERROR(VLOOKUP($C54,[30]REKAP!$B$9:$D$200,3,0),"")</f>
        <v/>
      </c>
      <c r="CK54" s="15" t="str">
        <f>IFERROR(VLOOKUP($C54,[30]REKAP!$B$9:$E$200,4,0),"")</f>
        <v/>
      </c>
      <c r="CL54" s="15" t="str">
        <f>IFERROR(VLOOKUP($C54,[30]REKAP!$B$9:$G$200,6,0),"")</f>
        <v/>
      </c>
      <c r="CM54" s="15" t="str">
        <f>IFERROR(VLOOKUP($C54,[31]REKAP!$B$9:$D$200,3,0),"")</f>
        <v/>
      </c>
      <c r="CN54" s="15" t="str">
        <f>IFERROR(VLOOKUP($C54,[31]REKAP!$B$9:$E$200,4,0),"")</f>
        <v/>
      </c>
      <c r="CO54" s="15" t="str">
        <f>IFERROR(VLOOKUP($C54,[31]REKAP!$B$9:$G$200,6,0),"")</f>
        <v/>
      </c>
      <c r="CP54" s="15" t="str">
        <f>IFERROR(VLOOKUP($C54,[32]REKAP!$B$9:$D$200,3,0),"")</f>
        <v/>
      </c>
      <c r="CQ54" s="15" t="str">
        <f>IFERROR(VLOOKUP($C54,[32]REKAP!$B$9:$E$200,4,0),"")</f>
        <v/>
      </c>
      <c r="CR54" s="15" t="str">
        <f>IFERROR(VLOOKUP($C54,[32]REKAP!$B$9:$G$200,6,0),"")</f>
        <v/>
      </c>
      <c r="CS54" s="15" t="str">
        <f>IFERROR(VLOOKUP($C54,[33]REKAP!$B$9:$D$200,3,0),"")</f>
        <v/>
      </c>
      <c r="CT54" s="15" t="str">
        <f>IFERROR(VLOOKUP($C54,[33]REKAP!$B$9:$E$200,4,0),"")</f>
        <v/>
      </c>
      <c r="CU54" s="15" t="str">
        <f>IFERROR(VLOOKUP($C54,[33]REKAP!$B$9:$G$200,6,0),"")</f>
        <v/>
      </c>
      <c r="CV54" s="15" t="str">
        <f>IFERROR(VLOOKUP($C54,[34]REKAP!$B$9:$D$200,3,0),"")</f>
        <v/>
      </c>
      <c r="CW54" s="15" t="str">
        <f>IFERROR(VLOOKUP($C54,[34]REKAP!$B$9:$E$200,4,0),"")</f>
        <v/>
      </c>
      <c r="CX54" s="15" t="str">
        <f>IFERROR(VLOOKUP($C54,[34]REKAP!$B$9:$G$200,6,0),"")</f>
        <v/>
      </c>
    </row>
    <row r="55" spans="3:102" x14ac:dyDescent="0.25">
      <c r="C55" s="7" t="s">
        <v>121</v>
      </c>
      <c r="D55" s="5" t="str">
        <f>IFERROR(VLOOKUP(C55,DBASE!$C$7:$D$207,2,0),"")</f>
        <v>WASUKA NITCHI PASTA</v>
      </c>
      <c r="E55" s="15">
        <f t="shared" si="2"/>
        <v>1</v>
      </c>
      <c r="F55" s="15">
        <f t="shared" si="2"/>
        <v>59000</v>
      </c>
      <c r="H55" s="15">
        <f t="shared" si="2"/>
        <v>2552</v>
      </c>
      <c r="J55" s="15" t="str">
        <f>IFERROR(VLOOKUP($C55,[4]REKAP!$B$9:$D$200,3,0),"")</f>
        <v/>
      </c>
      <c r="K55" s="15" t="str">
        <f>IFERROR(VLOOKUP($C55,[4]REKAP!$B$9:$E$200,4,0),"")</f>
        <v/>
      </c>
      <c r="L55" s="15" t="str">
        <f>IFERROR(VLOOKUP($C55,[4]REKAP!$B$9:$G$200,6,0),"")</f>
        <v/>
      </c>
      <c r="M55" s="15" t="str">
        <f>IFERROR(VLOOKUP($C55,[5]REKAP!$B$9:$D$200,3,0),"")</f>
        <v/>
      </c>
      <c r="N55" s="15" t="str">
        <f>IFERROR(VLOOKUP($C55,[5]REKAP!$B$9:$E$200,4,0),"")</f>
        <v/>
      </c>
      <c r="O55" s="15" t="str">
        <f>IFERROR(VLOOKUP($C55,[5]REKAP!$B$9:$G$200,6,0),"")</f>
        <v/>
      </c>
      <c r="P55" s="15" t="str">
        <f>IFERROR(VLOOKUP($C55,[6]REKAP!$B$9:$D$200,3,0),"")</f>
        <v/>
      </c>
      <c r="Q55" s="15" t="str">
        <f>IFERROR(VLOOKUP($C55,[6]REKAP!$B$9:$E$200,4,0),"")</f>
        <v/>
      </c>
      <c r="R55" s="15" t="str">
        <f>IFERROR(VLOOKUP($C55,[6]REKAP!$B$9:$G$200,6,0),"")</f>
        <v/>
      </c>
      <c r="S55" s="15" t="str">
        <f>IFERROR(VLOOKUP($C55,[7]REKAP!$B$9:$D$200,3,0),"")</f>
        <v/>
      </c>
      <c r="T55" s="15" t="str">
        <f>IFERROR(VLOOKUP($C55,[7]REKAP!$B$9:$E$200,4,0),"")</f>
        <v/>
      </c>
      <c r="U55" s="15" t="str">
        <f>IFERROR(VLOOKUP($C55,[7]REKAP!$B$9:$G$200,6,0),"")</f>
        <v/>
      </c>
      <c r="V55" s="15">
        <f>IFERROR(VLOOKUP($C55,[8]REKAP!$B$9:$D$200,3,0),"")</f>
        <v>0</v>
      </c>
      <c r="W55" s="15">
        <f>IFERROR(VLOOKUP($C55,[8]REKAP!$B$9:$E$200,4,0),"")</f>
        <v>0</v>
      </c>
      <c r="X55" s="15">
        <f>IFERROR(VLOOKUP($C55,[8]REKAP!$B$9:$G$200,6,0),"")</f>
        <v>0</v>
      </c>
      <c r="Y55" s="15">
        <f>IFERROR(VLOOKUP($C55,[9]REKAP!$B$9:$D$200,3,0),"")</f>
        <v>1</v>
      </c>
      <c r="Z55" s="15">
        <f>IFERROR(VLOOKUP($C55,[9]REKAP!$B$9:$E$200,4,0),"")</f>
        <v>59000</v>
      </c>
      <c r="AA55" s="15">
        <f>IFERROR(VLOOKUP($C55,[9]REKAP!$B$9:$G$200,6,0),"")</f>
        <v>2552</v>
      </c>
      <c r="AB55" s="15">
        <f>IFERROR(VLOOKUP($C55,[10]REKAP!$B$9:$D$200,3,0),"")</f>
        <v>0</v>
      </c>
      <c r="AC55" s="15">
        <f>IFERROR(VLOOKUP($C55,[10]REKAP!$B$9:$E$200,4,0),"")</f>
        <v>0</v>
      </c>
      <c r="AD55" s="15">
        <f>IFERROR(VLOOKUP($C55,[10]REKAP!$B$9:$G$200,6,0),"")</f>
        <v>0</v>
      </c>
      <c r="AE55" s="15">
        <f>IFERROR(VLOOKUP($C55,[11]REKAP!$B$9:$D$199,3,0),"")</f>
        <v>0</v>
      </c>
      <c r="AF55" s="15">
        <f>IFERROR(VLOOKUP($C55,[11]REKAP!$B$9:$E$199,4,0),"")</f>
        <v>0</v>
      </c>
      <c r="AG55" s="15">
        <f>IFERROR(VLOOKUP($C55,[11]REKAP!$B$9:$G$199,6,0),"")</f>
        <v>0</v>
      </c>
      <c r="AH55" s="15">
        <f>IFERROR(VLOOKUP($C55,[12]REKAP!$B$9:$D$200,3,0),"")</f>
        <v>0</v>
      </c>
      <c r="AI55" s="15">
        <f>IFERROR(VLOOKUP($C55,[12]REKAP!$B$9:$E$200,4,0),"")</f>
        <v>0</v>
      </c>
      <c r="AJ55" s="15">
        <f>IFERROR(VLOOKUP($C55,[12]REKAP!$B$9:$G$200,6,0),"")</f>
        <v>0</v>
      </c>
      <c r="AK55" s="15" t="str">
        <f>IFERROR(VLOOKUP($C55,[13]REKAP!$B$9:$D$200,3,0),"")</f>
        <v/>
      </c>
      <c r="AL55" s="15" t="str">
        <f>IFERROR(VLOOKUP($C55,[13]REKAP!$B$9:$E$200,4,0),"")</f>
        <v/>
      </c>
      <c r="AM55" s="15" t="str">
        <f>IFERROR(VLOOKUP($C55,[13]REKAP!$B$9:$G$200,6,0),"")</f>
        <v/>
      </c>
      <c r="AN55" s="15" t="str">
        <f>IFERROR(VLOOKUP($C55,[14]REKAP!$B$9:$D$200,3,0),"")</f>
        <v/>
      </c>
      <c r="AO55" s="15" t="str">
        <f>IFERROR(VLOOKUP($C55,[14]REKAP!$B$9:$E$200,4,0),"")</f>
        <v/>
      </c>
      <c r="AP55" s="15" t="str">
        <f>IFERROR(VLOOKUP($C55,[14]REKAP!$B$9:$G$200,6,0),"")</f>
        <v/>
      </c>
      <c r="AQ55" s="15" t="str">
        <f>IFERROR(VLOOKUP($C55,[15]REKAP!$B$9:$D$200,3,0),"")</f>
        <v/>
      </c>
      <c r="AR55" s="15" t="str">
        <f>IFERROR(VLOOKUP($C55,[15]REKAP!$B$9:$E$200,4,0),"")</f>
        <v/>
      </c>
      <c r="AS55" s="15" t="str">
        <f>IFERROR(VLOOKUP($C55,[15]REKAP!$B$9:$G$200,6,0),"")</f>
        <v/>
      </c>
      <c r="AT55" s="15" t="str">
        <f>IFERROR(VLOOKUP($C55,[16]REKAP!$B$9:$D$200,3,0),"")</f>
        <v/>
      </c>
      <c r="AU55" s="15" t="str">
        <f>IFERROR(VLOOKUP($C55,[16]REKAP!$B$9:$E$200,4,0),"")</f>
        <v/>
      </c>
      <c r="AV55" s="15" t="str">
        <f>IFERROR(VLOOKUP($C55,[16]REKAP!$B$9:$G$200,6,0),"")</f>
        <v/>
      </c>
      <c r="AW55" s="15" t="str">
        <f>IFERROR(VLOOKUP($C55,[17]REKAP!$B$9:$D$200,3,0),"")</f>
        <v/>
      </c>
      <c r="AX55" s="15" t="str">
        <f>IFERROR(VLOOKUP($C55,[17]REKAP!$B$9:$E$200,4,0),"")</f>
        <v/>
      </c>
      <c r="AY55" s="15" t="str">
        <f>IFERROR(VLOOKUP($C55,[17]REKAP!$B$9:$G$200,6,0),"")</f>
        <v/>
      </c>
      <c r="AZ55" s="15" t="str">
        <f>IFERROR(VLOOKUP($C55,[18]REKAP!$B$9:$D$200,3,0),"")</f>
        <v/>
      </c>
      <c r="BA55" s="15" t="str">
        <f>IFERROR(VLOOKUP($C55,[18]REKAP!$B$9:$E$200,4,0),"")</f>
        <v/>
      </c>
      <c r="BB55" s="15" t="str">
        <f>IFERROR(VLOOKUP($C55,[18]REKAP!$B$9:$G$200,6,0),"")</f>
        <v/>
      </c>
      <c r="BC55" s="15" t="str">
        <f>IFERROR(VLOOKUP($C55,[19]REKAP!$B$9:$D$200,3,0),"")</f>
        <v/>
      </c>
      <c r="BD55" s="15" t="str">
        <f>IFERROR(VLOOKUP($C55,[19]REKAP!$B$9:$E$200,4,0),"")</f>
        <v/>
      </c>
      <c r="BE55" s="15" t="str">
        <f>IFERROR(VLOOKUP($C55,[19]REKAP!$B$9:$G$200,6,0),"")</f>
        <v/>
      </c>
      <c r="BF55" s="15" t="str">
        <f>IFERROR(VLOOKUP($C55,[20]REKAP!$B$9:$D$200,3,0),"")</f>
        <v/>
      </c>
      <c r="BG55" s="15" t="str">
        <f>IFERROR(VLOOKUP($C55,[20]REKAP!$B$9:$E$200,4,0),"")</f>
        <v/>
      </c>
      <c r="BH55" s="15" t="str">
        <f>IFERROR(VLOOKUP($C55,[20]REKAP!$B$9:$G$200,6,0),"")</f>
        <v/>
      </c>
      <c r="BI55" s="15" t="str">
        <f>IFERROR(VLOOKUP($C55,[21]REKAP!$B$9:$D$200,3,0),"")</f>
        <v/>
      </c>
      <c r="BJ55" s="15" t="str">
        <f>IFERROR(VLOOKUP($C55,[21]REKAP!$B$9:$E$200,4,0),"")</f>
        <v/>
      </c>
      <c r="BK55" s="15" t="str">
        <f>IFERROR(VLOOKUP($C55,[21]REKAP!$B$9:$G$200,6,0),"")</f>
        <v/>
      </c>
      <c r="BL55" s="15" t="str">
        <f>IFERROR(VLOOKUP($C55,[22]REKAP!$B$9:$D$200,3,0),"")</f>
        <v/>
      </c>
      <c r="BM55" s="15" t="str">
        <f>IFERROR(VLOOKUP($C55,[22]REKAP!$B$9:$E$200,4,0),"")</f>
        <v/>
      </c>
      <c r="BN55" s="15" t="str">
        <f>IFERROR(VLOOKUP($C55,[22]REKAP!$B$9:$G$200,6,0),"")</f>
        <v/>
      </c>
      <c r="BO55" s="15" t="str">
        <f>IFERROR(VLOOKUP($C55,[23]REKAP!$B$9:$D$200,3,0),"")</f>
        <v/>
      </c>
      <c r="BP55" s="15" t="str">
        <f>IFERROR(VLOOKUP($C55,[23]REKAP!$B$9:$E$200,4,0),"")</f>
        <v/>
      </c>
      <c r="BQ55" s="15" t="str">
        <f>IFERROR(VLOOKUP($C55,[23]REKAP!$B$9:$G$200,6,0),"")</f>
        <v/>
      </c>
      <c r="BR55" s="15" t="str">
        <f>IFERROR(VLOOKUP($C55,[24]REKAP!$B$9:$D$200,3,0),"")</f>
        <v/>
      </c>
      <c r="BS55" s="15" t="str">
        <f>IFERROR(VLOOKUP($C55,[24]REKAP!$B$9:$E$200,4,0),"")</f>
        <v/>
      </c>
      <c r="BT55" s="15" t="str">
        <f>IFERROR(VLOOKUP($C55,[24]REKAP!$B$9:$G$200,6,0),"")</f>
        <v/>
      </c>
      <c r="BU55" s="15" t="str">
        <f>IFERROR(VLOOKUP($C55,[25]REKAP!$B$9:$D$200,3,0),"")</f>
        <v/>
      </c>
      <c r="BV55" s="15" t="str">
        <f>IFERROR(VLOOKUP($C55,[25]REKAP!$B$9:$E$200,4,0),"")</f>
        <v/>
      </c>
      <c r="BW55" s="15" t="str">
        <f>IFERROR(VLOOKUP($C55,[25]REKAP!$B$9:$G$200,6,0),"")</f>
        <v/>
      </c>
      <c r="BX55" s="15" t="str">
        <f>IFERROR(VLOOKUP($C55,[26]REKAP!$B$9:$D$200,3,0),"")</f>
        <v/>
      </c>
      <c r="BY55" s="15" t="str">
        <f>IFERROR(VLOOKUP($C55,[26]REKAP!$B$9:$E$200,4,0),"")</f>
        <v/>
      </c>
      <c r="BZ55" s="15" t="str">
        <f>IFERROR(VLOOKUP($C55,[26]REKAP!$B$9:$G$200,6,0),"")</f>
        <v/>
      </c>
      <c r="CA55" s="15" t="str">
        <f>IFERROR(VLOOKUP($C55,[27]REKAP!$B$9:$D$200,3,0),"")</f>
        <v/>
      </c>
      <c r="CB55" s="15" t="str">
        <f>IFERROR(VLOOKUP($C55,[27]REKAP!$B$9:$E$200,4,0),"")</f>
        <v/>
      </c>
      <c r="CC55" s="15" t="str">
        <f>IFERROR(VLOOKUP($C55,[27]REKAP!$B$9:$G$200,6,0),"")</f>
        <v/>
      </c>
      <c r="CD55" s="15" t="str">
        <f>IFERROR(VLOOKUP($C55,[28]REKAP!$B$9:$D$200,3,0),"")</f>
        <v/>
      </c>
      <c r="CE55" s="15" t="str">
        <f>IFERROR(VLOOKUP($C55,[28]REKAP!$B$9:$E$200,4,0),"")</f>
        <v/>
      </c>
      <c r="CF55" s="15" t="str">
        <f>IFERROR(VLOOKUP($C55,[28]REKAP!$B$9:$G$200,6,0),"")</f>
        <v/>
      </c>
      <c r="CG55" s="15" t="str">
        <f>IFERROR(VLOOKUP($C55,[29]REKAP!$B$9:$D$200,3,0),"")</f>
        <v/>
      </c>
      <c r="CH55" s="15" t="str">
        <f>IFERROR(VLOOKUP($C55,[29]REKAP!$B$9:$E$200,4,0),"")</f>
        <v/>
      </c>
      <c r="CI55" s="15" t="str">
        <f>IFERROR(VLOOKUP($C55,[29]REKAP!$B$9:$G$200,6,0),"")</f>
        <v/>
      </c>
      <c r="CJ55" s="15" t="str">
        <f>IFERROR(VLOOKUP($C55,[30]REKAP!$B$9:$D$200,3,0),"")</f>
        <v/>
      </c>
      <c r="CK55" s="15" t="str">
        <f>IFERROR(VLOOKUP($C55,[30]REKAP!$B$9:$E$200,4,0),"")</f>
        <v/>
      </c>
      <c r="CL55" s="15" t="str">
        <f>IFERROR(VLOOKUP($C55,[30]REKAP!$B$9:$G$200,6,0),"")</f>
        <v/>
      </c>
      <c r="CM55" s="15" t="str">
        <f>IFERROR(VLOOKUP($C55,[31]REKAP!$B$9:$D$200,3,0),"")</f>
        <v/>
      </c>
      <c r="CN55" s="15" t="str">
        <f>IFERROR(VLOOKUP($C55,[31]REKAP!$B$9:$E$200,4,0),"")</f>
        <v/>
      </c>
      <c r="CO55" s="15" t="str">
        <f>IFERROR(VLOOKUP($C55,[31]REKAP!$B$9:$G$200,6,0),"")</f>
        <v/>
      </c>
      <c r="CP55" s="15" t="str">
        <f>IFERROR(VLOOKUP($C55,[32]REKAP!$B$9:$D$200,3,0),"")</f>
        <v/>
      </c>
      <c r="CQ55" s="15" t="str">
        <f>IFERROR(VLOOKUP($C55,[32]REKAP!$B$9:$E$200,4,0),"")</f>
        <v/>
      </c>
      <c r="CR55" s="15" t="str">
        <f>IFERROR(VLOOKUP($C55,[32]REKAP!$B$9:$G$200,6,0),"")</f>
        <v/>
      </c>
      <c r="CS55" s="15" t="str">
        <f>IFERROR(VLOOKUP($C55,[33]REKAP!$B$9:$D$200,3,0),"")</f>
        <v/>
      </c>
      <c r="CT55" s="15" t="str">
        <f>IFERROR(VLOOKUP($C55,[33]REKAP!$B$9:$E$200,4,0),"")</f>
        <v/>
      </c>
      <c r="CU55" s="15" t="str">
        <f>IFERROR(VLOOKUP($C55,[33]REKAP!$B$9:$G$200,6,0),"")</f>
        <v/>
      </c>
      <c r="CV55" s="15" t="str">
        <f>IFERROR(VLOOKUP($C55,[34]REKAP!$B$9:$D$200,3,0),"")</f>
        <v/>
      </c>
      <c r="CW55" s="15" t="str">
        <f>IFERROR(VLOOKUP($C55,[34]REKAP!$B$9:$E$200,4,0),"")</f>
        <v/>
      </c>
      <c r="CX55" s="15" t="str">
        <f>IFERROR(VLOOKUP($C55,[34]REKAP!$B$9:$G$200,6,0),"")</f>
        <v/>
      </c>
    </row>
    <row r="56" spans="3:102" x14ac:dyDescent="0.25">
      <c r="C56" s="7" t="s">
        <v>101</v>
      </c>
      <c r="D56" s="5" t="str">
        <f>IFERROR(VLOOKUP(C56,DBASE!$C$7:$D$207,2,0),"")</f>
        <v>LAZERY</v>
      </c>
      <c r="E56" s="15">
        <f t="shared" si="2"/>
        <v>0</v>
      </c>
      <c r="F56" s="15">
        <f t="shared" si="2"/>
        <v>0</v>
      </c>
      <c r="H56" s="15">
        <f t="shared" si="2"/>
        <v>0</v>
      </c>
      <c r="J56" s="15" t="str">
        <f>IFERROR(VLOOKUP($C56,[4]REKAP!$B$9:$D$200,3,0),"")</f>
        <v/>
      </c>
      <c r="K56" s="15" t="str">
        <f>IFERROR(VLOOKUP($C56,[4]REKAP!$B$9:$E$200,4,0),"")</f>
        <v/>
      </c>
      <c r="L56" s="15" t="str">
        <f>IFERROR(VLOOKUP($C56,[4]REKAP!$B$9:$G$200,6,0),"")</f>
        <v/>
      </c>
      <c r="M56" s="15" t="str">
        <f>IFERROR(VLOOKUP($C56,[5]REKAP!$B$9:$D$200,3,0),"")</f>
        <v/>
      </c>
      <c r="N56" s="15" t="str">
        <f>IFERROR(VLOOKUP($C56,[5]REKAP!$B$9:$E$200,4,0),"")</f>
        <v/>
      </c>
      <c r="O56" s="15" t="str">
        <f>IFERROR(VLOOKUP($C56,[5]REKAP!$B$9:$G$200,6,0),"")</f>
        <v/>
      </c>
      <c r="P56" s="15" t="str">
        <f>IFERROR(VLOOKUP($C56,[6]REKAP!$B$9:$D$200,3,0),"")</f>
        <v/>
      </c>
      <c r="Q56" s="15" t="str">
        <f>IFERROR(VLOOKUP($C56,[6]REKAP!$B$9:$E$200,4,0),"")</f>
        <v/>
      </c>
      <c r="R56" s="15" t="str">
        <f>IFERROR(VLOOKUP($C56,[6]REKAP!$B$9:$G$200,6,0),"")</f>
        <v/>
      </c>
      <c r="S56" s="15" t="str">
        <f>IFERROR(VLOOKUP($C56,[7]REKAP!$B$9:$D$200,3,0),"")</f>
        <v/>
      </c>
      <c r="T56" s="15" t="str">
        <f>IFERROR(VLOOKUP($C56,[7]REKAP!$B$9:$E$200,4,0),"")</f>
        <v/>
      </c>
      <c r="U56" s="15" t="str">
        <f>IFERROR(VLOOKUP($C56,[7]REKAP!$B$9:$G$200,6,0),"")</f>
        <v/>
      </c>
      <c r="V56" s="15">
        <f>IFERROR(VLOOKUP($C56,[8]REKAP!$B$9:$D$200,3,0),"")</f>
        <v>0</v>
      </c>
      <c r="W56" s="15">
        <f>IFERROR(VLOOKUP($C56,[8]REKAP!$B$9:$E$200,4,0),"")</f>
        <v>0</v>
      </c>
      <c r="X56" s="15">
        <f>IFERROR(VLOOKUP($C56,[8]REKAP!$B$9:$G$200,6,0),"")</f>
        <v>0</v>
      </c>
      <c r="Y56" s="15">
        <f>IFERROR(VLOOKUP($C56,[9]REKAP!$B$9:$D$200,3,0),"")</f>
        <v>0</v>
      </c>
      <c r="Z56" s="15">
        <f>IFERROR(VLOOKUP($C56,[9]REKAP!$B$9:$E$200,4,0),"")</f>
        <v>0</v>
      </c>
      <c r="AA56" s="15">
        <f>IFERROR(VLOOKUP($C56,[9]REKAP!$B$9:$G$200,6,0),"")</f>
        <v>0</v>
      </c>
      <c r="AB56" s="15">
        <f>IFERROR(VLOOKUP($C56,[10]REKAP!$B$9:$D$200,3,0),"")</f>
        <v>0</v>
      </c>
      <c r="AC56" s="15">
        <f>IFERROR(VLOOKUP($C56,[10]REKAP!$B$9:$E$200,4,0),"")</f>
        <v>0</v>
      </c>
      <c r="AD56" s="15">
        <f>IFERROR(VLOOKUP($C56,[10]REKAP!$B$9:$G$200,6,0),"")</f>
        <v>0</v>
      </c>
      <c r="AE56" s="15">
        <f>IFERROR(VLOOKUP($C56,[11]REKAP!$B$9:$D$199,3,0),"")</f>
        <v>0</v>
      </c>
      <c r="AF56" s="15">
        <f>IFERROR(VLOOKUP($C56,[11]REKAP!$B$9:$E$199,4,0),"")</f>
        <v>0</v>
      </c>
      <c r="AG56" s="15">
        <f>IFERROR(VLOOKUP($C56,[11]REKAP!$B$9:$G$199,6,0),"")</f>
        <v>0</v>
      </c>
      <c r="AH56" s="15">
        <f>IFERROR(VLOOKUP($C56,[12]REKAP!$B$9:$D$200,3,0),"")</f>
        <v>0</v>
      </c>
      <c r="AI56" s="15">
        <f>IFERROR(VLOOKUP($C56,[12]REKAP!$B$9:$E$200,4,0),"")</f>
        <v>0</v>
      </c>
      <c r="AJ56" s="15">
        <f>IFERROR(VLOOKUP($C56,[12]REKAP!$B$9:$G$200,6,0),"")</f>
        <v>0</v>
      </c>
      <c r="AK56" s="15" t="str">
        <f>IFERROR(VLOOKUP($C56,[13]REKAP!$B$9:$D$200,3,0),"")</f>
        <v/>
      </c>
      <c r="AL56" s="15" t="str">
        <f>IFERROR(VLOOKUP($C56,[13]REKAP!$B$9:$E$200,4,0),"")</f>
        <v/>
      </c>
      <c r="AM56" s="15" t="str">
        <f>IFERROR(VLOOKUP($C56,[13]REKAP!$B$9:$G$200,6,0),"")</f>
        <v/>
      </c>
      <c r="AN56" s="15" t="str">
        <f>IFERROR(VLOOKUP($C56,[14]REKAP!$B$9:$D$200,3,0),"")</f>
        <v/>
      </c>
      <c r="AO56" s="15" t="str">
        <f>IFERROR(VLOOKUP($C56,[14]REKAP!$B$9:$E$200,4,0),"")</f>
        <v/>
      </c>
      <c r="AP56" s="15" t="str">
        <f>IFERROR(VLOOKUP($C56,[14]REKAP!$B$9:$G$200,6,0),"")</f>
        <v/>
      </c>
      <c r="AQ56" s="15" t="str">
        <f>IFERROR(VLOOKUP($C56,[15]REKAP!$B$9:$D$200,3,0),"")</f>
        <v/>
      </c>
      <c r="AR56" s="15" t="str">
        <f>IFERROR(VLOOKUP($C56,[15]REKAP!$B$9:$E$200,4,0),"")</f>
        <v/>
      </c>
      <c r="AS56" s="15" t="str">
        <f>IFERROR(VLOOKUP($C56,[15]REKAP!$B$9:$G$200,6,0),"")</f>
        <v/>
      </c>
      <c r="AT56" s="15" t="str">
        <f>IFERROR(VLOOKUP($C56,[16]REKAP!$B$9:$D$200,3,0),"")</f>
        <v/>
      </c>
      <c r="AU56" s="15" t="str">
        <f>IFERROR(VLOOKUP($C56,[16]REKAP!$B$9:$E$200,4,0),"")</f>
        <v/>
      </c>
      <c r="AV56" s="15" t="str">
        <f>IFERROR(VLOOKUP($C56,[16]REKAP!$B$9:$G$200,6,0),"")</f>
        <v/>
      </c>
      <c r="AW56" s="15" t="str">
        <f>IFERROR(VLOOKUP($C56,[17]REKAP!$B$9:$D$200,3,0),"")</f>
        <v/>
      </c>
      <c r="AX56" s="15" t="str">
        <f>IFERROR(VLOOKUP($C56,[17]REKAP!$B$9:$E$200,4,0),"")</f>
        <v/>
      </c>
      <c r="AY56" s="15" t="str">
        <f>IFERROR(VLOOKUP($C56,[17]REKAP!$B$9:$G$200,6,0),"")</f>
        <v/>
      </c>
      <c r="AZ56" s="15" t="str">
        <f>IFERROR(VLOOKUP($C56,[18]REKAP!$B$9:$D$200,3,0),"")</f>
        <v/>
      </c>
      <c r="BA56" s="15" t="str">
        <f>IFERROR(VLOOKUP($C56,[18]REKAP!$B$9:$E$200,4,0),"")</f>
        <v/>
      </c>
      <c r="BB56" s="15" t="str">
        <f>IFERROR(VLOOKUP($C56,[18]REKAP!$B$9:$G$200,6,0),"")</f>
        <v/>
      </c>
      <c r="BC56" s="15" t="str">
        <f>IFERROR(VLOOKUP($C56,[19]REKAP!$B$9:$D$200,3,0),"")</f>
        <v/>
      </c>
      <c r="BD56" s="15" t="str">
        <f>IFERROR(VLOOKUP($C56,[19]REKAP!$B$9:$E$200,4,0),"")</f>
        <v/>
      </c>
      <c r="BE56" s="15" t="str">
        <f>IFERROR(VLOOKUP($C56,[19]REKAP!$B$9:$G$200,6,0),"")</f>
        <v/>
      </c>
      <c r="BF56" s="15" t="str">
        <f>IFERROR(VLOOKUP($C56,[20]REKAP!$B$9:$D$200,3,0),"")</f>
        <v/>
      </c>
      <c r="BG56" s="15" t="str">
        <f>IFERROR(VLOOKUP($C56,[20]REKAP!$B$9:$E$200,4,0),"")</f>
        <v/>
      </c>
      <c r="BH56" s="15" t="str">
        <f>IFERROR(VLOOKUP($C56,[20]REKAP!$B$9:$G$200,6,0),"")</f>
        <v/>
      </c>
      <c r="BI56" s="15" t="str">
        <f>IFERROR(VLOOKUP($C56,[21]REKAP!$B$9:$D$200,3,0),"")</f>
        <v/>
      </c>
      <c r="BJ56" s="15" t="str">
        <f>IFERROR(VLOOKUP($C56,[21]REKAP!$B$9:$E$200,4,0),"")</f>
        <v/>
      </c>
      <c r="BK56" s="15" t="str">
        <f>IFERROR(VLOOKUP($C56,[21]REKAP!$B$9:$G$200,6,0),"")</f>
        <v/>
      </c>
      <c r="BL56" s="15" t="str">
        <f>IFERROR(VLOOKUP($C56,[22]REKAP!$B$9:$D$200,3,0),"")</f>
        <v/>
      </c>
      <c r="BM56" s="15" t="str">
        <f>IFERROR(VLOOKUP($C56,[22]REKAP!$B$9:$E$200,4,0),"")</f>
        <v/>
      </c>
      <c r="BN56" s="15" t="str">
        <f>IFERROR(VLOOKUP($C56,[22]REKAP!$B$9:$G$200,6,0),"")</f>
        <v/>
      </c>
      <c r="BO56" s="15" t="str">
        <f>IFERROR(VLOOKUP($C56,[23]REKAP!$B$9:$D$200,3,0),"")</f>
        <v/>
      </c>
      <c r="BP56" s="15" t="str">
        <f>IFERROR(VLOOKUP($C56,[23]REKAP!$B$9:$E$200,4,0),"")</f>
        <v/>
      </c>
      <c r="BQ56" s="15" t="str">
        <f>IFERROR(VLOOKUP($C56,[23]REKAP!$B$9:$G$200,6,0),"")</f>
        <v/>
      </c>
      <c r="BR56" s="15" t="str">
        <f>IFERROR(VLOOKUP($C56,[24]REKAP!$B$9:$D$200,3,0),"")</f>
        <v/>
      </c>
      <c r="BS56" s="15" t="str">
        <f>IFERROR(VLOOKUP($C56,[24]REKAP!$B$9:$E$200,4,0),"")</f>
        <v/>
      </c>
      <c r="BT56" s="15" t="str">
        <f>IFERROR(VLOOKUP($C56,[24]REKAP!$B$9:$G$200,6,0),"")</f>
        <v/>
      </c>
      <c r="BU56" s="15" t="str">
        <f>IFERROR(VLOOKUP($C56,[25]REKAP!$B$9:$D$200,3,0),"")</f>
        <v/>
      </c>
      <c r="BV56" s="15" t="str">
        <f>IFERROR(VLOOKUP($C56,[25]REKAP!$B$9:$E$200,4,0),"")</f>
        <v/>
      </c>
      <c r="BW56" s="15" t="str">
        <f>IFERROR(VLOOKUP($C56,[25]REKAP!$B$9:$G$200,6,0),"")</f>
        <v/>
      </c>
      <c r="BX56" s="15" t="str">
        <f>IFERROR(VLOOKUP($C56,[26]REKAP!$B$9:$D$200,3,0),"")</f>
        <v/>
      </c>
      <c r="BY56" s="15" t="str">
        <f>IFERROR(VLOOKUP($C56,[26]REKAP!$B$9:$E$200,4,0),"")</f>
        <v/>
      </c>
      <c r="BZ56" s="15" t="str">
        <f>IFERROR(VLOOKUP($C56,[26]REKAP!$B$9:$G$200,6,0),"")</f>
        <v/>
      </c>
      <c r="CA56" s="15" t="str">
        <f>IFERROR(VLOOKUP($C56,[27]REKAP!$B$9:$D$200,3,0),"")</f>
        <v/>
      </c>
      <c r="CB56" s="15" t="str">
        <f>IFERROR(VLOOKUP($C56,[27]REKAP!$B$9:$E$200,4,0),"")</f>
        <v/>
      </c>
      <c r="CC56" s="15" t="str">
        <f>IFERROR(VLOOKUP($C56,[27]REKAP!$B$9:$G$200,6,0),"")</f>
        <v/>
      </c>
      <c r="CD56" s="15" t="str">
        <f>IFERROR(VLOOKUP($C56,[28]REKAP!$B$9:$D$200,3,0),"")</f>
        <v/>
      </c>
      <c r="CE56" s="15" t="str">
        <f>IFERROR(VLOOKUP($C56,[28]REKAP!$B$9:$E$200,4,0),"")</f>
        <v/>
      </c>
      <c r="CF56" s="15" t="str">
        <f>IFERROR(VLOOKUP($C56,[28]REKAP!$B$9:$G$200,6,0),"")</f>
        <v/>
      </c>
      <c r="CG56" s="15" t="str">
        <f>IFERROR(VLOOKUP($C56,[29]REKAP!$B$9:$D$200,3,0),"")</f>
        <v/>
      </c>
      <c r="CH56" s="15" t="str">
        <f>IFERROR(VLOOKUP($C56,[29]REKAP!$B$9:$E$200,4,0),"")</f>
        <v/>
      </c>
      <c r="CI56" s="15" t="str">
        <f>IFERROR(VLOOKUP($C56,[29]REKAP!$B$9:$G$200,6,0),"")</f>
        <v/>
      </c>
      <c r="CJ56" s="15" t="str">
        <f>IFERROR(VLOOKUP($C56,[30]REKAP!$B$9:$D$200,3,0),"")</f>
        <v/>
      </c>
      <c r="CK56" s="15" t="str">
        <f>IFERROR(VLOOKUP($C56,[30]REKAP!$B$9:$E$200,4,0),"")</f>
        <v/>
      </c>
      <c r="CL56" s="15" t="str">
        <f>IFERROR(VLOOKUP($C56,[30]REKAP!$B$9:$G$200,6,0),"")</f>
        <v/>
      </c>
      <c r="CM56" s="15" t="str">
        <f>IFERROR(VLOOKUP($C56,[31]REKAP!$B$9:$D$200,3,0),"")</f>
        <v/>
      </c>
      <c r="CN56" s="15" t="str">
        <f>IFERROR(VLOOKUP($C56,[31]REKAP!$B$9:$E$200,4,0),"")</f>
        <v/>
      </c>
      <c r="CO56" s="15" t="str">
        <f>IFERROR(VLOOKUP($C56,[31]REKAP!$B$9:$G$200,6,0),"")</f>
        <v/>
      </c>
      <c r="CP56" s="15" t="str">
        <f>IFERROR(VLOOKUP($C56,[32]REKAP!$B$9:$D$200,3,0),"")</f>
        <v/>
      </c>
      <c r="CQ56" s="15" t="str">
        <f>IFERROR(VLOOKUP($C56,[32]REKAP!$B$9:$E$200,4,0),"")</f>
        <v/>
      </c>
      <c r="CR56" s="15" t="str">
        <f>IFERROR(VLOOKUP($C56,[32]REKAP!$B$9:$G$200,6,0),"")</f>
        <v/>
      </c>
      <c r="CS56" s="15" t="str">
        <f>IFERROR(VLOOKUP($C56,[33]REKAP!$B$9:$D$200,3,0),"")</f>
        <v/>
      </c>
      <c r="CT56" s="15" t="str">
        <f>IFERROR(VLOOKUP($C56,[33]REKAP!$B$9:$E$200,4,0),"")</f>
        <v/>
      </c>
      <c r="CU56" s="15" t="str">
        <f>IFERROR(VLOOKUP($C56,[33]REKAP!$B$9:$G$200,6,0),"")</f>
        <v/>
      </c>
      <c r="CV56" s="15" t="str">
        <f>IFERROR(VLOOKUP($C56,[34]REKAP!$B$9:$D$200,3,0),"")</f>
        <v/>
      </c>
      <c r="CW56" s="15" t="str">
        <f>IFERROR(VLOOKUP($C56,[34]REKAP!$B$9:$E$200,4,0),"")</f>
        <v/>
      </c>
      <c r="CX56" s="15" t="str">
        <f>IFERROR(VLOOKUP($C56,[34]REKAP!$B$9:$G$200,6,0),"")</f>
        <v/>
      </c>
    </row>
    <row r="57" spans="3:102" x14ac:dyDescent="0.25">
      <c r="C57" s="7" t="s">
        <v>102</v>
      </c>
      <c r="D57" s="5" t="str">
        <f>IFERROR(VLOOKUP(C57,DBASE!$C$7:$D$207,2,0),"")</f>
        <v>CHIKORY</v>
      </c>
      <c r="E57" s="15">
        <f t="shared" si="2"/>
        <v>0</v>
      </c>
      <c r="F57" s="15">
        <f t="shared" si="2"/>
        <v>0</v>
      </c>
      <c r="H57" s="15">
        <f t="shared" si="2"/>
        <v>0</v>
      </c>
      <c r="J57" s="15" t="str">
        <f>IFERROR(VLOOKUP($C57,[4]REKAP!$B$9:$D$200,3,0),"")</f>
        <v/>
      </c>
      <c r="K57" s="15" t="str">
        <f>IFERROR(VLOOKUP($C57,[4]REKAP!$B$9:$E$200,4,0),"")</f>
        <v/>
      </c>
      <c r="L57" s="15" t="str">
        <f>IFERROR(VLOOKUP($C57,[4]REKAP!$B$9:$G$200,6,0),"")</f>
        <v/>
      </c>
      <c r="M57" s="15" t="str">
        <f>IFERROR(VLOOKUP($C57,[5]REKAP!$B$9:$D$200,3,0),"")</f>
        <v/>
      </c>
      <c r="N57" s="15" t="str">
        <f>IFERROR(VLOOKUP($C57,[5]REKAP!$B$9:$E$200,4,0),"")</f>
        <v/>
      </c>
      <c r="O57" s="15" t="str">
        <f>IFERROR(VLOOKUP($C57,[5]REKAP!$B$9:$G$200,6,0),"")</f>
        <v/>
      </c>
      <c r="P57" s="15" t="str">
        <f>IFERROR(VLOOKUP($C57,[6]REKAP!$B$9:$D$200,3,0),"")</f>
        <v/>
      </c>
      <c r="Q57" s="15" t="str">
        <f>IFERROR(VLOOKUP($C57,[6]REKAP!$B$9:$E$200,4,0),"")</f>
        <v/>
      </c>
      <c r="R57" s="15" t="str">
        <f>IFERROR(VLOOKUP($C57,[6]REKAP!$B$9:$G$200,6,0),"")</f>
        <v/>
      </c>
      <c r="S57" s="15" t="str">
        <f>IFERROR(VLOOKUP($C57,[7]REKAP!$B$9:$D$200,3,0),"")</f>
        <v/>
      </c>
      <c r="T57" s="15" t="str">
        <f>IFERROR(VLOOKUP($C57,[7]REKAP!$B$9:$E$200,4,0),"")</f>
        <v/>
      </c>
      <c r="U57" s="15" t="str">
        <f>IFERROR(VLOOKUP($C57,[7]REKAP!$B$9:$G$200,6,0),"")</f>
        <v/>
      </c>
      <c r="V57" s="15">
        <f>IFERROR(VLOOKUP($C57,[8]REKAP!$B$9:$D$200,3,0),"")</f>
        <v>0</v>
      </c>
      <c r="W57" s="15">
        <f>IFERROR(VLOOKUP($C57,[8]REKAP!$B$9:$E$200,4,0),"")</f>
        <v>0</v>
      </c>
      <c r="X57" s="15">
        <f>IFERROR(VLOOKUP($C57,[8]REKAP!$B$9:$G$200,6,0),"")</f>
        <v>0</v>
      </c>
      <c r="Y57" s="15">
        <f>IFERROR(VLOOKUP($C57,[9]REKAP!$B$9:$D$200,3,0),"")</f>
        <v>0</v>
      </c>
      <c r="Z57" s="15">
        <f>IFERROR(VLOOKUP($C57,[9]REKAP!$B$9:$E$200,4,0),"")</f>
        <v>0</v>
      </c>
      <c r="AA57" s="15">
        <f>IFERROR(VLOOKUP($C57,[9]REKAP!$B$9:$G$200,6,0),"")</f>
        <v>0</v>
      </c>
      <c r="AB57" s="15">
        <f>IFERROR(VLOOKUP($C57,[10]REKAP!$B$9:$D$200,3,0),"")</f>
        <v>0</v>
      </c>
      <c r="AC57" s="15">
        <f>IFERROR(VLOOKUP($C57,[10]REKAP!$B$9:$E$200,4,0),"")</f>
        <v>0</v>
      </c>
      <c r="AD57" s="15">
        <f>IFERROR(VLOOKUP($C57,[10]REKAP!$B$9:$G$200,6,0),"")</f>
        <v>0</v>
      </c>
      <c r="AE57" s="15">
        <f>IFERROR(VLOOKUP($C57,[11]REKAP!$B$9:$D$199,3,0),"")</f>
        <v>0</v>
      </c>
      <c r="AF57" s="15">
        <f>IFERROR(VLOOKUP($C57,[11]REKAP!$B$9:$E$199,4,0),"")</f>
        <v>0</v>
      </c>
      <c r="AG57" s="15">
        <f>IFERROR(VLOOKUP($C57,[11]REKAP!$B$9:$G$199,6,0),"")</f>
        <v>0</v>
      </c>
      <c r="AH57" s="15">
        <f>IFERROR(VLOOKUP($C57,[12]REKAP!$B$9:$D$200,3,0),"")</f>
        <v>0</v>
      </c>
      <c r="AI57" s="15">
        <f>IFERROR(VLOOKUP($C57,[12]REKAP!$B$9:$E$200,4,0),"")</f>
        <v>0</v>
      </c>
      <c r="AJ57" s="15">
        <f>IFERROR(VLOOKUP($C57,[12]REKAP!$B$9:$G$200,6,0),"")</f>
        <v>0</v>
      </c>
      <c r="AK57" s="15" t="str">
        <f>IFERROR(VLOOKUP($C57,[13]REKAP!$B$9:$D$200,3,0),"")</f>
        <v/>
      </c>
      <c r="AL57" s="15" t="str">
        <f>IFERROR(VLOOKUP($C57,[13]REKAP!$B$9:$E$200,4,0),"")</f>
        <v/>
      </c>
      <c r="AM57" s="15" t="str">
        <f>IFERROR(VLOOKUP($C57,[13]REKAP!$B$9:$G$200,6,0),"")</f>
        <v/>
      </c>
      <c r="AN57" s="15" t="str">
        <f>IFERROR(VLOOKUP($C57,[14]REKAP!$B$9:$D$200,3,0),"")</f>
        <v/>
      </c>
      <c r="AO57" s="15" t="str">
        <f>IFERROR(VLOOKUP($C57,[14]REKAP!$B$9:$E$200,4,0),"")</f>
        <v/>
      </c>
      <c r="AP57" s="15" t="str">
        <f>IFERROR(VLOOKUP($C57,[14]REKAP!$B$9:$G$200,6,0),"")</f>
        <v/>
      </c>
      <c r="AQ57" s="15" t="str">
        <f>IFERROR(VLOOKUP($C57,[15]REKAP!$B$9:$D$200,3,0),"")</f>
        <v/>
      </c>
      <c r="AR57" s="15" t="str">
        <f>IFERROR(VLOOKUP($C57,[15]REKAP!$B$9:$E$200,4,0),"")</f>
        <v/>
      </c>
      <c r="AS57" s="15" t="str">
        <f>IFERROR(VLOOKUP($C57,[15]REKAP!$B$9:$G$200,6,0),"")</f>
        <v/>
      </c>
      <c r="AT57" s="15" t="str">
        <f>IFERROR(VLOOKUP($C57,[16]REKAP!$B$9:$D$200,3,0),"")</f>
        <v/>
      </c>
      <c r="AU57" s="15" t="str">
        <f>IFERROR(VLOOKUP($C57,[16]REKAP!$B$9:$E$200,4,0),"")</f>
        <v/>
      </c>
      <c r="AV57" s="15" t="str">
        <f>IFERROR(VLOOKUP($C57,[16]REKAP!$B$9:$G$200,6,0),"")</f>
        <v/>
      </c>
      <c r="AW57" s="15" t="str">
        <f>IFERROR(VLOOKUP($C57,[17]REKAP!$B$9:$D$200,3,0),"")</f>
        <v/>
      </c>
      <c r="AX57" s="15" t="str">
        <f>IFERROR(VLOOKUP($C57,[17]REKAP!$B$9:$E$200,4,0),"")</f>
        <v/>
      </c>
      <c r="AY57" s="15" t="str">
        <f>IFERROR(VLOOKUP($C57,[17]REKAP!$B$9:$G$200,6,0),"")</f>
        <v/>
      </c>
      <c r="AZ57" s="15" t="str">
        <f>IFERROR(VLOOKUP($C57,[18]REKAP!$B$9:$D$200,3,0),"")</f>
        <v/>
      </c>
      <c r="BA57" s="15" t="str">
        <f>IFERROR(VLOOKUP($C57,[18]REKAP!$B$9:$E$200,4,0),"")</f>
        <v/>
      </c>
      <c r="BB57" s="15" t="str">
        <f>IFERROR(VLOOKUP($C57,[18]REKAP!$B$9:$G$200,6,0),"")</f>
        <v/>
      </c>
      <c r="BC57" s="15" t="str">
        <f>IFERROR(VLOOKUP($C57,[19]REKAP!$B$9:$D$200,3,0),"")</f>
        <v/>
      </c>
      <c r="BD57" s="15" t="str">
        <f>IFERROR(VLOOKUP($C57,[19]REKAP!$B$9:$E$200,4,0),"")</f>
        <v/>
      </c>
      <c r="BE57" s="15" t="str">
        <f>IFERROR(VLOOKUP($C57,[19]REKAP!$B$9:$G$200,6,0),"")</f>
        <v/>
      </c>
      <c r="BF57" s="15" t="str">
        <f>IFERROR(VLOOKUP($C57,[20]REKAP!$B$9:$D$200,3,0),"")</f>
        <v/>
      </c>
      <c r="BG57" s="15" t="str">
        <f>IFERROR(VLOOKUP($C57,[20]REKAP!$B$9:$E$200,4,0),"")</f>
        <v/>
      </c>
      <c r="BH57" s="15" t="str">
        <f>IFERROR(VLOOKUP($C57,[20]REKAP!$B$9:$G$200,6,0),"")</f>
        <v/>
      </c>
      <c r="BI57" s="15" t="str">
        <f>IFERROR(VLOOKUP($C57,[21]REKAP!$B$9:$D$200,3,0),"")</f>
        <v/>
      </c>
      <c r="BJ57" s="15" t="str">
        <f>IFERROR(VLOOKUP($C57,[21]REKAP!$B$9:$E$200,4,0),"")</f>
        <v/>
      </c>
      <c r="BK57" s="15" t="str">
        <f>IFERROR(VLOOKUP($C57,[21]REKAP!$B$9:$G$200,6,0),"")</f>
        <v/>
      </c>
      <c r="BL57" s="15" t="str">
        <f>IFERROR(VLOOKUP($C57,[22]REKAP!$B$9:$D$200,3,0),"")</f>
        <v/>
      </c>
      <c r="BM57" s="15" t="str">
        <f>IFERROR(VLOOKUP($C57,[22]REKAP!$B$9:$E$200,4,0),"")</f>
        <v/>
      </c>
      <c r="BN57" s="15" t="str">
        <f>IFERROR(VLOOKUP($C57,[22]REKAP!$B$9:$G$200,6,0),"")</f>
        <v/>
      </c>
      <c r="BO57" s="15" t="str">
        <f>IFERROR(VLOOKUP($C57,[23]REKAP!$B$9:$D$200,3,0),"")</f>
        <v/>
      </c>
      <c r="BP57" s="15" t="str">
        <f>IFERROR(VLOOKUP($C57,[23]REKAP!$B$9:$E$200,4,0),"")</f>
        <v/>
      </c>
      <c r="BQ57" s="15" t="str">
        <f>IFERROR(VLOOKUP($C57,[23]REKAP!$B$9:$G$200,6,0),"")</f>
        <v/>
      </c>
      <c r="BR57" s="15" t="str">
        <f>IFERROR(VLOOKUP($C57,[24]REKAP!$B$9:$D$200,3,0),"")</f>
        <v/>
      </c>
      <c r="BS57" s="15" t="str">
        <f>IFERROR(VLOOKUP($C57,[24]REKAP!$B$9:$E$200,4,0),"")</f>
        <v/>
      </c>
      <c r="BT57" s="15" t="str">
        <f>IFERROR(VLOOKUP($C57,[24]REKAP!$B$9:$G$200,6,0),"")</f>
        <v/>
      </c>
      <c r="BU57" s="15" t="str">
        <f>IFERROR(VLOOKUP($C57,[25]REKAP!$B$9:$D$200,3,0),"")</f>
        <v/>
      </c>
      <c r="BV57" s="15" t="str">
        <f>IFERROR(VLOOKUP($C57,[25]REKAP!$B$9:$E$200,4,0),"")</f>
        <v/>
      </c>
      <c r="BW57" s="15" t="str">
        <f>IFERROR(VLOOKUP($C57,[25]REKAP!$B$9:$G$200,6,0),"")</f>
        <v/>
      </c>
      <c r="BX57" s="15" t="str">
        <f>IFERROR(VLOOKUP($C57,[26]REKAP!$B$9:$D$200,3,0),"")</f>
        <v/>
      </c>
      <c r="BY57" s="15" t="str">
        <f>IFERROR(VLOOKUP($C57,[26]REKAP!$B$9:$E$200,4,0),"")</f>
        <v/>
      </c>
      <c r="BZ57" s="15" t="str">
        <f>IFERROR(VLOOKUP($C57,[26]REKAP!$B$9:$G$200,6,0),"")</f>
        <v/>
      </c>
      <c r="CA57" s="15" t="str">
        <f>IFERROR(VLOOKUP($C57,[27]REKAP!$B$9:$D$200,3,0),"")</f>
        <v/>
      </c>
      <c r="CB57" s="15" t="str">
        <f>IFERROR(VLOOKUP($C57,[27]REKAP!$B$9:$E$200,4,0),"")</f>
        <v/>
      </c>
      <c r="CC57" s="15" t="str">
        <f>IFERROR(VLOOKUP($C57,[27]REKAP!$B$9:$G$200,6,0),"")</f>
        <v/>
      </c>
      <c r="CD57" s="15" t="str">
        <f>IFERROR(VLOOKUP($C57,[28]REKAP!$B$9:$D$200,3,0),"")</f>
        <v/>
      </c>
      <c r="CE57" s="15" t="str">
        <f>IFERROR(VLOOKUP($C57,[28]REKAP!$B$9:$E$200,4,0),"")</f>
        <v/>
      </c>
      <c r="CF57" s="15" t="str">
        <f>IFERROR(VLOOKUP($C57,[28]REKAP!$B$9:$G$200,6,0),"")</f>
        <v/>
      </c>
      <c r="CG57" s="15" t="str">
        <f>IFERROR(VLOOKUP($C57,[29]REKAP!$B$9:$D$200,3,0),"")</f>
        <v/>
      </c>
      <c r="CH57" s="15" t="str">
        <f>IFERROR(VLOOKUP($C57,[29]REKAP!$B$9:$E$200,4,0),"")</f>
        <v/>
      </c>
      <c r="CI57" s="15" t="str">
        <f>IFERROR(VLOOKUP($C57,[29]REKAP!$B$9:$G$200,6,0),"")</f>
        <v/>
      </c>
      <c r="CJ57" s="15" t="str">
        <f>IFERROR(VLOOKUP($C57,[30]REKAP!$B$9:$D$200,3,0),"")</f>
        <v/>
      </c>
      <c r="CK57" s="15" t="str">
        <f>IFERROR(VLOOKUP($C57,[30]REKAP!$B$9:$E$200,4,0),"")</f>
        <v/>
      </c>
      <c r="CL57" s="15" t="str">
        <f>IFERROR(VLOOKUP($C57,[30]REKAP!$B$9:$G$200,6,0),"")</f>
        <v/>
      </c>
      <c r="CM57" s="15" t="str">
        <f>IFERROR(VLOOKUP($C57,[31]REKAP!$B$9:$D$200,3,0),"")</f>
        <v/>
      </c>
      <c r="CN57" s="15" t="str">
        <f>IFERROR(VLOOKUP($C57,[31]REKAP!$B$9:$E$200,4,0),"")</f>
        <v/>
      </c>
      <c r="CO57" s="15" t="str">
        <f>IFERROR(VLOOKUP($C57,[31]REKAP!$B$9:$G$200,6,0),"")</f>
        <v/>
      </c>
      <c r="CP57" s="15" t="str">
        <f>IFERROR(VLOOKUP($C57,[32]REKAP!$B$9:$D$200,3,0),"")</f>
        <v/>
      </c>
      <c r="CQ57" s="15" t="str">
        <f>IFERROR(VLOOKUP($C57,[32]REKAP!$B$9:$E$200,4,0),"")</f>
        <v/>
      </c>
      <c r="CR57" s="15" t="str">
        <f>IFERROR(VLOOKUP($C57,[32]REKAP!$B$9:$G$200,6,0),"")</f>
        <v/>
      </c>
      <c r="CS57" s="15" t="str">
        <f>IFERROR(VLOOKUP($C57,[33]REKAP!$B$9:$D$200,3,0),"")</f>
        <v/>
      </c>
      <c r="CT57" s="15" t="str">
        <f>IFERROR(VLOOKUP($C57,[33]REKAP!$B$9:$E$200,4,0),"")</f>
        <v/>
      </c>
      <c r="CU57" s="15" t="str">
        <f>IFERROR(VLOOKUP($C57,[33]REKAP!$B$9:$G$200,6,0),"")</f>
        <v/>
      </c>
      <c r="CV57" s="15" t="str">
        <f>IFERROR(VLOOKUP($C57,[34]REKAP!$B$9:$D$200,3,0),"")</f>
        <v/>
      </c>
      <c r="CW57" s="15" t="str">
        <f>IFERROR(VLOOKUP($C57,[34]REKAP!$B$9:$E$200,4,0),"")</f>
        <v/>
      </c>
      <c r="CX57" s="15" t="str">
        <f>IFERROR(VLOOKUP($C57,[34]REKAP!$B$9:$G$200,6,0),"")</f>
        <v/>
      </c>
    </row>
    <row r="58" spans="3:102" x14ac:dyDescent="0.25">
      <c r="C58" s="7" t="s">
        <v>113</v>
      </c>
      <c r="D58" s="5" t="str">
        <f>IFERROR(VLOOKUP(C58,DBASE!$C$7:$D$207,2,0),"")</f>
        <v>BABALOON</v>
      </c>
      <c r="E58" s="15">
        <f t="shared" ref="E58:H72" si="3">SUMIF($J$8:$BP$8,E$8,$J58:$BP58)</f>
        <v>1</v>
      </c>
      <c r="F58" s="15">
        <f t="shared" si="3"/>
        <v>188000</v>
      </c>
      <c r="H58" s="15">
        <f t="shared" si="3"/>
        <v>3000</v>
      </c>
      <c r="J58" s="15" t="str">
        <f>IFERROR(VLOOKUP($C58,[4]REKAP!$B$9:$D$200,3,0),"")</f>
        <v/>
      </c>
      <c r="K58" s="15" t="str">
        <f>IFERROR(VLOOKUP($C58,[4]REKAP!$B$9:$E$200,4,0),"")</f>
        <v/>
      </c>
      <c r="L58" s="15" t="str">
        <f>IFERROR(VLOOKUP($C58,[4]REKAP!$B$9:$G$200,6,0),"")</f>
        <v/>
      </c>
      <c r="M58" s="15" t="str">
        <f>IFERROR(VLOOKUP($C58,[5]REKAP!$B$9:$D$200,3,0),"")</f>
        <v/>
      </c>
      <c r="N58" s="15" t="str">
        <f>IFERROR(VLOOKUP($C58,[5]REKAP!$B$9:$E$200,4,0),"")</f>
        <v/>
      </c>
      <c r="O58" s="15" t="str">
        <f>IFERROR(VLOOKUP($C58,[5]REKAP!$B$9:$G$200,6,0),"")</f>
        <v/>
      </c>
      <c r="P58" s="15" t="str">
        <f>IFERROR(VLOOKUP($C58,[6]REKAP!$B$9:$D$200,3,0),"")</f>
        <v/>
      </c>
      <c r="Q58" s="15" t="str">
        <f>IFERROR(VLOOKUP($C58,[6]REKAP!$B$9:$E$200,4,0),"")</f>
        <v/>
      </c>
      <c r="R58" s="15" t="str">
        <f>IFERROR(VLOOKUP($C58,[6]REKAP!$B$9:$G$200,6,0),"")</f>
        <v/>
      </c>
      <c r="S58" s="15" t="str">
        <f>IFERROR(VLOOKUP($C58,[7]REKAP!$B$9:$D$200,3,0),"")</f>
        <v/>
      </c>
      <c r="T58" s="15" t="str">
        <f>IFERROR(VLOOKUP($C58,[7]REKAP!$B$9:$E$200,4,0),"")</f>
        <v/>
      </c>
      <c r="U58" s="15" t="str">
        <f>IFERROR(VLOOKUP($C58,[7]REKAP!$B$9:$G$200,6,0),"")</f>
        <v/>
      </c>
      <c r="V58" s="15">
        <f>IFERROR(VLOOKUP($C58,[8]REKAP!$B$9:$D$200,3,0),"")</f>
        <v>0</v>
      </c>
      <c r="W58" s="15">
        <f>IFERROR(VLOOKUP($C58,[8]REKAP!$B$9:$E$200,4,0),"")</f>
        <v>0</v>
      </c>
      <c r="X58" s="15">
        <f>IFERROR(VLOOKUP($C58,[8]REKAP!$B$9:$G$200,6,0),"")</f>
        <v>0</v>
      </c>
      <c r="Y58" s="15">
        <f>IFERROR(VLOOKUP($C58,[9]REKAP!$B$9:$D$200,3,0),"")</f>
        <v>1</v>
      </c>
      <c r="Z58" s="15">
        <f>IFERROR(VLOOKUP($C58,[9]REKAP!$B$9:$E$200,4,0),"")</f>
        <v>188000</v>
      </c>
      <c r="AA58" s="15">
        <f>IFERROR(VLOOKUP($C58,[9]REKAP!$B$9:$G$200,6,0),"")</f>
        <v>3000</v>
      </c>
      <c r="AB58" s="15">
        <f>IFERROR(VLOOKUP($C58,[10]REKAP!$B$9:$D$200,3,0),"")</f>
        <v>0</v>
      </c>
      <c r="AC58" s="15">
        <f>IFERROR(VLOOKUP($C58,[10]REKAP!$B$9:$E$200,4,0),"")</f>
        <v>0</v>
      </c>
      <c r="AD58" s="15">
        <f>IFERROR(VLOOKUP($C58,[10]REKAP!$B$9:$G$200,6,0),"")</f>
        <v>0</v>
      </c>
      <c r="AE58" s="15">
        <f>IFERROR(VLOOKUP($C58,[11]REKAP!$B$9:$D$199,3,0),"")</f>
        <v>0</v>
      </c>
      <c r="AF58" s="15">
        <f>IFERROR(VLOOKUP($C58,[11]REKAP!$B$9:$E$199,4,0),"")</f>
        <v>0</v>
      </c>
      <c r="AG58" s="15">
        <f>IFERROR(VLOOKUP($C58,[11]REKAP!$B$9:$G$199,6,0),"")</f>
        <v>0</v>
      </c>
      <c r="AH58" s="15">
        <f>IFERROR(VLOOKUP($C58,[12]REKAP!$B$9:$D$200,3,0),"")</f>
        <v>0</v>
      </c>
      <c r="AI58" s="15">
        <f>IFERROR(VLOOKUP($C58,[12]REKAP!$B$9:$E$200,4,0),"")</f>
        <v>0</v>
      </c>
      <c r="AJ58" s="15">
        <f>IFERROR(VLOOKUP($C58,[12]REKAP!$B$9:$G$200,6,0),"")</f>
        <v>0</v>
      </c>
      <c r="AK58" s="15" t="str">
        <f>IFERROR(VLOOKUP($C58,[13]REKAP!$B$9:$D$200,3,0),"")</f>
        <v/>
      </c>
      <c r="AL58" s="15" t="str">
        <f>IFERROR(VLOOKUP($C58,[13]REKAP!$B$9:$E$200,4,0),"")</f>
        <v/>
      </c>
      <c r="AM58" s="15" t="str">
        <f>IFERROR(VLOOKUP($C58,[13]REKAP!$B$9:$G$200,6,0),"")</f>
        <v/>
      </c>
      <c r="AN58" s="15" t="str">
        <f>IFERROR(VLOOKUP($C58,[14]REKAP!$B$9:$D$200,3,0),"")</f>
        <v/>
      </c>
      <c r="AO58" s="15" t="str">
        <f>IFERROR(VLOOKUP($C58,[14]REKAP!$B$9:$E$200,4,0),"")</f>
        <v/>
      </c>
      <c r="AP58" s="15" t="str">
        <f>IFERROR(VLOOKUP($C58,[14]REKAP!$B$9:$G$200,6,0),"")</f>
        <v/>
      </c>
      <c r="AQ58" s="15" t="str">
        <f>IFERROR(VLOOKUP($C58,[15]REKAP!$B$9:$D$200,3,0),"")</f>
        <v/>
      </c>
      <c r="AR58" s="15" t="str">
        <f>IFERROR(VLOOKUP($C58,[15]REKAP!$B$9:$E$200,4,0),"")</f>
        <v/>
      </c>
      <c r="AS58" s="15" t="str">
        <f>IFERROR(VLOOKUP($C58,[15]REKAP!$B$9:$G$200,6,0),"")</f>
        <v/>
      </c>
      <c r="AT58" s="15" t="str">
        <f>IFERROR(VLOOKUP($C58,[16]REKAP!$B$9:$D$200,3,0),"")</f>
        <v/>
      </c>
      <c r="AU58" s="15" t="str">
        <f>IFERROR(VLOOKUP($C58,[16]REKAP!$B$9:$E$200,4,0),"")</f>
        <v/>
      </c>
      <c r="AV58" s="15" t="str">
        <f>IFERROR(VLOOKUP($C58,[16]REKAP!$B$9:$G$200,6,0),"")</f>
        <v/>
      </c>
      <c r="AW58" s="15" t="str">
        <f>IFERROR(VLOOKUP($C58,[17]REKAP!$B$9:$D$200,3,0),"")</f>
        <v/>
      </c>
      <c r="AX58" s="15" t="str">
        <f>IFERROR(VLOOKUP($C58,[17]REKAP!$B$9:$E$200,4,0),"")</f>
        <v/>
      </c>
      <c r="AY58" s="15" t="str">
        <f>IFERROR(VLOOKUP($C58,[17]REKAP!$B$9:$G$200,6,0),"")</f>
        <v/>
      </c>
      <c r="AZ58" s="15" t="str">
        <f>IFERROR(VLOOKUP($C58,[18]REKAP!$B$9:$D$200,3,0),"")</f>
        <v/>
      </c>
      <c r="BA58" s="15" t="str">
        <f>IFERROR(VLOOKUP($C58,[18]REKAP!$B$9:$E$200,4,0),"")</f>
        <v/>
      </c>
      <c r="BB58" s="15" t="str">
        <f>IFERROR(VLOOKUP($C58,[18]REKAP!$B$9:$G$200,6,0),"")</f>
        <v/>
      </c>
      <c r="BC58" s="15" t="str">
        <f>IFERROR(VLOOKUP($C58,[19]REKAP!$B$9:$D$200,3,0),"")</f>
        <v/>
      </c>
      <c r="BD58" s="15" t="str">
        <f>IFERROR(VLOOKUP($C58,[19]REKAP!$B$9:$E$200,4,0),"")</f>
        <v/>
      </c>
      <c r="BE58" s="15" t="str">
        <f>IFERROR(VLOOKUP($C58,[19]REKAP!$B$9:$G$200,6,0),"")</f>
        <v/>
      </c>
      <c r="BF58" s="15" t="str">
        <f>IFERROR(VLOOKUP($C58,[20]REKAP!$B$9:$D$200,3,0),"")</f>
        <v/>
      </c>
      <c r="BG58" s="15" t="str">
        <f>IFERROR(VLOOKUP($C58,[20]REKAP!$B$9:$E$200,4,0),"")</f>
        <v/>
      </c>
      <c r="BH58" s="15" t="str">
        <f>IFERROR(VLOOKUP($C58,[20]REKAP!$B$9:$G$200,6,0),"")</f>
        <v/>
      </c>
      <c r="BI58" s="15" t="str">
        <f>IFERROR(VLOOKUP($C58,[21]REKAP!$B$9:$D$200,3,0),"")</f>
        <v/>
      </c>
      <c r="BJ58" s="15" t="str">
        <f>IFERROR(VLOOKUP($C58,[21]REKAP!$B$9:$E$200,4,0),"")</f>
        <v/>
      </c>
      <c r="BK58" s="15" t="str">
        <f>IFERROR(VLOOKUP($C58,[21]REKAP!$B$9:$G$200,6,0),"")</f>
        <v/>
      </c>
      <c r="BL58" s="15" t="str">
        <f>IFERROR(VLOOKUP($C58,[22]REKAP!$B$9:$D$200,3,0),"")</f>
        <v/>
      </c>
      <c r="BM58" s="15" t="str">
        <f>IFERROR(VLOOKUP($C58,[22]REKAP!$B$9:$E$200,4,0),"")</f>
        <v/>
      </c>
      <c r="BN58" s="15" t="str">
        <f>IFERROR(VLOOKUP($C58,[22]REKAP!$B$9:$G$200,6,0),"")</f>
        <v/>
      </c>
      <c r="BO58" s="15" t="str">
        <f>IFERROR(VLOOKUP($C58,[23]REKAP!$B$9:$D$200,3,0),"")</f>
        <v/>
      </c>
      <c r="BP58" s="15" t="str">
        <f>IFERROR(VLOOKUP($C58,[23]REKAP!$B$9:$E$200,4,0),"")</f>
        <v/>
      </c>
      <c r="BQ58" s="15" t="str">
        <f>IFERROR(VLOOKUP($C58,[23]REKAP!$B$9:$G$200,6,0),"")</f>
        <v/>
      </c>
      <c r="BR58" s="15" t="str">
        <f>IFERROR(VLOOKUP($C58,[24]REKAP!$B$9:$D$200,3,0),"")</f>
        <v/>
      </c>
      <c r="BS58" s="15" t="str">
        <f>IFERROR(VLOOKUP($C58,[24]REKAP!$B$9:$E$200,4,0),"")</f>
        <v/>
      </c>
      <c r="BT58" s="15" t="str">
        <f>IFERROR(VLOOKUP($C58,[24]REKAP!$B$9:$G$200,6,0),"")</f>
        <v/>
      </c>
      <c r="BU58" s="15" t="str">
        <f>IFERROR(VLOOKUP($C58,[25]REKAP!$B$9:$D$200,3,0),"")</f>
        <v/>
      </c>
      <c r="BV58" s="15" t="str">
        <f>IFERROR(VLOOKUP($C58,[25]REKAP!$B$9:$E$200,4,0),"")</f>
        <v/>
      </c>
      <c r="BW58" s="15" t="str">
        <f>IFERROR(VLOOKUP($C58,[25]REKAP!$B$9:$G$200,6,0),"")</f>
        <v/>
      </c>
      <c r="BX58" s="15" t="str">
        <f>IFERROR(VLOOKUP($C58,[26]REKAP!$B$9:$D$200,3,0),"")</f>
        <v/>
      </c>
      <c r="BY58" s="15" t="str">
        <f>IFERROR(VLOOKUP($C58,[26]REKAP!$B$9:$E$200,4,0),"")</f>
        <v/>
      </c>
      <c r="BZ58" s="15" t="str">
        <f>IFERROR(VLOOKUP($C58,[26]REKAP!$B$9:$G$200,6,0),"")</f>
        <v/>
      </c>
      <c r="CA58" s="15" t="str">
        <f>IFERROR(VLOOKUP($C58,[27]REKAP!$B$9:$D$200,3,0),"")</f>
        <v/>
      </c>
      <c r="CB58" s="15" t="str">
        <f>IFERROR(VLOOKUP($C58,[27]REKAP!$B$9:$E$200,4,0),"")</f>
        <v/>
      </c>
      <c r="CC58" s="15" t="str">
        <f>IFERROR(VLOOKUP($C58,[27]REKAP!$B$9:$G$200,6,0),"")</f>
        <v/>
      </c>
      <c r="CD58" s="15" t="str">
        <f>IFERROR(VLOOKUP($C58,[28]REKAP!$B$9:$D$200,3,0),"")</f>
        <v/>
      </c>
      <c r="CE58" s="15" t="str">
        <f>IFERROR(VLOOKUP($C58,[28]REKAP!$B$9:$E$200,4,0),"")</f>
        <v/>
      </c>
      <c r="CF58" s="15" t="str">
        <f>IFERROR(VLOOKUP($C58,[28]REKAP!$B$9:$G$200,6,0),"")</f>
        <v/>
      </c>
      <c r="CG58" s="15" t="str">
        <f>IFERROR(VLOOKUP($C58,[29]REKAP!$B$9:$D$200,3,0),"")</f>
        <v/>
      </c>
      <c r="CH58" s="15" t="str">
        <f>IFERROR(VLOOKUP($C58,[29]REKAP!$B$9:$E$200,4,0),"")</f>
        <v/>
      </c>
      <c r="CI58" s="15" t="str">
        <f>IFERROR(VLOOKUP($C58,[29]REKAP!$B$9:$G$200,6,0),"")</f>
        <v/>
      </c>
      <c r="CJ58" s="15" t="str">
        <f>IFERROR(VLOOKUP($C58,[30]REKAP!$B$9:$D$200,3,0),"")</f>
        <v/>
      </c>
      <c r="CK58" s="15" t="str">
        <f>IFERROR(VLOOKUP($C58,[30]REKAP!$B$9:$E$200,4,0),"")</f>
        <v/>
      </c>
      <c r="CL58" s="15" t="str">
        <f>IFERROR(VLOOKUP($C58,[30]REKAP!$B$9:$G$200,6,0),"")</f>
        <v/>
      </c>
      <c r="CM58" s="15" t="str">
        <f>IFERROR(VLOOKUP($C58,[31]REKAP!$B$9:$D$200,3,0),"")</f>
        <v/>
      </c>
      <c r="CN58" s="15" t="str">
        <f>IFERROR(VLOOKUP($C58,[31]REKAP!$B$9:$E$200,4,0),"")</f>
        <v/>
      </c>
      <c r="CO58" s="15" t="str">
        <f>IFERROR(VLOOKUP($C58,[31]REKAP!$B$9:$G$200,6,0),"")</f>
        <v/>
      </c>
      <c r="CP58" s="15" t="str">
        <f>IFERROR(VLOOKUP($C58,[32]REKAP!$B$9:$D$200,3,0),"")</f>
        <v/>
      </c>
      <c r="CQ58" s="15" t="str">
        <f>IFERROR(VLOOKUP($C58,[32]REKAP!$B$9:$E$200,4,0),"")</f>
        <v/>
      </c>
      <c r="CR58" s="15" t="str">
        <f>IFERROR(VLOOKUP($C58,[32]REKAP!$B$9:$G$200,6,0),"")</f>
        <v/>
      </c>
      <c r="CS58" s="15" t="str">
        <f>IFERROR(VLOOKUP($C58,[33]REKAP!$B$9:$D$200,3,0),"")</f>
        <v/>
      </c>
      <c r="CT58" s="15" t="str">
        <f>IFERROR(VLOOKUP($C58,[33]REKAP!$B$9:$E$200,4,0),"")</f>
        <v/>
      </c>
      <c r="CU58" s="15" t="str">
        <f>IFERROR(VLOOKUP($C58,[33]REKAP!$B$9:$G$200,6,0),"")</f>
        <v/>
      </c>
      <c r="CV58" s="15" t="str">
        <f>IFERROR(VLOOKUP($C58,[34]REKAP!$B$9:$D$200,3,0),"")</f>
        <v/>
      </c>
      <c r="CW58" s="15" t="str">
        <f>IFERROR(VLOOKUP($C58,[34]REKAP!$B$9:$E$200,4,0),"")</f>
        <v/>
      </c>
      <c r="CX58" s="15" t="str">
        <f>IFERROR(VLOOKUP($C58,[34]REKAP!$B$9:$G$200,6,0),"")</f>
        <v/>
      </c>
    </row>
    <row r="59" spans="3:102" x14ac:dyDescent="0.25">
      <c r="C59" s="7" t="s">
        <v>108</v>
      </c>
      <c r="D59" s="5" t="str">
        <f>IFERROR(VLOOKUP(C59,DBASE!$C$7:$D$207,2,0),"")</f>
        <v>MAGNUS</v>
      </c>
      <c r="E59" s="15">
        <f t="shared" si="3"/>
        <v>5</v>
      </c>
      <c r="F59" s="15">
        <f t="shared" si="3"/>
        <v>122500</v>
      </c>
      <c r="H59" s="15">
        <f t="shared" si="3"/>
        <v>6250</v>
      </c>
      <c r="J59" s="15" t="str">
        <f>IFERROR(VLOOKUP($C59,[4]REKAP!$B$9:$D$200,3,0),"")</f>
        <v/>
      </c>
      <c r="K59" s="15" t="str">
        <f>IFERROR(VLOOKUP($C59,[4]REKAP!$B$9:$E$200,4,0),"")</f>
        <v/>
      </c>
      <c r="L59" s="15" t="str">
        <f>IFERROR(VLOOKUP($C59,[4]REKAP!$B$9:$G$200,6,0),"")</f>
        <v/>
      </c>
      <c r="M59" s="15" t="str">
        <f>IFERROR(VLOOKUP($C59,[5]REKAP!$B$9:$D$200,3,0),"")</f>
        <v/>
      </c>
      <c r="N59" s="15" t="str">
        <f>IFERROR(VLOOKUP($C59,[5]REKAP!$B$9:$E$200,4,0),"")</f>
        <v/>
      </c>
      <c r="O59" s="15" t="str">
        <f>IFERROR(VLOOKUP($C59,[5]REKAP!$B$9:$G$200,6,0),"")</f>
        <v/>
      </c>
      <c r="P59" s="15" t="str">
        <f>IFERROR(VLOOKUP($C59,[6]REKAP!$B$9:$D$200,3,0),"")</f>
        <v/>
      </c>
      <c r="Q59" s="15" t="str">
        <f>IFERROR(VLOOKUP($C59,[6]REKAP!$B$9:$E$200,4,0),"")</f>
        <v/>
      </c>
      <c r="R59" s="15" t="str">
        <f>IFERROR(VLOOKUP($C59,[6]REKAP!$B$9:$G$200,6,0),"")</f>
        <v/>
      </c>
      <c r="S59" s="15" t="str">
        <f>IFERROR(VLOOKUP($C59,[7]REKAP!$B$9:$D$200,3,0),"")</f>
        <v/>
      </c>
      <c r="T59" s="15" t="str">
        <f>IFERROR(VLOOKUP($C59,[7]REKAP!$B$9:$E$200,4,0),"")</f>
        <v/>
      </c>
      <c r="U59" s="15" t="str">
        <f>IFERROR(VLOOKUP($C59,[7]REKAP!$B$9:$G$200,6,0),"")</f>
        <v/>
      </c>
      <c r="V59" s="15">
        <f>IFERROR(VLOOKUP($C59,[8]REKAP!$B$9:$D$200,3,0),"")</f>
        <v>0</v>
      </c>
      <c r="W59" s="15">
        <f>IFERROR(VLOOKUP($C59,[8]REKAP!$B$9:$E$200,4,0),"")</f>
        <v>0</v>
      </c>
      <c r="X59" s="15">
        <f>IFERROR(VLOOKUP($C59,[8]REKAP!$B$9:$G$200,6,0),"")</f>
        <v>0</v>
      </c>
      <c r="Y59" s="15">
        <f>IFERROR(VLOOKUP($C59,[9]REKAP!$B$9:$D$200,3,0),"")</f>
        <v>5</v>
      </c>
      <c r="Z59" s="15">
        <f>IFERROR(VLOOKUP($C59,[9]REKAP!$B$9:$E$200,4,0),"")</f>
        <v>122500</v>
      </c>
      <c r="AA59" s="15">
        <f>IFERROR(VLOOKUP($C59,[9]REKAP!$B$9:$G$200,6,0),"")</f>
        <v>6250</v>
      </c>
      <c r="AB59" s="15">
        <f>IFERROR(VLOOKUP($C59,[10]REKAP!$B$9:$D$200,3,0),"")</f>
        <v>0</v>
      </c>
      <c r="AC59" s="15">
        <f>IFERROR(VLOOKUP($C59,[10]REKAP!$B$9:$E$200,4,0),"")</f>
        <v>0</v>
      </c>
      <c r="AD59" s="15">
        <f>IFERROR(VLOOKUP($C59,[10]REKAP!$B$9:$G$200,6,0),"")</f>
        <v>0</v>
      </c>
      <c r="AE59" s="15">
        <f>IFERROR(VLOOKUP($C59,[11]REKAP!$B$9:$D$199,3,0),"")</f>
        <v>0</v>
      </c>
      <c r="AF59" s="15">
        <f>IFERROR(VLOOKUP($C59,[11]REKAP!$B$9:$E$199,4,0),"")</f>
        <v>0</v>
      </c>
      <c r="AG59" s="15">
        <f>IFERROR(VLOOKUP($C59,[11]REKAP!$B$9:$G$199,6,0),"")</f>
        <v>0</v>
      </c>
      <c r="AH59" s="15">
        <f>IFERROR(VLOOKUP($C59,[12]REKAP!$B$9:$D$200,3,0),"")</f>
        <v>0</v>
      </c>
      <c r="AI59" s="15">
        <f>IFERROR(VLOOKUP($C59,[12]REKAP!$B$9:$E$200,4,0),"")</f>
        <v>0</v>
      </c>
      <c r="AJ59" s="15">
        <f>IFERROR(VLOOKUP($C59,[12]REKAP!$B$9:$G$200,6,0),"")</f>
        <v>0</v>
      </c>
      <c r="AK59" s="15" t="str">
        <f>IFERROR(VLOOKUP($C59,[13]REKAP!$B$9:$D$200,3,0),"")</f>
        <v/>
      </c>
      <c r="AL59" s="15" t="str">
        <f>IFERROR(VLOOKUP($C59,[13]REKAP!$B$9:$E$200,4,0),"")</f>
        <v/>
      </c>
      <c r="AM59" s="15" t="str">
        <f>IFERROR(VLOOKUP($C59,[13]REKAP!$B$9:$G$200,6,0),"")</f>
        <v/>
      </c>
      <c r="AN59" s="15" t="str">
        <f>IFERROR(VLOOKUP($C59,[14]REKAP!$B$9:$D$200,3,0),"")</f>
        <v/>
      </c>
      <c r="AO59" s="15" t="str">
        <f>IFERROR(VLOOKUP($C59,[14]REKAP!$B$9:$E$200,4,0),"")</f>
        <v/>
      </c>
      <c r="AP59" s="15" t="str">
        <f>IFERROR(VLOOKUP($C59,[14]REKAP!$B$9:$G$200,6,0),"")</f>
        <v/>
      </c>
      <c r="AQ59" s="15" t="str">
        <f>IFERROR(VLOOKUP($C59,[15]REKAP!$B$9:$D$200,3,0),"")</f>
        <v/>
      </c>
      <c r="AR59" s="15" t="str">
        <f>IFERROR(VLOOKUP($C59,[15]REKAP!$B$9:$E$200,4,0),"")</f>
        <v/>
      </c>
      <c r="AS59" s="15" t="str">
        <f>IFERROR(VLOOKUP($C59,[15]REKAP!$B$9:$G$200,6,0),"")</f>
        <v/>
      </c>
      <c r="AT59" s="15" t="str">
        <f>IFERROR(VLOOKUP($C59,[16]REKAP!$B$9:$D$200,3,0),"")</f>
        <v/>
      </c>
      <c r="AU59" s="15" t="str">
        <f>IFERROR(VLOOKUP($C59,[16]REKAP!$B$9:$E$200,4,0),"")</f>
        <v/>
      </c>
      <c r="AV59" s="15" t="str">
        <f>IFERROR(VLOOKUP($C59,[16]REKAP!$B$9:$G$200,6,0),"")</f>
        <v/>
      </c>
      <c r="AW59" s="15" t="str">
        <f>IFERROR(VLOOKUP($C59,[17]REKAP!$B$9:$D$200,3,0),"")</f>
        <v/>
      </c>
      <c r="AX59" s="15" t="str">
        <f>IFERROR(VLOOKUP($C59,[17]REKAP!$B$9:$E$200,4,0),"")</f>
        <v/>
      </c>
      <c r="AY59" s="15" t="str">
        <f>IFERROR(VLOOKUP($C59,[17]REKAP!$B$9:$G$200,6,0),"")</f>
        <v/>
      </c>
      <c r="AZ59" s="15" t="str">
        <f>IFERROR(VLOOKUP($C59,[18]REKAP!$B$9:$D$200,3,0),"")</f>
        <v/>
      </c>
      <c r="BA59" s="15" t="str">
        <f>IFERROR(VLOOKUP($C59,[18]REKAP!$B$9:$E$200,4,0),"")</f>
        <v/>
      </c>
      <c r="BB59" s="15" t="str">
        <f>IFERROR(VLOOKUP($C59,[18]REKAP!$B$9:$G$200,6,0),"")</f>
        <v/>
      </c>
      <c r="BC59" s="15" t="str">
        <f>IFERROR(VLOOKUP($C59,[19]REKAP!$B$9:$D$200,3,0),"")</f>
        <v/>
      </c>
      <c r="BD59" s="15" t="str">
        <f>IFERROR(VLOOKUP($C59,[19]REKAP!$B$9:$E$200,4,0),"")</f>
        <v/>
      </c>
      <c r="BE59" s="15" t="str">
        <f>IFERROR(VLOOKUP($C59,[19]REKAP!$B$9:$G$200,6,0),"")</f>
        <v/>
      </c>
      <c r="BF59" s="15" t="str">
        <f>IFERROR(VLOOKUP($C59,[20]REKAP!$B$9:$D$200,3,0),"")</f>
        <v/>
      </c>
      <c r="BG59" s="15" t="str">
        <f>IFERROR(VLOOKUP($C59,[20]REKAP!$B$9:$E$200,4,0),"")</f>
        <v/>
      </c>
      <c r="BH59" s="15" t="str">
        <f>IFERROR(VLOOKUP($C59,[20]REKAP!$B$9:$G$200,6,0),"")</f>
        <v/>
      </c>
      <c r="BI59" s="15" t="str">
        <f>IFERROR(VLOOKUP($C59,[21]REKAP!$B$9:$D$200,3,0),"")</f>
        <v/>
      </c>
      <c r="BJ59" s="15" t="str">
        <f>IFERROR(VLOOKUP($C59,[21]REKAP!$B$9:$E$200,4,0),"")</f>
        <v/>
      </c>
      <c r="BK59" s="15" t="str">
        <f>IFERROR(VLOOKUP($C59,[21]REKAP!$B$9:$G$200,6,0),"")</f>
        <v/>
      </c>
      <c r="BL59" s="15" t="str">
        <f>IFERROR(VLOOKUP($C59,[22]REKAP!$B$9:$D$200,3,0),"")</f>
        <v/>
      </c>
      <c r="BM59" s="15" t="str">
        <f>IFERROR(VLOOKUP($C59,[22]REKAP!$B$9:$E$200,4,0),"")</f>
        <v/>
      </c>
      <c r="BN59" s="15" t="str">
        <f>IFERROR(VLOOKUP($C59,[22]REKAP!$B$9:$G$200,6,0),"")</f>
        <v/>
      </c>
      <c r="BO59" s="15" t="str">
        <f>IFERROR(VLOOKUP($C59,[23]REKAP!$B$9:$D$200,3,0),"")</f>
        <v/>
      </c>
      <c r="BP59" s="15" t="str">
        <f>IFERROR(VLOOKUP($C59,[23]REKAP!$B$9:$E$200,4,0),"")</f>
        <v/>
      </c>
      <c r="BQ59" s="15" t="str">
        <f>IFERROR(VLOOKUP($C59,[23]REKAP!$B$9:$G$200,6,0),"")</f>
        <v/>
      </c>
      <c r="BR59" s="15" t="str">
        <f>IFERROR(VLOOKUP($C59,[24]REKAP!$B$9:$D$200,3,0),"")</f>
        <v/>
      </c>
      <c r="BS59" s="15" t="str">
        <f>IFERROR(VLOOKUP($C59,[24]REKAP!$B$9:$E$200,4,0),"")</f>
        <v/>
      </c>
      <c r="BT59" s="15" t="str">
        <f>IFERROR(VLOOKUP($C59,[24]REKAP!$B$9:$G$200,6,0),"")</f>
        <v/>
      </c>
      <c r="BU59" s="15" t="str">
        <f>IFERROR(VLOOKUP($C59,[25]REKAP!$B$9:$D$200,3,0),"")</f>
        <v/>
      </c>
      <c r="BV59" s="15" t="str">
        <f>IFERROR(VLOOKUP($C59,[25]REKAP!$B$9:$E$200,4,0),"")</f>
        <v/>
      </c>
      <c r="BW59" s="15" t="str">
        <f>IFERROR(VLOOKUP($C59,[25]REKAP!$B$9:$G$200,6,0),"")</f>
        <v/>
      </c>
      <c r="BX59" s="15" t="str">
        <f>IFERROR(VLOOKUP($C59,[26]REKAP!$B$9:$D$200,3,0),"")</f>
        <v/>
      </c>
      <c r="BY59" s="15" t="str">
        <f>IFERROR(VLOOKUP($C59,[26]REKAP!$B$9:$E$200,4,0),"")</f>
        <v/>
      </c>
      <c r="BZ59" s="15" t="str">
        <f>IFERROR(VLOOKUP($C59,[26]REKAP!$B$9:$G$200,6,0),"")</f>
        <v/>
      </c>
      <c r="CA59" s="15" t="str">
        <f>IFERROR(VLOOKUP($C59,[27]REKAP!$B$9:$D$200,3,0),"")</f>
        <v/>
      </c>
      <c r="CB59" s="15" t="str">
        <f>IFERROR(VLOOKUP($C59,[27]REKAP!$B$9:$E$200,4,0),"")</f>
        <v/>
      </c>
      <c r="CC59" s="15" t="str">
        <f>IFERROR(VLOOKUP($C59,[27]REKAP!$B$9:$G$200,6,0),"")</f>
        <v/>
      </c>
      <c r="CD59" s="15" t="str">
        <f>IFERROR(VLOOKUP($C59,[28]REKAP!$B$9:$D$200,3,0),"")</f>
        <v/>
      </c>
      <c r="CE59" s="15" t="str">
        <f>IFERROR(VLOOKUP($C59,[28]REKAP!$B$9:$E$200,4,0),"")</f>
        <v/>
      </c>
      <c r="CF59" s="15" t="str">
        <f>IFERROR(VLOOKUP($C59,[28]REKAP!$B$9:$G$200,6,0),"")</f>
        <v/>
      </c>
      <c r="CG59" s="15" t="str">
        <f>IFERROR(VLOOKUP($C59,[29]REKAP!$B$9:$D$200,3,0),"")</f>
        <v/>
      </c>
      <c r="CH59" s="15" t="str">
        <f>IFERROR(VLOOKUP($C59,[29]REKAP!$B$9:$E$200,4,0),"")</f>
        <v/>
      </c>
      <c r="CI59" s="15" t="str">
        <f>IFERROR(VLOOKUP($C59,[29]REKAP!$B$9:$G$200,6,0),"")</f>
        <v/>
      </c>
      <c r="CJ59" s="15" t="str">
        <f>IFERROR(VLOOKUP($C59,[30]REKAP!$B$9:$D$200,3,0),"")</f>
        <v/>
      </c>
      <c r="CK59" s="15" t="str">
        <f>IFERROR(VLOOKUP($C59,[30]REKAP!$B$9:$E$200,4,0),"")</f>
        <v/>
      </c>
      <c r="CL59" s="15" t="str">
        <f>IFERROR(VLOOKUP($C59,[30]REKAP!$B$9:$G$200,6,0),"")</f>
        <v/>
      </c>
      <c r="CM59" s="15" t="str">
        <f>IFERROR(VLOOKUP($C59,[31]REKAP!$B$9:$D$200,3,0),"")</f>
        <v/>
      </c>
      <c r="CN59" s="15" t="str">
        <f>IFERROR(VLOOKUP($C59,[31]REKAP!$B$9:$E$200,4,0),"")</f>
        <v/>
      </c>
      <c r="CO59" s="15" t="str">
        <f>IFERROR(VLOOKUP($C59,[31]REKAP!$B$9:$G$200,6,0),"")</f>
        <v/>
      </c>
      <c r="CP59" s="15" t="str">
        <f>IFERROR(VLOOKUP($C59,[32]REKAP!$B$9:$D$200,3,0),"")</f>
        <v/>
      </c>
      <c r="CQ59" s="15" t="str">
        <f>IFERROR(VLOOKUP($C59,[32]REKAP!$B$9:$E$200,4,0),"")</f>
        <v/>
      </c>
      <c r="CR59" s="15" t="str">
        <f>IFERROR(VLOOKUP($C59,[32]REKAP!$B$9:$G$200,6,0),"")</f>
        <v/>
      </c>
      <c r="CS59" s="15" t="str">
        <f>IFERROR(VLOOKUP($C59,[33]REKAP!$B$9:$D$200,3,0),"")</f>
        <v/>
      </c>
      <c r="CT59" s="15" t="str">
        <f>IFERROR(VLOOKUP($C59,[33]REKAP!$B$9:$E$200,4,0),"")</f>
        <v/>
      </c>
      <c r="CU59" s="15" t="str">
        <f>IFERROR(VLOOKUP($C59,[33]REKAP!$B$9:$G$200,6,0),"")</f>
        <v/>
      </c>
      <c r="CV59" s="15" t="str">
        <f>IFERROR(VLOOKUP($C59,[34]REKAP!$B$9:$D$200,3,0),"")</f>
        <v/>
      </c>
      <c r="CW59" s="15" t="str">
        <f>IFERROR(VLOOKUP($C59,[34]REKAP!$B$9:$E$200,4,0),"")</f>
        <v/>
      </c>
      <c r="CX59" s="15" t="str">
        <f>IFERROR(VLOOKUP($C59,[34]REKAP!$B$9:$G$200,6,0),"")</f>
        <v/>
      </c>
    </row>
    <row r="60" spans="3:102" x14ac:dyDescent="0.25">
      <c r="C60" s="7" t="s">
        <v>114</v>
      </c>
      <c r="D60" s="5" t="str">
        <f>IFERROR(VLOOKUP(C60,DBASE!$C$7:$D$207,2,0),"")</f>
        <v>KUACI REBO</v>
      </c>
      <c r="E60" s="15">
        <f t="shared" si="3"/>
        <v>10</v>
      </c>
      <c r="F60" s="15">
        <f t="shared" si="3"/>
        <v>761420</v>
      </c>
      <c r="H60" s="15">
        <f t="shared" si="3"/>
        <v>11420</v>
      </c>
      <c r="J60" s="15" t="str">
        <f>IFERROR(VLOOKUP($C60,[4]REKAP!$B$9:$D$200,3,0),"")</f>
        <v/>
      </c>
      <c r="K60" s="15" t="str">
        <f>IFERROR(VLOOKUP($C60,[4]REKAP!$B$9:$E$200,4,0),"")</f>
        <v/>
      </c>
      <c r="L60" s="15" t="str">
        <f>IFERROR(VLOOKUP($C60,[4]REKAP!$B$9:$G$200,6,0),"")</f>
        <v/>
      </c>
      <c r="M60" s="15" t="str">
        <f>IFERROR(VLOOKUP($C60,[5]REKAP!$B$9:$D$200,3,0),"")</f>
        <v/>
      </c>
      <c r="N60" s="15" t="str">
        <f>IFERROR(VLOOKUP($C60,[5]REKAP!$B$9:$E$200,4,0),"")</f>
        <v/>
      </c>
      <c r="O60" s="15" t="str">
        <f>IFERROR(VLOOKUP($C60,[5]REKAP!$B$9:$G$200,6,0),"")</f>
        <v/>
      </c>
      <c r="P60" s="15" t="str">
        <f>IFERROR(VLOOKUP($C60,[6]REKAP!$B$9:$D$200,3,0),"")</f>
        <v/>
      </c>
      <c r="Q60" s="15" t="str">
        <f>IFERROR(VLOOKUP($C60,[6]REKAP!$B$9:$E$200,4,0),"")</f>
        <v/>
      </c>
      <c r="R60" s="15" t="str">
        <f>IFERROR(VLOOKUP($C60,[6]REKAP!$B$9:$G$200,6,0),"")</f>
        <v/>
      </c>
      <c r="S60" s="15" t="str">
        <f>IFERROR(VLOOKUP($C60,[7]REKAP!$B$9:$D$200,3,0),"")</f>
        <v/>
      </c>
      <c r="T60" s="15" t="str">
        <f>IFERROR(VLOOKUP($C60,[7]REKAP!$B$9:$E$200,4,0),"")</f>
        <v/>
      </c>
      <c r="U60" s="15" t="str">
        <f>IFERROR(VLOOKUP($C60,[7]REKAP!$B$9:$G$200,6,0),"")</f>
        <v/>
      </c>
      <c r="V60" s="15">
        <f>IFERROR(VLOOKUP($C60,[8]REKAP!$B$9:$D$200,3,0),"")</f>
        <v>0</v>
      </c>
      <c r="W60" s="15">
        <f>IFERROR(VLOOKUP($C60,[8]REKAP!$B$9:$E$200,4,0),"")</f>
        <v>0</v>
      </c>
      <c r="X60" s="15">
        <f>IFERROR(VLOOKUP($C60,[8]REKAP!$B$9:$G$200,6,0),"")</f>
        <v>0</v>
      </c>
      <c r="Y60" s="15">
        <f>IFERROR(VLOOKUP($C60,[9]REKAP!$B$9:$D$200,3,0),"")</f>
        <v>6</v>
      </c>
      <c r="Z60" s="15">
        <f>IFERROR(VLOOKUP($C60,[9]REKAP!$B$9:$E$200,4,0),"")</f>
        <v>456000</v>
      </c>
      <c r="AA60" s="15">
        <f>IFERROR(VLOOKUP($C60,[9]REKAP!$B$9:$G$200,6,0),"")</f>
        <v>6000</v>
      </c>
      <c r="AB60" s="15">
        <f>IFERROR(VLOOKUP($C60,[10]REKAP!$B$9:$D$200,3,0),"")</f>
        <v>1</v>
      </c>
      <c r="AC60" s="15">
        <f>IFERROR(VLOOKUP($C60,[10]REKAP!$B$9:$E$200,4,0),"")</f>
        <v>76000</v>
      </c>
      <c r="AD60" s="15">
        <f>IFERROR(VLOOKUP($C60,[10]REKAP!$B$9:$G$200,6,0),"")</f>
        <v>1000</v>
      </c>
      <c r="AE60" s="15">
        <f>IFERROR(VLOOKUP($C60,[11]REKAP!$B$9:$D$199,3,0),"")</f>
        <v>1</v>
      </c>
      <c r="AF60" s="15">
        <f>IFERROR(VLOOKUP($C60,[11]REKAP!$B$9:$E$199,4,0),"")</f>
        <v>76000</v>
      </c>
      <c r="AG60" s="15">
        <f>IFERROR(VLOOKUP($C60,[11]REKAP!$B$9:$G$199,6,0),"")</f>
        <v>1000</v>
      </c>
      <c r="AH60" s="15">
        <f>IFERROR(VLOOKUP($C60,[12]REKAP!$B$9:$D$200,3,0),"")</f>
        <v>2</v>
      </c>
      <c r="AI60" s="15">
        <f>IFERROR(VLOOKUP($C60,[12]REKAP!$B$9:$E$200,4,0),"")</f>
        <v>153420</v>
      </c>
      <c r="AJ60" s="15">
        <f>IFERROR(VLOOKUP($C60,[12]REKAP!$B$9:$G$200,6,0),"")</f>
        <v>3420</v>
      </c>
      <c r="AK60" s="15" t="str">
        <f>IFERROR(VLOOKUP($C60,[13]REKAP!$B$9:$D$200,3,0),"")</f>
        <v/>
      </c>
      <c r="AL60" s="15" t="str">
        <f>IFERROR(VLOOKUP($C60,[13]REKAP!$B$9:$E$200,4,0),"")</f>
        <v/>
      </c>
      <c r="AM60" s="15" t="str">
        <f>IFERROR(VLOOKUP($C60,[13]REKAP!$B$9:$G$200,6,0),"")</f>
        <v/>
      </c>
      <c r="AN60" s="15" t="str">
        <f>IFERROR(VLOOKUP($C60,[14]REKAP!$B$9:$D$200,3,0),"")</f>
        <v/>
      </c>
      <c r="AO60" s="15" t="str">
        <f>IFERROR(VLOOKUP($C60,[14]REKAP!$B$9:$E$200,4,0),"")</f>
        <v/>
      </c>
      <c r="AP60" s="15" t="str">
        <f>IFERROR(VLOOKUP($C60,[14]REKAP!$B$9:$G$200,6,0),"")</f>
        <v/>
      </c>
      <c r="AQ60" s="15" t="str">
        <f>IFERROR(VLOOKUP($C60,[15]REKAP!$B$9:$D$200,3,0),"")</f>
        <v/>
      </c>
      <c r="AR60" s="15" t="str">
        <f>IFERROR(VLOOKUP($C60,[15]REKAP!$B$9:$E$200,4,0),"")</f>
        <v/>
      </c>
      <c r="AS60" s="15" t="str">
        <f>IFERROR(VLOOKUP($C60,[15]REKAP!$B$9:$G$200,6,0),"")</f>
        <v/>
      </c>
      <c r="AT60" s="15" t="str">
        <f>IFERROR(VLOOKUP($C60,[16]REKAP!$B$9:$D$200,3,0),"")</f>
        <v/>
      </c>
      <c r="AU60" s="15" t="str">
        <f>IFERROR(VLOOKUP($C60,[16]REKAP!$B$9:$E$200,4,0),"")</f>
        <v/>
      </c>
      <c r="AV60" s="15" t="str">
        <f>IFERROR(VLOOKUP($C60,[16]REKAP!$B$9:$G$200,6,0),"")</f>
        <v/>
      </c>
      <c r="AW60" s="15" t="str">
        <f>IFERROR(VLOOKUP($C60,[17]REKAP!$B$9:$D$200,3,0),"")</f>
        <v/>
      </c>
      <c r="AX60" s="15" t="str">
        <f>IFERROR(VLOOKUP($C60,[17]REKAP!$B$9:$E$200,4,0),"")</f>
        <v/>
      </c>
      <c r="AY60" s="15" t="str">
        <f>IFERROR(VLOOKUP($C60,[17]REKAP!$B$9:$G$200,6,0),"")</f>
        <v/>
      </c>
      <c r="AZ60" s="15" t="str">
        <f>IFERROR(VLOOKUP($C60,[18]REKAP!$B$9:$D$200,3,0),"")</f>
        <v/>
      </c>
      <c r="BA60" s="15" t="str">
        <f>IFERROR(VLOOKUP($C60,[18]REKAP!$B$9:$E$200,4,0),"")</f>
        <v/>
      </c>
      <c r="BB60" s="15" t="str">
        <f>IFERROR(VLOOKUP($C60,[18]REKAP!$B$9:$G$200,6,0),"")</f>
        <v/>
      </c>
      <c r="BC60" s="15" t="str">
        <f>IFERROR(VLOOKUP($C60,[19]REKAP!$B$9:$D$200,3,0),"")</f>
        <v/>
      </c>
      <c r="BD60" s="15" t="str">
        <f>IFERROR(VLOOKUP($C60,[19]REKAP!$B$9:$E$200,4,0),"")</f>
        <v/>
      </c>
      <c r="BE60" s="15" t="str">
        <f>IFERROR(VLOOKUP($C60,[19]REKAP!$B$9:$G$200,6,0),"")</f>
        <v/>
      </c>
      <c r="BF60" s="15" t="str">
        <f>IFERROR(VLOOKUP($C60,[20]REKAP!$B$9:$D$200,3,0),"")</f>
        <v/>
      </c>
      <c r="BG60" s="15" t="str">
        <f>IFERROR(VLOOKUP($C60,[20]REKAP!$B$9:$E$200,4,0),"")</f>
        <v/>
      </c>
      <c r="BH60" s="15" t="str">
        <f>IFERROR(VLOOKUP($C60,[20]REKAP!$B$9:$G$200,6,0),"")</f>
        <v/>
      </c>
      <c r="BI60" s="15" t="str">
        <f>IFERROR(VLOOKUP($C60,[21]REKAP!$B$9:$D$200,3,0),"")</f>
        <v/>
      </c>
      <c r="BJ60" s="15" t="str">
        <f>IFERROR(VLOOKUP($C60,[21]REKAP!$B$9:$E$200,4,0),"")</f>
        <v/>
      </c>
      <c r="BK60" s="15" t="str">
        <f>IFERROR(VLOOKUP($C60,[21]REKAP!$B$9:$G$200,6,0),"")</f>
        <v/>
      </c>
      <c r="BL60" s="15" t="str">
        <f>IFERROR(VLOOKUP($C60,[22]REKAP!$B$9:$D$200,3,0),"")</f>
        <v/>
      </c>
      <c r="BM60" s="15" t="str">
        <f>IFERROR(VLOOKUP($C60,[22]REKAP!$B$9:$E$200,4,0),"")</f>
        <v/>
      </c>
      <c r="BN60" s="15" t="str">
        <f>IFERROR(VLOOKUP($C60,[22]REKAP!$B$9:$G$200,6,0),"")</f>
        <v/>
      </c>
      <c r="BO60" s="15" t="str">
        <f>IFERROR(VLOOKUP($C60,[23]REKAP!$B$9:$D$200,3,0),"")</f>
        <v/>
      </c>
      <c r="BP60" s="15" t="str">
        <f>IFERROR(VLOOKUP($C60,[23]REKAP!$B$9:$E$200,4,0),"")</f>
        <v/>
      </c>
      <c r="BQ60" s="15" t="str">
        <f>IFERROR(VLOOKUP($C60,[23]REKAP!$B$9:$G$200,6,0),"")</f>
        <v/>
      </c>
      <c r="BR60" s="15" t="str">
        <f>IFERROR(VLOOKUP($C60,[24]REKAP!$B$9:$D$200,3,0),"")</f>
        <v/>
      </c>
      <c r="BS60" s="15" t="str">
        <f>IFERROR(VLOOKUP($C60,[24]REKAP!$B$9:$E$200,4,0),"")</f>
        <v/>
      </c>
      <c r="BT60" s="15" t="str">
        <f>IFERROR(VLOOKUP($C60,[24]REKAP!$B$9:$G$200,6,0),"")</f>
        <v/>
      </c>
      <c r="BU60" s="15" t="str">
        <f>IFERROR(VLOOKUP($C60,[25]REKAP!$B$9:$D$200,3,0),"")</f>
        <v/>
      </c>
      <c r="BV60" s="15" t="str">
        <f>IFERROR(VLOOKUP($C60,[25]REKAP!$B$9:$E$200,4,0),"")</f>
        <v/>
      </c>
      <c r="BW60" s="15" t="str">
        <f>IFERROR(VLOOKUP($C60,[25]REKAP!$B$9:$G$200,6,0),"")</f>
        <v/>
      </c>
      <c r="BX60" s="15" t="str">
        <f>IFERROR(VLOOKUP($C60,[26]REKAP!$B$9:$D$200,3,0),"")</f>
        <v/>
      </c>
      <c r="BY60" s="15" t="str">
        <f>IFERROR(VLOOKUP($C60,[26]REKAP!$B$9:$E$200,4,0),"")</f>
        <v/>
      </c>
      <c r="BZ60" s="15" t="str">
        <f>IFERROR(VLOOKUP($C60,[26]REKAP!$B$9:$G$200,6,0),"")</f>
        <v/>
      </c>
      <c r="CA60" s="15" t="str">
        <f>IFERROR(VLOOKUP($C60,[27]REKAP!$B$9:$D$200,3,0),"")</f>
        <v/>
      </c>
      <c r="CB60" s="15" t="str">
        <f>IFERROR(VLOOKUP($C60,[27]REKAP!$B$9:$E$200,4,0),"")</f>
        <v/>
      </c>
      <c r="CC60" s="15" t="str">
        <f>IFERROR(VLOOKUP($C60,[27]REKAP!$B$9:$G$200,6,0),"")</f>
        <v/>
      </c>
      <c r="CD60" s="15" t="str">
        <f>IFERROR(VLOOKUP($C60,[28]REKAP!$B$9:$D$200,3,0),"")</f>
        <v/>
      </c>
      <c r="CE60" s="15" t="str">
        <f>IFERROR(VLOOKUP($C60,[28]REKAP!$B$9:$E$200,4,0),"")</f>
        <v/>
      </c>
      <c r="CF60" s="15" t="str">
        <f>IFERROR(VLOOKUP($C60,[28]REKAP!$B$9:$G$200,6,0),"")</f>
        <v/>
      </c>
      <c r="CG60" s="15" t="str">
        <f>IFERROR(VLOOKUP($C60,[29]REKAP!$B$9:$D$200,3,0),"")</f>
        <v/>
      </c>
      <c r="CH60" s="15" t="str">
        <f>IFERROR(VLOOKUP($C60,[29]REKAP!$B$9:$E$200,4,0),"")</f>
        <v/>
      </c>
      <c r="CI60" s="15" t="str">
        <f>IFERROR(VLOOKUP($C60,[29]REKAP!$B$9:$G$200,6,0),"")</f>
        <v/>
      </c>
      <c r="CJ60" s="15" t="str">
        <f>IFERROR(VLOOKUP($C60,[30]REKAP!$B$9:$D$200,3,0),"")</f>
        <v/>
      </c>
      <c r="CK60" s="15" t="str">
        <f>IFERROR(VLOOKUP($C60,[30]REKAP!$B$9:$E$200,4,0),"")</f>
        <v/>
      </c>
      <c r="CL60" s="15" t="str">
        <f>IFERROR(VLOOKUP($C60,[30]REKAP!$B$9:$G$200,6,0),"")</f>
        <v/>
      </c>
      <c r="CM60" s="15" t="str">
        <f>IFERROR(VLOOKUP($C60,[31]REKAP!$B$9:$D$200,3,0),"")</f>
        <v/>
      </c>
      <c r="CN60" s="15" t="str">
        <f>IFERROR(VLOOKUP($C60,[31]REKAP!$B$9:$E$200,4,0),"")</f>
        <v/>
      </c>
      <c r="CO60" s="15" t="str">
        <f>IFERROR(VLOOKUP($C60,[31]REKAP!$B$9:$G$200,6,0),"")</f>
        <v/>
      </c>
      <c r="CP60" s="15" t="str">
        <f>IFERROR(VLOOKUP($C60,[32]REKAP!$B$9:$D$200,3,0),"")</f>
        <v/>
      </c>
      <c r="CQ60" s="15" t="str">
        <f>IFERROR(VLOOKUP($C60,[32]REKAP!$B$9:$E$200,4,0),"")</f>
        <v/>
      </c>
      <c r="CR60" s="15" t="str">
        <f>IFERROR(VLOOKUP($C60,[32]REKAP!$B$9:$G$200,6,0),"")</f>
        <v/>
      </c>
      <c r="CS60" s="15" t="str">
        <f>IFERROR(VLOOKUP($C60,[33]REKAP!$B$9:$D$200,3,0),"")</f>
        <v/>
      </c>
      <c r="CT60" s="15" t="str">
        <f>IFERROR(VLOOKUP($C60,[33]REKAP!$B$9:$E$200,4,0),"")</f>
        <v/>
      </c>
      <c r="CU60" s="15" t="str">
        <f>IFERROR(VLOOKUP($C60,[33]REKAP!$B$9:$G$200,6,0),"")</f>
        <v/>
      </c>
      <c r="CV60" s="15" t="str">
        <f>IFERROR(VLOOKUP($C60,[34]REKAP!$B$9:$D$200,3,0),"")</f>
        <v/>
      </c>
      <c r="CW60" s="15" t="str">
        <f>IFERROR(VLOOKUP($C60,[34]REKAP!$B$9:$E$200,4,0),"")</f>
        <v/>
      </c>
      <c r="CX60" s="15" t="str">
        <f>IFERROR(VLOOKUP($C60,[34]REKAP!$B$9:$G$200,6,0),"")</f>
        <v/>
      </c>
    </row>
    <row r="61" spans="3:102" x14ac:dyDescent="0.25">
      <c r="C61" s="7" t="s">
        <v>115</v>
      </c>
      <c r="D61" s="5" t="str">
        <f>IFERROR(VLOOKUP(C61,DBASE!$C$7:$D$207,2,0),"")</f>
        <v>WASUKA CHOKU</v>
      </c>
      <c r="E61" s="15">
        <f t="shared" si="3"/>
        <v>2</v>
      </c>
      <c r="F61" s="15">
        <f t="shared" si="3"/>
        <v>108000</v>
      </c>
      <c r="H61" s="15">
        <f t="shared" si="3"/>
        <v>4120</v>
      </c>
      <c r="J61" s="15" t="str">
        <f>IFERROR(VLOOKUP($C61,[4]REKAP!$B$9:$D$200,3,0),"")</f>
        <v/>
      </c>
      <c r="K61" s="15" t="str">
        <f>IFERROR(VLOOKUP($C61,[4]REKAP!$B$9:$E$200,4,0),"")</f>
        <v/>
      </c>
      <c r="L61" s="15" t="str">
        <f>IFERROR(VLOOKUP($C61,[4]REKAP!$B$9:$G$200,6,0),"")</f>
        <v/>
      </c>
      <c r="M61" s="15" t="str">
        <f>IFERROR(VLOOKUP($C61,[5]REKAP!$B$9:$D$200,3,0),"")</f>
        <v/>
      </c>
      <c r="N61" s="15" t="str">
        <f>IFERROR(VLOOKUP($C61,[5]REKAP!$B$9:$E$200,4,0),"")</f>
        <v/>
      </c>
      <c r="O61" s="15" t="str">
        <f>IFERROR(VLOOKUP($C61,[5]REKAP!$B$9:$G$200,6,0),"")</f>
        <v/>
      </c>
      <c r="P61" s="15" t="str">
        <f>IFERROR(VLOOKUP($C61,[6]REKAP!$B$9:$D$200,3,0),"")</f>
        <v/>
      </c>
      <c r="Q61" s="15" t="str">
        <f>IFERROR(VLOOKUP($C61,[6]REKAP!$B$9:$E$200,4,0),"")</f>
        <v/>
      </c>
      <c r="R61" s="15" t="str">
        <f>IFERROR(VLOOKUP($C61,[6]REKAP!$B$9:$G$200,6,0),"")</f>
        <v/>
      </c>
      <c r="S61" s="15" t="str">
        <f>IFERROR(VLOOKUP($C61,[7]REKAP!$B$9:$D$200,3,0),"")</f>
        <v/>
      </c>
      <c r="T61" s="15" t="str">
        <f>IFERROR(VLOOKUP($C61,[7]REKAP!$B$9:$E$200,4,0),"")</f>
        <v/>
      </c>
      <c r="U61" s="15" t="str">
        <f>IFERROR(VLOOKUP($C61,[7]REKAP!$B$9:$G$200,6,0),"")</f>
        <v/>
      </c>
      <c r="V61" s="15">
        <f>IFERROR(VLOOKUP($C61,[8]REKAP!$B$9:$D$200,3,0),"")</f>
        <v>0</v>
      </c>
      <c r="W61" s="15">
        <f>IFERROR(VLOOKUP($C61,[8]REKAP!$B$9:$E$200,4,0),"")</f>
        <v>0</v>
      </c>
      <c r="X61" s="15">
        <f>IFERROR(VLOOKUP($C61,[8]REKAP!$B$9:$G$200,6,0),"")</f>
        <v>0</v>
      </c>
      <c r="Y61" s="15">
        <f>IFERROR(VLOOKUP($C61,[9]REKAP!$B$9:$D$200,3,0),"")</f>
        <v>1</v>
      </c>
      <c r="Z61" s="15">
        <f>IFERROR(VLOOKUP($C61,[9]REKAP!$B$9:$E$200,4,0),"")</f>
        <v>54000</v>
      </c>
      <c r="AA61" s="15">
        <f>IFERROR(VLOOKUP($C61,[9]REKAP!$B$9:$G$200,6,0),"")</f>
        <v>2060</v>
      </c>
      <c r="AB61" s="15">
        <f>IFERROR(VLOOKUP($C61,[10]REKAP!$B$9:$D$200,3,0),"")</f>
        <v>0</v>
      </c>
      <c r="AC61" s="15">
        <f>IFERROR(VLOOKUP($C61,[10]REKAP!$B$9:$E$200,4,0),"")</f>
        <v>0</v>
      </c>
      <c r="AD61" s="15">
        <f>IFERROR(VLOOKUP($C61,[10]REKAP!$B$9:$G$200,6,0),"")</f>
        <v>0</v>
      </c>
      <c r="AE61" s="15">
        <f>IFERROR(VLOOKUP($C61,[11]REKAP!$B$9:$D$199,3,0),"")</f>
        <v>1</v>
      </c>
      <c r="AF61" s="15">
        <f>IFERROR(VLOOKUP($C61,[11]REKAP!$B$9:$E$199,4,0),"")</f>
        <v>54000</v>
      </c>
      <c r="AG61" s="15">
        <f>IFERROR(VLOOKUP($C61,[11]REKAP!$B$9:$G$199,6,0),"")</f>
        <v>2060</v>
      </c>
      <c r="AH61" s="15">
        <f>IFERROR(VLOOKUP($C61,[12]REKAP!$B$9:$D$200,3,0),"")</f>
        <v>0</v>
      </c>
      <c r="AI61" s="15">
        <f>IFERROR(VLOOKUP($C61,[12]REKAP!$B$9:$E$200,4,0),"")</f>
        <v>0</v>
      </c>
      <c r="AJ61" s="15">
        <f>IFERROR(VLOOKUP($C61,[12]REKAP!$B$9:$G$200,6,0),"")</f>
        <v>0</v>
      </c>
      <c r="AK61" s="15" t="str">
        <f>IFERROR(VLOOKUP($C61,[13]REKAP!$B$9:$D$200,3,0),"")</f>
        <v/>
      </c>
      <c r="AL61" s="15" t="str">
        <f>IFERROR(VLOOKUP($C61,[13]REKAP!$B$9:$E$200,4,0),"")</f>
        <v/>
      </c>
      <c r="AM61" s="15" t="str">
        <f>IFERROR(VLOOKUP($C61,[13]REKAP!$B$9:$G$200,6,0),"")</f>
        <v/>
      </c>
      <c r="AN61" s="15" t="str">
        <f>IFERROR(VLOOKUP($C61,[14]REKAP!$B$9:$D$200,3,0),"")</f>
        <v/>
      </c>
      <c r="AO61" s="15" t="str">
        <f>IFERROR(VLOOKUP($C61,[14]REKAP!$B$9:$E$200,4,0),"")</f>
        <v/>
      </c>
      <c r="AP61" s="15" t="str">
        <f>IFERROR(VLOOKUP($C61,[14]REKAP!$B$9:$G$200,6,0),"")</f>
        <v/>
      </c>
      <c r="AQ61" s="15" t="str">
        <f>IFERROR(VLOOKUP($C61,[15]REKAP!$B$9:$D$200,3,0),"")</f>
        <v/>
      </c>
      <c r="AR61" s="15" t="str">
        <f>IFERROR(VLOOKUP($C61,[15]REKAP!$B$9:$E$200,4,0),"")</f>
        <v/>
      </c>
      <c r="AS61" s="15" t="str">
        <f>IFERROR(VLOOKUP($C61,[15]REKAP!$B$9:$G$200,6,0),"")</f>
        <v/>
      </c>
      <c r="AT61" s="15" t="str">
        <f>IFERROR(VLOOKUP($C61,[16]REKAP!$B$9:$D$200,3,0),"")</f>
        <v/>
      </c>
      <c r="AU61" s="15" t="str">
        <f>IFERROR(VLOOKUP($C61,[16]REKAP!$B$9:$E$200,4,0),"")</f>
        <v/>
      </c>
      <c r="AV61" s="15" t="str">
        <f>IFERROR(VLOOKUP($C61,[16]REKAP!$B$9:$G$200,6,0),"")</f>
        <v/>
      </c>
      <c r="AW61" s="15" t="str">
        <f>IFERROR(VLOOKUP($C61,[17]REKAP!$B$9:$D$200,3,0),"")</f>
        <v/>
      </c>
      <c r="AX61" s="15" t="str">
        <f>IFERROR(VLOOKUP($C61,[17]REKAP!$B$9:$E$200,4,0),"")</f>
        <v/>
      </c>
      <c r="AY61" s="15" t="str">
        <f>IFERROR(VLOOKUP($C61,[17]REKAP!$B$9:$G$200,6,0),"")</f>
        <v/>
      </c>
      <c r="AZ61" s="15" t="str">
        <f>IFERROR(VLOOKUP($C61,[18]REKAP!$B$9:$D$200,3,0),"")</f>
        <v/>
      </c>
      <c r="BA61" s="15" t="str">
        <f>IFERROR(VLOOKUP($C61,[18]REKAP!$B$9:$E$200,4,0),"")</f>
        <v/>
      </c>
      <c r="BB61" s="15" t="str">
        <f>IFERROR(VLOOKUP($C61,[18]REKAP!$B$9:$G$200,6,0),"")</f>
        <v/>
      </c>
      <c r="BC61" s="15" t="str">
        <f>IFERROR(VLOOKUP($C61,[19]REKAP!$B$9:$D$200,3,0),"")</f>
        <v/>
      </c>
      <c r="BD61" s="15" t="str">
        <f>IFERROR(VLOOKUP($C61,[19]REKAP!$B$9:$E$200,4,0),"")</f>
        <v/>
      </c>
      <c r="BE61" s="15" t="str">
        <f>IFERROR(VLOOKUP($C61,[19]REKAP!$B$9:$G$200,6,0),"")</f>
        <v/>
      </c>
      <c r="BF61" s="15" t="str">
        <f>IFERROR(VLOOKUP($C61,[20]REKAP!$B$9:$D$200,3,0),"")</f>
        <v/>
      </c>
      <c r="BG61" s="15" t="str">
        <f>IFERROR(VLOOKUP($C61,[20]REKAP!$B$9:$E$200,4,0),"")</f>
        <v/>
      </c>
      <c r="BH61" s="15" t="str">
        <f>IFERROR(VLOOKUP($C61,[20]REKAP!$B$9:$G$200,6,0),"")</f>
        <v/>
      </c>
      <c r="BI61" s="15" t="str">
        <f>IFERROR(VLOOKUP($C61,[21]REKAP!$B$9:$D$200,3,0),"")</f>
        <v/>
      </c>
      <c r="BJ61" s="15" t="str">
        <f>IFERROR(VLOOKUP($C61,[21]REKAP!$B$9:$E$200,4,0),"")</f>
        <v/>
      </c>
      <c r="BK61" s="15" t="str">
        <f>IFERROR(VLOOKUP($C61,[21]REKAP!$B$9:$G$200,6,0),"")</f>
        <v/>
      </c>
      <c r="BL61" s="15" t="str">
        <f>IFERROR(VLOOKUP($C61,[22]REKAP!$B$9:$D$200,3,0),"")</f>
        <v/>
      </c>
      <c r="BM61" s="15" t="str">
        <f>IFERROR(VLOOKUP($C61,[22]REKAP!$B$9:$E$200,4,0),"")</f>
        <v/>
      </c>
      <c r="BN61" s="15" t="str">
        <f>IFERROR(VLOOKUP($C61,[22]REKAP!$B$9:$G$200,6,0),"")</f>
        <v/>
      </c>
      <c r="BO61" s="15" t="str">
        <f>IFERROR(VLOOKUP($C61,[23]REKAP!$B$9:$D$200,3,0),"")</f>
        <v/>
      </c>
      <c r="BP61" s="15" t="str">
        <f>IFERROR(VLOOKUP($C61,[23]REKAP!$B$9:$E$200,4,0),"")</f>
        <v/>
      </c>
      <c r="BQ61" s="15" t="str">
        <f>IFERROR(VLOOKUP($C61,[23]REKAP!$B$9:$G$200,6,0),"")</f>
        <v/>
      </c>
      <c r="BR61" s="15" t="str">
        <f>IFERROR(VLOOKUP($C61,[24]REKAP!$B$9:$D$200,3,0),"")</f>
        <v/>
      </c>
      <c r="BS61" s="15" t="str">
        <f>IFERROR(VLOOKUP($C61,[24]REKAP!$B$9:$E$200,4,0),"")</f>
        <v/>
      </c>
      <c r="BT61" s="15" t="str">
        <f>IFERROR(VLOOKUP($C61,[24]REKAP!$B$9:$G$200,6,0),"")</f>
        <v/>
      </c>
      <c r="BU61" s="15" t="str">
        <f>IFERROR(VLOOKUP($C61,[25]REKAP!$B$9:$D$200,3,0),"")</f>
        <v/>
      </c>
      <c r="BV61" s="15" t="str">
        <f>IFERROR(VLOOKUP($C61,[25]REKAP!$B$9:$E$200,4,0),"")</f>
        <v/>
      </c>
      <c r="BW61" s="15" t="str">
        <f>IFERROR(VLOOKUP($C61,[25]REKAP!$B$9:$G$200,6,0),"")</f>
        <v/>
      </c>
      <c r="BX61" s="15" t="str">
        <f>IFERROR(VLOOKUP($C61,[26]REKAP!$B$9:$D$200,3,0),"")</f>
        <v/>
      </c>
      <c r="BY61" s="15" t="str">
        <f>IFERROR(VLOOKUP($C61,[26]REKAP!$B$9:$E$200,4,0),"")</f>
        <v/>
      </c>
      <c r="BZ61" s="15" t="str">
        <f>IFERROR(VLOOKUP($C61,[26]REKAP!$B$9:$G$200,6,0),"")</f>
        <v/>
      </c>
      <c r="CA61" s="15" t="str">
        <f>IFERROR(VLOOKUP($C61,[27]REKAP!$B$9:$D$200,3,0),"")</f>
        <v/>
      </c>
      <c r="CB61" s="15" t="str">
        <f>IFERROR(VLOOKUP($C61,[27]REKAP!$B$9:$E$200,4,0),"")</f>
        <v/>
      </c>
      <c r="CC61" s="15" t="str">
        <f>IFERROR(VLOOKUP($C61,[27]REKAP!$B$9:$G$200,6,0),"")</f>
        <v/>
      </c>
      <c r="CD61" s="15" t="str">
        <f>IFERROR(VLOOKUP($C61,[28]REKAP!$B$9:$D$200,3,0),"")</f>
        <v/>
      </c>
      <c r="CE61" s="15" t="str">
        <f>IFERROR(VLOOKUP($C61,[28]REKAP!$B$9:$E$200,4,0),"")</f>
        <v/>
      </c>
      <c r="CF61" s="15" t="str">
        <f>IFERROR(VLOOKUP($C61,[28]REKAP!$B$9:$G$200,6,0),"")</f>
        <v/>
      </c>
      <c r="CG61" s="15" t="str">
        <f>IFERROR(VLOOKUP($C61,[29]REKAP!$B$9:$D$200,3,0),"")</f>
        <v/>
      </c>
      <c r="CH61" s="15" t="str">
        <f>IFERROR(VLOOKUP($C61,[29]REKAP!$B$9:$E$200,4,0),"")</f>
        <v/>
      </c>
      <c r="CI61" s="15" t="str">
        <f>IFERROR(VLOOKUP($C61,[29]REKAP!$B$9:$G$200,6,0),"")</f>
        <v/>
      </c>
      <c r="CJ61" s="15" t="str">
        <f>IFERROR(VLOOKUP($C61,[30]REKAP!$B$9:$D$200,3,0),"")</f>
        <v/>
      </c>
      <c r="CK61" s="15" t="str">
        <f>IFERROR(VLOOKUP($C61,[30]REKAP!$B$9:$E$200,4,0),"")</f>
        <v/>
      </c>
      <c r="CL61" s="15" t="str">
        <f>IFERROR(VLOOKUP($C61,[30]REKAP!$B$9:$G$200,6,0),"")</f>
        <v/>
      </c>
      <c r="CM61" s="15" t="str">
        <f>IFERROR(VLOOKUP($C61,[31]REKAP!$B$9:$D$200,3,0),"")</f>
        <v/>
      </c>
      <c r="CN61" s="15" t="str">
        <f>IFERROR(VLOOKUP($C61,[31]REKAP!$B$9:$E$200,4,0),"")</f>
        <v/>
      </c>
      <c r="CO61" s="15" t="str">
        <f>IFERROR(VLOOKUP($C61,[31]REKAP!$B$9:$G$200,6,0),"")</f>
        <v/>
      </c>
      <c r="CP61" s="15" t="str">
        <f>IFERROR(VLOOKUP($C61,[32]REKAP!$B$9:$D$200,3,0),"")</f>
        <v/>
      </c>
      <c r="CQ61" s="15" t="str">
        <f>IFERROR(VLOOKUP($C61,[32]REKAP!$B$9:$E$200,4,0),"")</f>
        <v/>
      </c>
      <c r="CR61" s="15" t="str">
        <f>IFERROR(VLOOKUP($C61,[32]REKAP!$B$9:$G$200,6,0),"")</f>
        <v/>
      </c>
      <c r="CS61" s="15" t="str">
        <f>IFERROR(VLOOKUP($C61,[33]REKAP!$B$9:$D$200,3,0),"")</f>
        <v/>
      </c>
      <c r="CT61" s="15" t="str">
        <f>IFERROR(VLOOKUP($C61,[33]REKAP!$B$9:$E$200,4,0),"")</f>
        <v/>
      </c>
      <c r="CU61" s="15" t="str">
        <f>IFERROR(VLOOKUP($C61,[33]REKAP!$B$9:$G$200,6,0),"")</f>
        <v/>
      </c>
      <c r="CV61" s="15" t="str">
        <f>IFERROR(VLOOKUP($C61,[34]REKAP!$B$9:$D$200,3,0),"")</f>
        <v/>
      </c>
      <c r="CW61" s="15" t="str">
        <f>IFERROR(VLOOKUP($C61,[34]REKAP!$B$9:$E$200,4,0),"")</f>
        <v/>
      </c>
      <c r="CX61" s="15" t="str">
        <f>IFERROR(VLOOKUP($C61,[34]REKAP!$B$9:$G$200,6,0),"")</f>
        <v/>
      </c>
    </row>
    <row r="62" spans="3:102" x14ac:dyDescent="0.25">
      <c r="C62" s="7" t="s">
        <v>116</v>
      </c>
      <c r="D62" s="5" t="str">
        <f>IFERROR(VLOOKUP(C62,DBASE!$C$7:$D$207,2,0),"")</f>
        <v>WAFER JUMBO KITA</v>
      </c>
      <c r="E62" s="15">
        <f t="shared" si="3"/>
        <v>0</v>
      </c>
      <c r="F62" s="15">
        <f t="shared" si="3"/>
        <v>0</v>
      </c>
      <c r="H62" s="15">
        <f t="shared" si="3"/>
        <v>0</v>
      </c>
      <c r="J62" s="15" t="str">
        <f>IFERROR(VLOOKUP($C62,[4]REKAP!$B$9:$D$200,3,0),"")</f>
        <v/>
      </c>
      <c r="K62" s="15" t="str">
        <f>IFERROR(VLOOKUP($C62,[4]REKAP!$B$9:$E$200,4,0),"")</f>
        <v/>
      </c>
      <c r="L62" s="15" t="str">
        <f>IFERROR(VLOOKUP($C62,[4]REKAP!$B$9:$G$200,6,0),"")</f>
        <v/>
      </c>
      <c r="M62" s="15" t="str">
        <f>IFERROR(VLOOKUP($C62,[5]REKAP!$B$9:$D$200,3,0),"")</f>
        <v/>
      </c>
      <c r="N62" s="15" t="str">
        <f>IFERROR(VLOOKUP($C62,[5]REKAP!$B$9:$E$200,4,0),"")</f>
        <v/>
      </c>
      <c r="O62" s="15" t="str">
        <f>IFERROR(VLOOKUP($C62,[5]REKAP!$B$9:$G$200,6,0),"")</f>
        <v/>
      </c>
      <c r="P62" s="15" t="str">
        <f>IFERROR(VLOOKUP($C62,[6]REKAP!$B$9:$D$200,3,0),"")</f>
        <v/>
      </c>
      <c r="Q62" s="15" t="str">
        <f>IFERROR(VLOOKUP($C62,[6]REKAP!$B$9:$E$200,4,0),"")</f>
        <v/>
      </c>
      <c r="R62" s="15" t="str">
        <f>IFERROR(VLOOKUP($C62,[6]REKAP!$B$9:$G$200,6,0),"")</f>
        <v/>
      </c>
      <c r="S62" s="15" t="str">
        <f>IFERROR(VLOOKUP($C62,[7]REKAP!$B$9:$D$200,3,0),"")</f>
        <v/>
      </c>
      <c r="T62" s="15" t="str">
        <f>IFERROR(VLOOKUP($C62,[7]REKAP!$B$9:$E$200,4,0),"")</f>
        <v/>
      </c>
      <c r="U62" s="15" t="str">
        <f>IFERROR(VLOOKUP($C62,[7]REKAP!$B$9:$G$200,6,0),"")</f>
        <v/>
      </c>
      <c r="V62" s="15">
        <f>IFERROR(VLOOKUP($C62,[8]REKAP!$B$9:$D$200,3,0),"")</f>
        <v>0</v>
      </c>
      <c r="W62" s="15">
        <f>IFERROR(VLOOKUP($C62,[8]REKAP!$B$9:$E$200,4,0),"")</f>
        <v>0</v>
      </c>
      <c r="X62" s="15">
        <f>IFERROR(VLOOKUP($C62,[8]REKAP!$B$9:$G$200,6,0),"")</f>
        <v>0</v>
      </c>
      <c r="Y62" s="15">
        <f>IFERROR(VLOOKUP($C62,[9]REKAP!$B$9:$D$200,3,0),"")</f>
        <v>0</v>
      </c>
      <c r="Z62" s="15">
        <f>IFERROR(VLOOKUP($C62,[9]REKAP!$B$9:$E$200,4,0),"")</f>
        <v>0</v>
      </c>
      <c r="AA62" s="15">
        <f>IFERROR(VLOOKUP($C62,[9]REKAP!$B$9:$G$200,6,0),"")</f>
        <v>0</v>
      </c>
      <c r="AB62" s="15">
        <f>IFERROR(VLOOKUP($C62,[10]REKAP!$B$9:$D$200,3,0),"")</f>
        <v>0</v>
      </c>
      <c r="AC62" s="15">
        <f>IFERROR(VLOOKUP($C62,[10]REKAP!$B$9:$E$200,4,0),"")</f>
        <v>0</v>
      </c>
      <c r="AD62" s="15">
        <f>IFERROR(VLOOKUP($C62,[10]REKAP!$B$9:$G$200,6,0),"")</f>
        <v>0</v>
      </c>
      <c r="AE62" s="15">
        <f>IFERROR(VLOOKUP($C62,[11]REKAP!$B$9:$D$199,3,0),"")</f>
        <v>0</v>
      </c>
      <c r="AF62" s="15">
        <f>IFERROR(VLOOKUP($C62,[11]REKAP!$B$9:$E$199,4,0),"")</f>
        <v>0</v>
      </c>
      <c r="AG62" s="15">
        <f>IFERROR(VLOOKUP($C62,[11]REKAP!$B$9:$G$199,6,0),"")</f>
        <v>0</v>
      </c>
      <c r="AH62" s="15">
        <f>IFERROR(VLOOKUP($C62,[12]REKAP!$B$9:$D$200,3,0),"")</f>
        <v>0</v>
      </c>
      <c r="AI62" s="15">
        <f>IFERROR(VLOOKUP($C62,[12]REKAP!$B$9:$E$200,4,0),"")</f>
        <v>0</v>
      </c>
      <c r="AJ62" s="15">
        <f>IFERROR(VLOOKUP($C62,[12]REKAP!$B$9:$G$200,6,0),"")</f>
        <v>0</v>
      </c>
      <c r="AK62" s="15" t="str">
        <f>IFERROR(VLOOKUP($C62,[13]REKAP!$B$9:$D$200,3,0),"")</f>
        <v/>
      </c>
      <c r="AL62" s="15" t="str">
        <f>IFERROR(VLOOKUP($C62,[13]REKAP!$B$9:$E$200,4,0),"")</f>
        <v/>
      </c>
      <c r="AM62" s="15" t="str">
        <f>IFERROR(VLOOKUP($C62,[13]REKAP!$B$9:$G$200,6,0),"")</f>
        <v/>
      </c>
      <c r="AN62" s="15" t="str">
        <f>IFERROR(VLOOKUP($C62,[14]REKAP!$B$9:$D$200,3,0),"")</f>
        <v/>
      </c>
      <c r="AO62" s="15" t="str">
        <f>IFERROR(VLOOKUP($C62,[14]REKAP!$B$9:$E$200,4,0),"")</f>
        <v/>
      </c>
      <c r="AP62" s="15" t="str">
        <f>IFERROR(VLOOKUP($C62,[14]REKAP!$B$9:$G$200,6,0),"")</f>
        <v/>
      </c>
      <c r="AQ62" s="15" t="str">
        <f>IFERROR(VLOOKUP($C62,[15]REKAP!$B$9:$D$200,3,0),"")</f>
        <v/>
      </c>
      <c r="AR62" s="15" t="str">
        <f>IFERROR(VLOOKUP($C62,[15]REKAP!$B$9:$E$200,4,0),"")</f>
        <v/>
      </c>
      <c r="AS62" s="15" t="str">
        <f>IFERROR(VLOOKUP($C62,[15]REKAP!$B$9:$G$200,6,0),"")</f>
        <v/>
      </c>
      <c r="AT62" s="15" t="str">
        <f>IFERROR(VLOOKUP($C62,[16]REKAP!$B$9:$D$200,3,0),"")</f>
        <v/>
      </c>
      <c r="AU62" s="15" t="str">
        <f>IFERROR(VLOOKUP($C62,[16]REKAP!$B$9:$E$200,4,0),"")</f>
        <v/>
      </c>
      <c r="AV62" s="15" t="str">
        <f>IFERROR(VLOOKUP($C62,[16]REKAP!$B$9:$G$200,6,0),"")</f>
        <v/>
      </c>
      <c r="AW62" s="15" t="str">
        <f>IFERROR(VLOOKUP($C62,[17]REKAP!$B$9:$D$200,3,0),"")</f>
        <v/>
      </c>
      <c r="AX62" s="15" t="str">
        <f>IFERROR(VLOOKUP($C62,[17]REKAP!$B$9:$E$200,4,0),"")</f>
        <v/>
      </c>
      <c r="AY62" s="15" t="str">
        <f>IFERROR(VLOOKUP($C62,[17]REKAP!$B$9:$G$200,6,0),"")</f>
        <v/>
      </c>
      <c r="AZ62" s="15" t="str">
        <f>IFERROR(VLOOKUP($C62,[18]REKAP!$B$9:$D$200,3,0),"")</f>
        <v/>
      </c>
      <c r="BA62" s="15" t="str">
        <f>IFERROR(VLOOKUP($C62,[18]REKAP!$B$9:$E$200,4,0),"")</f>
        <v/>
      </c>
      <c r="BB62" s="15" t="str">
        <f>IFERROR(VLOOKUP($C62,[18]REKAP!$B$9:$G$200,6,0),"")</f>
        <v/>
      </c>
      <c r="BC62" s="15" t="str">
        <f>IFERROR(VLOOKUP($C62,[19]REKAP!$B$9:$D$200,3,0),"")</f>
        <v/>
      </c>
      <c r="BD62" s="15" t="str">
        <f>IFERROR(VLOOKUP($C62,[19]REKAP!$B$9:$E$200,4,0),"")</f>
        <v/>
      </c>
      <c r="BE62" s="15" t="str">
        <f>IFERROR(VLOOKUP($C62,[19]REKAP!$B$9:$G$200,6,0),"")</f>
        <v/>
      </c>
      <c r="BF62" s="15" t="str">
        <f>IFERROR(VLOOKUP($C62,[20]REKAP!$B$9:$D$200,3,0),"")</f>
        <v/>
      </c>
      <c r="BG62" s="15" t="str">
        <f>IFERROR(VLOOKUP($C62,[20]REKAP!$B$9:$E$200,4,0),"")</f>
        <v/>
      </c>
      <c r="BH62" s="15" t="str">
        <f>IFERROR(VLOOKUP($C62,[20]REKAP!$B$9:$G$200,6,0),"")</f>
        <v/>
      </c>
      <c r="BI62" s="15" t="str">
        <f>IFERROR(VLOOKUP($C62,[21]REKAP!$B$9:$D$200,3,0),"")</f>
        <v/>
      </c>
      <c r="BJ62" s="15" t="str">
        <f>IFERROR(VLOOKUP($C62,[21]REKAP!$B$9:$E$200,4,0),"")</f>
        <v/>
      </c>
      <c r="BK62" s="15" t="str">
        <f>IFERROR(VLOOKUP($C62,[21]REKAP!$B$9:$G$200,6,0),"")</f>
        <v/>
      </c>
      <c r="BL62" s="15" t="str">
        <f>IFERROR(VLOOKUP($C62,[22]REKAP!$B$9:$D$200,3,0),"")</f>
        <v/>
      </c>
      <c r="BM62" s="15" t="str">
        <f>IFERROR(VLOOKUP($C62,[22]REKAP!$B$9:$E$200,4,0),"")</f>
        <v/>
      </c>
      <c r="BN62" s="15" t="str">
        <f>IFERROR(VLOOKUP($C62,[22]REKAP!$B$9:$G$200,6,0),"")</f>
        <v/>
      </c>
      <c r="BO62" s="15" t="str">
        <f>IFERROR(VLOOKUP($C62,[23]REKAP!$B$9:$D$200,3,0),"")</f>
        <v/>
      </c>
      <c r="BP62" s="15" t="str">
        <f>IFERROR(VLOOKUP($C62,[23]REKAP!$B$9:$E$200,4,0),"")</f>
        <v/>
      </c>
      <c r="BQ62" s="15" t="str">
        <f>IFERROR(VLOOKUP($C62,[23]REKAP!$B$9:$G$200,6,0),"")</f>
        <v/>
      </c>
      <c r="BR62" s="15" t="str">
        <f>IFERROR(VLOOKUP($C62,[24]REKAP!$B$9:$D$200,3,0),"")</f>
        <v/>
      </c>
      <c r="BS62" s="15" t="str">
        <f>IFERROR(VLOOKUP($C62,[24]REKAP!$B$9:$E$200,4,0),"")</f>
        <v/>
      </c>
      <c r="BT62" s="15" t="str">
        <f>IFERROR(VLOOKUP($C62,[24]REKAP!$B$9:$G$200,6,0),"")</f>
        <v/>
      </c>
      <c r="BU62" s="15" t="str">
        <f>IFERROR(VLOOKUP($C62,[25]REKAP!$B$9:$D$200,3,0),"")</f>
        <v/>
      </c>
      <c r="BV62" s="15" t="str">
        <f>IFERROR(VLOOKUP($C62,[25]REKAP!$B$9:$E$200,4,0),"")</f>
        <v/>
      </c>
      <c r="BW62" s="15" t="str">
        <f>IFERROR(VLOOKUP($C62,[25]REKAP!$B$9:$G$200,6,0),"")</f>
        <v/>
      </c>
      <c r="BX62" s="15" t="str">
        <f>IFERROR(VLOOKUP($C62,[26]REKAP!$B$9:$D$200,3,0),"")</f>
        <v/>
      </c>
      <c r="BY62" s="15" t="str">
        <f>IFERROR(VLOOKUP($C62,[26]REKAP!$B$9:$E$200,4,0),"")</f>
        <v/>
      </c>
      <c r="BZ62" s="15" t="str">
        <f>IFERROR(VLOOKUP($C62,[26]REKAP!$B$9:$G$200,6,0),"")</f>
        <v/>
      </c>
      <c r="CA62" s="15" t="str">
        <f>IFERROR(VLOOKUP($C62,[27]REKAP!$B$9:$D$200,3,0),"")</f>
        <v/>
      </c>
      <c r="CB62" s="15" t="str">
        <f>IFERROR(VLOOKUP($C62,[27]REKAP!$B$9:$E$200,4,0),"")</f>
        <v/>
      </c>
      <c r="CC62" s="15" t="str">
        <f>IFERROR(VLOOKUP($C62,[27]REKAP!$B$9:$G$200,6,0),"")</f>
        <v/>
      </c>
      <c r="CD62" s="15" t="str">
        <f>IFERROR(VLOOKUP($C62,[28]REKAP!$B$9:$D$200,3,0),"")</f>
        <v/>
      </c>
      <c r="CE62" s="15" t="str">
        <f>IFERROR(VLOOKUP($C62,[28]REKAP!$B$9:$E$200,4,0),"")</f>
        <v/>
      </c>
      <c r="CF62" s="15" t="str">
        <f>IFERROR(VLOOKUP($C62,[28]REKAP!$B$9:$G$200,6,0),"")</f>
        <v/>
      </c>
      <c r="CG62" s="15" t="str">
        <f>IFERROR(VLOOKUP($C62,[29]REKAP!$B$9:$D$200,3,0),"")</f>
        <v/>
      </c>
      <c r="CH62" s="15" t="str">
        <f>IFERROR(VLOOKUP($C62,[29]REKAP!$B$9:$E$200,4,0),"")</f>
        <v/>
      </c>
      <c r="CI62" s="15" t="str">
        <f>IFERROR(VLOOKUP($C62,[29]REKAP!$B$9:$G$200,6,0),"")</f>
        <v/>
      </c>
      <c r="CJ62" s="15" t="str">
        <f>IFERROR(VLOOKUP($C62,[30]REKAP!$B$9:$D$200,3,0),"")</f>
        <v/>
      </c>
      <c r="CK62" s="15" t="str">
        <f>IFERROR(VLOOKUP($C62,[30]REKAP!$B$9:$E$200,4,0),"")</f>
        <v/>
      </c>
      <c r="CL62" s="15" t="str">
        <f>IFERROR(VLOOKUP($C62,[30]REKAP!$B$9:$G$200,6,0),"")</f>
        <v/>
      </c>
      <c r="CM62" s="15" t="str">
        <f>IFERROR(VLOOKUP($C62,[31]REKAP!$B$9:$D$200,3,0),"")</f>
        <v/>
      </c>
      <c r="CN62" s="15" t="str">
        <f>IFERROR(VLOOKUP($C62,[31]REKAP!$B$9:$E$200,4,0),"")</f>
        <v/>
      </c>
      <c r="CO62" s="15" t="str">
        <f>IFERROR(VLOOKUP($C62,[31]REKAP!$B$9:$G$200,6,0),"")</f>
        <v/>
      </c>
      <c r="CP62" s="15" t="str">
        <f>IFERROR(VLOOKUP($C62,[32]REKAP!$B$9:$D$200,3,0),"")</f>
        <v/>
      </c>
      <c r="CQ62" s="15" t="str">
        <f>IFERROR(VLOOKUP($C62,[32]REKAP!$B$9:$E$200,4,0),"")</f>
        <v/>
      </c>
      <c r="CR62" s="15" t="str">
        <f>IFERROR(VLOOKUP($C62,[32]REKAP!$B$9:$G$200,6,0),"")</f>
        <v/>
      </c>
      <c r="CS62" s="15" t="str">
        <f>IFERROR(VLOOKUP($C62,[33]REKAP!$B$9:$D$200,3,0),"")</f>
        <v/>
      </c>
      <c r="CT62" s="15" t="str">
        <f>IFERROR(VLOOKUP($C62,[33]REKAP!$B$9:$E$200,4,0),"")</f>
        <v/>
      </c>
      <c r="CU62" s="15" t="str">
        <f>IFERROR(VLOOKUP($C62,[33]REKAP!$B$9:$G$200,6,0),"")</f>
        <v/>
      </c>
      <c r="CV62" s="15" t="str">
        <f>IFERROR(VLOOKUP($C62,[34]REKAP!$B$9:$D$200,3,0),"")</f>
        <v/>
      </c>
      <c r="CW62" s="15" t="str">
        <f>IFERROR(VLOOKUP($C62,[34]REKAP!$B$9:$E$200,4,0),"")</f>
        <v/>
      </c>
      <c r="CX62" s="15" t="str">
        <f>IFERROR(VLOOKUP($C62,[34]REKAP!$B$9:$G$200,6,0),"")</f>
        <v/>
      </c>
    </row>
    <row r="63" spans="3:102" x14ac:dyDescent="0.25">
      <c r="C63" s="7" t="s">
        <v>117</v>
      </c>
      <c r="D63" s="5" t="str">
        <f>IFERROR(VLOOKUP(C63,DBASE!$C$7:$D$207,2,0),"")</f>
        <v>PANGPANG KOREA</v>
      </c>
      <c r="E63" s="15">
        <f t="shared" si="3"/>
        <v>10</v>
      </c>
      <c r="F63" s="15">
        <f t="shared" si="3"/>
        <v>245000</v>
      </c>
      <c r="H63" s="15">
        <f t="shared" si="3"/>
        <v>12500</v>
      </c>
      <c r="J63" s="15" t="str">
        <f>IFERROR(VLOOKUP($C63,[4]REKAP!$B$9:$D$200,3,0),"")</f>
        <v/>
      </c>
      <c r="K63" s="15" t="str">
        <f>IFERROR(VLOOKUP($C63,[4]REKAP!$B$9:$E$200,4,0),"")</f>
        <v/>
      </c>
      <c r="L63" s="15" t="str">
        <f>IFERROR(VLOOKUP($C63,[4]REKAP!$B$9:$G$200,6,0),"")</f>
        <v/>
      </c>
      <c r="M63" s="15" t="str">
        <f>IFERROR(VLOOKUP($C63,[5]REKAP!$B$9:$D$200,3,0),"")</f>
        <v/>
      </c>
      <c r="N63" s="15" t="str">
        <f>IFERROR(VLOOKUP($C63,[5]REKAP!$B$9:$E$200,4,0),"")</f>
        <v/>
      </c>
      <c r="O63" s="15" t="str">
        <f>IFERROR(VLOOKUP($C63,[5]REKAP!$B$9:$G$200,6,0),"")</f>
        <v/>
      </c>
      <c r="P63" s="15" t="str">
        <f>IFERROR(VLOOKUP($C63,[6]REKAP!$B$9:$D$200,3,0),"")</f>
        <v/>
      </c>
      <c r="Q63" s="15" t="str">
        <f>IFERROR(VLOOKUP($C63,[6]REKAP!$B$9:$E$200,4,0),"")</f>
        <v/>
      </c>
      <c r="R63" s="15" t="str">
        <f>IFERROR(VLOOKUP($C63,[6]REKAP!$B$9:$G$200,6,0),"")</f>
        <v/>
      </c>
      <c r="S63" s="15" t="str">
        <f>IFERROR(VLOOKUP($C63,[7]REKAP!$B$9:$D$200,3,0),"")</f>
        <v/>
      </c>
      <c r="T63" s="15" t="str">
        <f>IFERROR(VLOOKUP($C63,[7]REKAP!$B$9:$E$200,4,0),"")</f>
        <v/>
      </c>
      <c r="U63" s="15" t="str">
        <f>IFERROR(VLOOKUP($C63,[7]REKAP!$B$9:$G$200,6,0),"")</f>
        <v/>
      </c>
      <c r="V63" s="15">
        <f>IFERROR(VLOOKUP($C63,[8]REKAP!$B$9:$D$200,3,0),"")</f>
        <v>0</v>
      </c>
      <c r="W63" s="15">
        <f>IFERROR(VLOOKUP($C63,[8]REKAP!$B$9:$E$200,4,0),"")</f>
        <v>0</v>
      </c>
      <c r="X63" s="15">
        <f>IFERROR(VLOOKUP($C63,[8]REKAP!$B$9:$G$200,6,0),"")</f>
        <v>0</v>
      </c>
      <c r="Y63" s="15">
        <f>IFERROR(VLOOKUP($C63,[9]REKAP!$B$9:$D$200,3,0),"")</f>
        <v>8</v>
      </c>
      <c r="Z63" s="15">
        <f>IFERROR(VLOOKUP($C63,[9]REKAP!$B$9:$E$200,4,0),"")</f>
        <v>196000</v>
      </c>
      <c r="AA63" s="15">
        <f>IFERROR(VLOOKUP($C63,[9]REKAP!$B$9:$G$200,6,0),"")</f>
        <v>10000</v>
      </c>
      <c r="AB63" s="15">
        <f>IFERROR(VLOOKUP($C63,[10]REKAP!$B$9:$D$200,3,0),"")</f>
        <v>0</v>
      </c>
      <c r="AC63" s="15">
        <f>IFERROR(VLOOKUP($C63,[10]REKAP!$B$9:$E$200,4,0),"")</f>
        <v>0</v>
      </c>
      <c r="AD63" s="15">
        <f>IFERROR(VLOOKUP($C63,[10]REKAP!$B$9:$G$200,6,0),"")</f>
        <v>0</v>
      </c>
      <c r="AE63" s="15">
        <f>IFERROR(VLOOKUP($C63,[11]REKAP!$B$9:$D$199,3,0),"")</f>
        <v>0</v>
      </c>
      <c r="AF63" s="15">
        <f>IFERROR(VLOOKUP($C63,[11]REKAP!$B$9:$E$199,4,0),"")</f>
        <v>0</v>
      </c>
      <c r="AG63" s="15">
        <f>IFERROR(VLOOKUP($C63,[11]REKAP!$B$9:$G$199,6,0),"")</f>
        <v>0</v>
      </c>
      <c r="AH63" s="15">
        <f>IFERROR(VLOOKUP($C63,[12]REKAP!$B$9:$D$200,3,0),"")</f>
        <v>2</v>
      </c>
      <c r="AI63" s="15">
        <f>IFERROR(VLOOKUP($C63,[12]REKAP!$B$9:$E$200,4,0),"")</f>
        <v>49000</v>
      </c>
      <c r="AJ63" s="15">
        <f>IFERROR(VLOOKUP($C63,[12]REKAP!$B$9:$G$200,6,0),"")</f>
        <v>2500</v>
      </c>
      <c r="AK63" s="15" t="str">
        <f>IFERROR(VLOOKUP($C63,[13]REKAP!$B$9:$D$200,3,0),"")</f>
        <v/>
      </c>
      <c r="AL63" s="15" t="str">
        <f>IFERROR(VLOOKUP($C63,[13]REKAP!$B$9:$E$200,4,0),"")</f>
        <v/>
      </c>
      <c r="AM63" s="15" t="str">
        <f>IFERROR(VLOOKUP($C63,[13]REKAP!$B$9:$G$200,6,0),"")</f>
        <v/>
      </c>
      <c r="AN63" s="15" t="str">
        <f>IFERROR(VLOOKUP($C63,[14]REKAP!$B$9:$D$200,3,0),"")</f>
        <v/>
      </c>
      <c r="AO63" s="15" t="str">
        <f>IFERROR(VLOOKUP($C63,[14]REKAP!$B$9:$E$200,4,0),"")</f>
        <v/>
      </c>
      <c r="AP63" s="15" t="str">
        <f>IFERROR(VLOOKUP($C63,[14]REKAP!$B$9:$G$200,6,0),"")</f>
        <v/>
      </c>
      <c r="AQ63" s="15" t="str">
        <f>IFERROR(VLOOKUP($C63,[15]REKAP!$B$9:$D$200,3,0),"")</f>
        <v/>
      </c>
      <c r="AR63" s="15" t="str">
        <f>IFERROR(VLOOKUP($C63,[15]REKAP!$B$9:$E$200,4,0),"")</f>
        <v/>
      </c>
      <c r="AS63" s="15" t="str">
        <f>IFERROR(VLOOKUP($C63,[15]REKAP!$B$9:$G$200,6,0),"")</f>
        <v/>
      </c>
      <c r="AT63" s="15" t="str">
        <f>IFERROR(VLOOKUP($C63,[16]REKAP!$B$9:$D$200,3,0),"")</f>
        <v/>
      </c>
      <c r="AU63" s="15" t="str">
        <f>IFERROR(VLOOKUP($C63,[16]REKAP!$B$9:$E$200,4,0),"")</f>
        <v/>
      </c>
      <c r="AV63" s="15" t="str">
        <f>IFERROR(VLOOKUP($C63,[16]REKAP!$B$9:$G$200,6,0),"")</f>
        <v/>
      </c>
      <c r="AW63" s="15" t="str">
        <f>IFERROR(VLOOKUP($C63,[17]REKAP!$B$9:$D$200,3,0),"")</f>
        <v/>
      </c>
      <c r="AX63" s="15" t="str">
        <f>IFERROR(VLOOKUP($C63,[17]REKAP!$B$9:$E$200,4,0),"")</f>
        <v/>
      </c>
      <c r="AY63" s="15" t="str">
        <f>IFERROR(VLOOKUP($C63,[17]REKAP!$B$9:$G$200,6,0),"")</f>
        <v/>
      </c>
      <c r="AZ63" s="15" t="str">
        <f>IFERROR(VLOOKUP($C63,[18]REKAP!$B$9:$D$200,3,0),"")</f>
        <v/>
      </c>
      <c r="BA63" s="15" t="str">
        <f>IFERROR(VLOOKUP($C63,[18]REKAP!$B$9:$E$200,4,0),"")</f>
        <v/>
      </c>
      <c r="BB63" s="15" t="str">
        <f>IFERROR(VLOOKUP($C63,[18]REKAP!$B$9:$G$200,6,0),"")</f>
        <v/>
      </c>
      <c r="BC63" s="15" t="str">
        <f>IFERROR(VLOOKUP($C63,[19]REKAP!$B$9:$D$200,3,0),"")</f>
        <v/>
      </c>
      <c r="BD63" s="15" t="str">
        <f>IFERROR(VLOOKUP($C63,[19]REKAP!$B$9:$E$200,4,0),"")</f>
        <v/>
      </c>
      <c r="BE63" s="15" t="str">
        <f>IFERROR(VLOOKUP($C63,[19]REKAP!$B$9:$G$200,6,0),"")</f>
        <v/>
      </c>
      <c r="BF63" s="15" t="str">
        <f>IFERROR(VLOOKUP($C63,[20]REKAP!$B$9:$D$200,3,0),"")</f>
        <v/>
      </c>
      <c r="BG63" s="15" t="str">
        <f>IFERROR(VLOOKUP($C63,[20]REKAP!$B$9:$E$200,4,0),"")</f>
        <v/>
      </c>
      <c r="BH63" s="15" t="str">
        <f>IFERROR(VLOOKUP($C63,[20]REKAP!$B$9:$G$200,6,0),"")</f>
        <v/>
      </c>
      <c r="BI63" s="15" t="str">
        <f>IFERROR(VLOOKUP($C63,[21]REKAP!$B$9:$D$200,3,0),"")</f>
        <v/>
      </c>
      <c r="BJ63" s="15" t="str">
        <f>IFERROR(VLOOKUP($C63,[21]REKAP!$B$9:$E$200,4,0),"")</f>
        <v/>
      </c>
      <c r="BK63" s="15" t="str">
        <f>IFERROR(VLOOKUP($C63,[21]REKAP!$B$9:$G$200,6,0),"")</f>
        <v/>
      </c>
      <c r="BL63" s="15" t="str">
        <f>IFERROR(VLOOKUP($C63,[22]REKAP!$B$9:$D$200,3,0),"")</f>
        <v/>
      </c>
      <c r="BM63" s="15" t="str">
        <f>IFERROR(VLOOKUP($C63,[22]REKAP!$B$9:$E$200,4,0),"")</f>
        <v/>
      </c>
      <c r="BN63" s="15" t="str">
        <f>IFERROR(VLOOKUP($C63,[22]REKAP!$B$9:$G$200,6,0),"")</f>
        <v/>
      </c>
      <c r="BO63" s="15" t="str">
        <f>IFERROR(VLOOKUP($C63,[23]REKAP!$B$9:$D$200,3,0),"")</f>
        <v/>
      </c>
      <c r="BP63" s="15" t="str">
        <f>IFERROR(VLOOKUP($C63,[23]REKAP!$B$9:$E$200,4,0),"")</f>
        <v/>
      </c>
      <c r="BQ63" s="15" t="str">
        <f>IFERROR(VLOOKUP($C63,[23]REKAP!$B$9:$G$200,6,0),"")</f>
        <v/>
      </c>
      <c r="BR63" s="15" t="str">
        <f>IFERROR(VLOOKUP($C63,[24]REKAP!$B$9:$D$200,3,0),"")</f>
        <v/>
      </c>
      <c r="BS63" s="15" t="str">
        <f>IFERROR(VLOOKUP($C63,[24]REKAP!$B$9:$E$200,4,0),"")</f>
        <v/>
      </c>
      <c r="BT63" s="15" t="str">
        <f>IFERROR(VLOOKUP($C63,[24]REKAP!$B$9:$G$200,6,0),"")</f>
        <v/>
      </c>
      <c r="BU63" s="15" t="str">
        <f>IFERROR(VLOOKUP($C63,[25]REKAP!$B$9:$D$200,3,0),"")</f>
        <v/>
      </c>
      <c r="BV63" s="15" t="str">
        <f>IFERROR(VLOOKUP($C63,[25]REKAP!$B$9:$E$200,4,0),"")</f>
        <v/>
      </c>
      <c r="BW63" s="15" t="str">
        <f>IFERROR(VLOOKUP($C63,[25]REKAP!$B$9:$G$200,6,0),"")</f>
        <v/>
      </c>
      <c r="BX63" s="15" t="str">
        <f>IFERROR(VLOOKUP($C63,[26]REKAP!$B$9:$D$200,3,0),"")</f>
        <v/>
      </c>
      <c r="BY63" s="15" t="str">
        <f>IFERROR(VLOOKUP($C63,[26]REKAP!$B$9:$E$200,4,0),"")</f>
        <v/>
      </c>
      <c r="BZ63" s="15" t="str">
        <f>IFERROR(VLOOKUP($C63,[26]REKAP!$B$9:$G$200,6,0),"")</f>
        <v/>
      </c>
      <c r="CA63" s="15" t="str">
        <f>IFERROR(VLOOKUP($C63,[27]REKAP!$B$9:$D$200,3,0),"")</f>
        <v/>
      </c>
      <c r="CB63" s="15" t="str">
        <f>IFERROR(VLOOKUP($C63,[27]REKAP!$B$9:$E$200,4,0),"")</f>
        <v/>
      </c>
      <c r="CC63" s="15" t="str">
        <f>IFERROR(VLOOKUP($C63,[27]REKAP!$B$9:$G$200,6,0),"")</f>
        <v/>
      </c>
      <c r="CD63" s="15" t="str">
        <f>IFERROR(VLOOKUP($C63,[28]REKAP!$B$9:$D$200,3,0),"")</f>
        <v/>
      </c>
      <c r="CE63" s="15" t="str">
        <f>IFERROR(VLOOKUP($C63,[28]REKAP!$B$9:$E$200,4,0),"")</f>
        <v/>
      </c>
      <c r="CF63" s="15" t="str">
        <f>IFERROR(VLOOKUP($C63,[28]REKAP!$B$9:$G$200,6,0),"")</f>
        <v/>
      </c>
      <c r="CG63" s="15" t="str">
        <f>IFERROR(VLOOKUP($C63,[29]REKAP!$B$9:$D$200,3,0),"")</f>
        <v/>
      </c>
      <c r="CH63" s="15" t="str">
        <f>IFERROR(VLOOKUP($C63,[29]REKAP!$B$9:$E$200,4,0),"")</f>
        <v/>
      </c>
      <c r="CI63" s="15" t="str">
        <f>IFERROR(VLOOKUP($C63,[29]REKAP!$B$9:$G$200,6,0),"")</f>
        <v/>
      </c>
      <c r="CJ63" s="15" t="str">
        <f>IFERROR(VLOOKUP($C63,[30]REKAP!$B$9:$D$200,3,0),"")</f>
        <v/>
      </c>
      <c r="CK63" s="15" t="str">
        <f>IFERROR(VLOOKUP($C63,[30]REKAP!$B$9:$E$200,4,0),"")</f>
        <v/>
      </c>
      <c r="CL63" s="15" t="str">
        <f>IFERROR(VLOOKUP($C63,[30]REKAP!$B$9:$G$200,6,0),"")</f>
        <v/>
      </c>
      <c r="CM63" s="15" t="str">
        <f>IFERROR(VLOOKUP($C63,[31]REKAP!$B$9:$D$200,3,0),"")</f>
        <v/>
      </c>
      <c r="CN63" s="15" t="str">
        <f>IFERROR(VLOOKUP($C63,[31]REKAP!$B$9:$E$200,4,0),"")</f>
        <v/>
      </c>
      <c r="CO63" s="15" t="str">
        <f>IFERROR(VLOOKUP($C63,[31]REKAP!$B$9:$G$200,6,0),"")</f>
        <v/>
      </c>
      <c r="CP63" s="15" t="str">
        <f>IFERROR(VLOOKUP($C63,[32]REKAP!$B$9:$D$200,3,0),"")</f>
        <v/>
      </c>
      <c r="CQ63" s="15" t="str">
        <f>IFERROR(VLOOKUP($C63,[32]REKAP!$B$9:$E$200,4,0),"")</f>
        <v/>
      </c>
      <c r="CR63" s="15" t="str">
        <f>IFERROR(VLOOKUP($C63,[32]REKAP!$B$9:$G$200,6,0),"")</f>
        <v/>
      </c>
      <c r="CS63" s="15" t="str">
        <f>IFERROR(VLOOKUP($C63,[33]REKAP!$B$9:$D$200,3,0),"")</f>
        <v/>
      </c>
      <c r="CT63" s="15" t="str">
        <f>IFERROR(VLOOKUP($C63,[33]REKAP!$B$9:$E$200,4,0),"")</f>
        <v/>
      </c>
      <c r="CU63" s="15" t="str">
        <f>IFERROR(VLOOKUP($C63,[33]REKAP!$B$9:$G$200,6,0),"")</f>
        <v/>
      </c>
      <c r="CV63" s="15" t="str">
        <f>IFERROR(VLOOKUP($C63,[34]REKAP!$B$9:$D$200,3,0),"")</f>
        <v/>
      </c>
      <c r="CW63" s="15" t="str">
        <f>IFERROR(VLOOKUP($C63,[34]REKAP!$B$9:$E$200,4,0),"")</f>
        <v/>
      </c>
      <c r="CX63" s="15" t="str">
        <f>IFERROR(VLOOKUP($C63,[34]REKAP!$B$9:$G$200,6,0),"")</f>
        <v/>
      </c>
    </row>
    <row r="64" spans="3:102" x14ac:dyDescent="0.25">
      <c r="C64" s="7" t="s">
        <v>107</v>
      </c>
      <c r="D64" s="5" t="str">
        <f>IFERROR(VLOOKUP(C64,DBASE!$C$7:$D$207,2,0),"")</f>
        <v>NGETOP</v>
      </c>
      <c r="E64" s="15">
        <f t="shared" si="3"/>
        <v>10</v>
      </c>
      <c r="F64" s="15">
        <f t="shared" si="3"/>
        <v>245000</v>
      </c>
      <c r="H64" s="15">
        <f t="shared" si="3"/>
        <v>12500</v>
      </c>
      <c r="J64" s="15" t="str">
        <f>IFERROR(VLOOKUP($C64,[4]REKAP!$B$9:$D$200,3,0),"")</f>
        <v/>
      </c>
      <c r="K64" s="15" t="str">
        <f>IFERROR(VLOOKUP($C64,[4]REKAP!$B$9:$E$200,4,0),"")</f>
        <v/>
      </c>
      <c r="L64" s="15" t="str">
        <f>IFERROR(VLOOKUP($C64,[4]REKAP!$B$9:$G$200,6,0),"")</f>
        <v/>
      </c>
      <c r="M64" s="15" t="str">
        <f>IFERROR(VLOOKUP($C64,[5]REKAP!$B$9:$D$200,3,0),"")</f>
        <v/>
      </c>
      <c r="N64" s="15" t="str">
        <f>IFERROR(VLOOKUP($C64,[5]REKAP!$B$9:$E$200,4,0),"")</f>
        <v/>
      </c>
      <c r="O64" s="15" t="str">
        <f>IFERROR(VLOOKUP($C64,[5]REKAP!$B$9:$G$200,6,0),"")</f>
        <v/>
      </c>
      <c r="P64" s="15" t="str">
        <f>IFERROR(VLOOKUP($C64,[6]REKAP!$B$9:$D$200,3,0),"")</f>
        <v/>
      </c>
      <c r="Q64" s="15" t="str">
        <f>IFERROR(VLOOKUP($C64,[6]REKAP!$B$9:$E$200,4,0),"")</f>
        <v/>
      </c>
      <c r="R64" s="15" t="str">
        <f>IFERROR(VLOOKUP($C64,[6]REKAP!$B$9:$G$200,6,0),"")</f>
        <v/>
      </c>
      <c r="S64" s="15" t="str">
        <f>IFERROR(VLOOKUP($C64,[7]REKAP!$B$9:$D$200,3,0),"")</f>
        <v/>
      </c>
      <c r="T64" s="15" t="str">
        <f>IFERROR(VLOOKUP($C64,[7]REKAP!$B$9:$E$200,4,0),"")</f>
        <v/>
      </c>
      <c r="U64" s="15" t="str">
        <f>IFERROR(VLOOKUP($C64,[7]REKAP!$B$9:$G$200,6,0),"")</f>
        <v/>
      </c>
      <c r="V64" s="15">
        <f>IFERROR(VLOOKUP($C64,[8]REKAP!$B$9:$D$200,3,0),"")</f>
        <v>0</v>
      </c>
      <c r="W64" s="15">
        <f>IFERROR(VLOOKUP($C64,[8]REKAP!$B$9:$E$200,4,0),"")</f>
        <v>0</v>
      </c>
      <c r="X64" s="15">
        <f>IFERROR(VLOOKUP($C64,[8]REKAP!$B$9:$G$200,6,0),"")</f>
        <v>0</v>
      </c>
      <c r="Y64" s="15">
        <f>IFERROR(VLOOKUP($C64,[9]REKAP!$B$9:$D$200,3,0),"")</f>
        <v>6</v>
      </c>
      <c r="Z64" s="15">
        <f>IFERROR(VLOOKUP($C64,[9]REKAP!$B$9:$E$200,4,0),"")</f>
        <v>147000</v>
      </c>
      <c r="AA64" s="15">
        <f>IFERROR(VLOOKUP($C64,[9]REKAP!$B$9:$G$200,6,0),"")</f>
        <v>7500</v>
      </c>
      <c r="AB64" s="15">
        <f>IFERROR(VLOOKUP($C64,[10]REKAP!$B$9:$D$200,3,0),"")</f>
        <v>0</v>
      </c>
      <c r="AC64" s="15">
        <f>IFERROR(VLOOKUP($C64,[10]REKAP!$B$9:$E$200,4,0),"")</f>
        <v>0</v>
      </c>
      <c r="AD64" s="15">
        <f>IFERROR(VLOOKUP($C64,[10]REKAP!$B$9:$G$200,6,0),"")</f>
        <v>0</v>
      </c>
      <c r="AE64" s="15">
        <f>IFERROR(VLOOKUP($C64,[11]REKAP!$B$9:$D$199,3,0),"")</f>
        <v>1</v>
      </c>
      <c r="AF64" s="15">
        <f>IFERROR(VLOOKUP($C64,[11]REKAP!$B$9:$E$199,4,0),"")</f>
        <v>24500</v>
      </c>
      <c r="AG64" s="15">
        <f>IFERROR(VLOOKUP($C64,[11]REKAP!$B$9:$G$199,6,0),"")</f>
        <v>1250</v>
      </c>
      <c r="AH64" s="15">
        <f>IFERROR(VLOOKUP($C64,[12]REKAP!$B$9:$D$200,3,0),"")</f>
        <v>3</v>
      </c>
      <c r="AI64" s="15">
        <f>IFERROR(VLOOKUP($C64,[12]REKAP!$B$9:$E$200,4,0),"")</f>
        <v>73500</v>
      </c>
      <c r="AJ64" s="15">
        <f>IFERROR(VLOOKUP($C64,[12]REKAP!$B$9:$G$200,6,0),"")</f>
        <v>3750</v>
      </c>
      <c r="AK64" s="15" t="str">
        <f>IFERROR(VLOOKUP($C64,[13]REKAP!$B$9:$D$200,3,0),"")</f>
        <v/>
      </c>
      <c r="AL64" s="15" t="str">
        <f>IFERROR(VLOOKUP($C64,[13]REKAP!$B$9:$E$200,4,0),"")</f>
        <v/>
      </c>
      <c r="AM64" s="15" t="str">
        <f>IFERROR(VLOOKUP($C64,[13]REKAP!$B$9:$G$200,6,0),"")</f>
        <v/>
      </c>
      <c r="AN64" s="15" t="str">
        <f>IFERROR(VLOOKUP($C64,[14]REKAP!$B$9:$D$200,3,0),"")</f>
        <v/>
      </c>
      <c r="AO64" s="15" t="str">
        <f>IFERROR(VLOOKUP($C64,[14]REKAP!$B$9:$E$200,4,0),"")</f>
        <v/>
      </c>
      <c r="AP64" s="15" t="str">
        <f>IFERROR(VLOOKUP($C64,[14]REKAP!$B$9:$G$200,6,0),"")</f>
        <v/>
      </c>
      <c r="AQ64" s="15" t="str">
        <f>IFERROR(VLOOKUP($C64,[15]REKAP!$B$9:$D$200,3,0),"")</f>
        <v/>
      </c>
      <c r="AR64" s="15" t="str">
        <f>IFERROR(VLOOKUP($C64,[15]REKAP!$B$9:$E$200,4,0),"")</f>
        <v/>
      </c>
      <c r="AS64" s="15" t="str">
        <f>IFERROR(VLOOKUP($C64,[15]REKAP!$B$9:$G$200,6,0),"")</f>
        <v/>
      </c>
      <c r="AT64" s="15" t="str">
        <f>IFERROR(VLOOKUP($C64,[16]REKAP!$B$9:$D$200,3,0),"")</f>
        <v/>
      </c>
      <c r="AU64" s="15" t="str">
        <f>IFERROR(VLOOKUP($C64,[16]REKAP!$B$9:$E$200,4,0),"")</f>
        <v/>
      </c>
      <c r="AV64" s="15" t="str">
        <f>IFERROR(VLOOKUP($C64,[16]REKAP!$B$9:$G$200,6,0),"")</f>
        <v/>
      </c>
      <c r="AW64" s="15" t="str">
        <f>IFERROR(VLOOKUP($C64,[17]REKAP!$B$9:$D$200,3,0),"")</f>
        <v/>
      </c>
      <c r="AX64" s="15" t="str">
        <f>IFERROR(VLOOKUP($C64,[17]REKAP!$B$9:$E$200,4,0),"")</f>
        <v/>
      </c>
      <c r="AY64" s="15" t="str">
        <f>IFERROR(VLOOKUP($C64,[17]REKAP!$B$9:$G$200,6,0),"")</f>
        <v/>
      </c>
      <c r="AZ64" s="15" t="str">
        <f>IFERROR(VLOOKUP($C64,[18]REKAP!$B$9:$D$200,3,0),"")</f>
        <v/>
      </c>
      <c r="BA64" s="15" t="str">
        <f>IFERROR(VLOOKUP($C64,[18]REKAP!$B$9:$E$200,4,0),"")</f>
        <v/>
      </c>
      <c r="BB64" s="15" t="str">
        <f>IFERROR(VLOOKUP($C64,[18]REKAP!$B$9:$G$200,6,0),"")</f>
        <v/>
      </c>
      <c r="BC64" s="15" t="str">
        <f>IFERROR(VLOOKUP($C64,[19]REKAP!$B$9:$D$200,3,0),"")</f>
        <v/>
      </c>
      <c r="BD64" s="15" t="str">
        <f>IFERROR(VLOOKUP($C64,[19]REKAP!$B$9:$E$200,4,0),"")</f>
        <v/>
      </c>
      <c r="BE64" s="15" t="str">
        <f>IFERROR(VLOOKUP($C64,[19]REKAP!$B$9:$G$200,6,0),"")</f>
        <v/>
      </c>
      <c r="BF64" s="15" t="str">
        <f>IFERROR(VLOOKUP($C64,[20]REKAP!$B$9:$D$200,3,0),"")</f>
        <v/>
      </c>
      <c r="BG64" s="15" t="str">
        <f>IFERROR(VLOOKUP($C64,[20]REKAP!$B$9:$E$200,4,0),"")</f>
        <v/>
      </c>
      <c r="BH64" s="15" t="str">
        <f>IFERROR(VLOOKUP($C64,[20]REKAP!$B$9:$G$200,6,0),"")</f>
        <v/>
      </c>
      <c r="BI64" s="15" t="str">
        <f>IFERROR(VLOOKUP($C64,[21]REKAP!$B$9:$D$200,3,0),"")</f>
        <v/>
      </c>
      <c r="BJ64" s="15" t="str">
        <f>IFERROR(VLOOKUP($C64,[21]REKAP!$B$9:$E$200,4,0),"")</f>
        <v/>
      </c>
      <c r="BK64" s="15" t="str">
        <f>IFERROR(VLOOKUP($C64,[21]REKAP!$B$9:$G$200,6,0),"")</f>
        <v/>
      </c>
      <c r="BL64" s="15" t="str">
        <f>IFERROR(VLOOKUP($C64,[22]REKAP!$B$9:$D$200,3,0),"")</f>
        <v/>
      </c>
      <c r="BM64" s="15" t="str">
        <f>IFERROR(VLOOKUP($C64,[22]REKAP!$B$9:$E$200,4,0),"")</f>
        <v/>
      </c>
      <c r="BN64" s="15" t="str">
        <f>IFERROR(VLOOKUP($C64,[22]REKAP!$B$9:$G$200,6,0),"")</f>
        <v/>
      </c>
      <c r="BO64" s="15" t="str">
        <f>IFERROR(VLOOKUP($C64,[23]REKAP!$B$9:$D$200,3,0),"")</f>
        <v/>
      </c>
      <c r="BP64" s="15" t="str">
        <f>IFERROR(VLOOKUP($C64,[23]REKAP!$B$9:$E$200,4,0),"")</f>
        <v/>
      </c>
      <c r="BQ64" s="15" t="str">
        <f>IFERROR(VLOOKUP($C64,[23]REKAP!$B$9:$G$200,6,0),"")</f>
        <v/>
      </c>
      <c r="BR64" s="15" t="str">
        <f>IFERROR(VLOOKUP($C64,[24]REKAP!$B$9:$D$200,3,0),"")</f>
        <v/>
      </c>
      <c r="BS64" s="15" t="str">
        <f>IFERROR(VLOOKUP($C64,[24]REKAP!$B$9:$E$200,4,0),"")</f>
        <v/>
      </c>
      <c r="BT64" s="15" t="str">
        <f>IFERROR(VLOOKUP($C64,[24]REKAP!$B$9:$G$200,6,0),"")</f>
        <v/>
      </c>
      <c r="BU64" s="15" t="str">
        <f>IFERROR(VLOOKUP($C64,[25]REKAP!$B$9:$D$200,3,0),"")</f>
        <v/>
      </c>
      <c r="BV64" s="15" t="str">
        <f>IFERROR(VLOOKUP($C64,[25]REKAP!$B$9:$E$200,4,0),"")</f>
        <v/>
      </c>
      <c r="BW64" s="15" t="str">
        <f>IFERROR(VLOOKUP($C64,[25]REKAP!$B$9:$G$200,6,0),"")</f>
        <v/>
      </c>
      <c r="BX64" s="15" t="str">
        <f>IFERROR(VLOOKUP($C64,[26]REKAP!$B$9:$D$200,3,0),"")</f>
        <v/>
      </c>
      <c r="BY64" s="15" t="str">
        <f>IFERROR(VLOOKUP($C64,[26]REKAP!$B$9:$E$200,4,0),"")</f>
        <v/>
      </c>
      <c r="BZ64" s="15" t="str">
        <f>IFERROR(VLOOKUP($C64,[26]REKAP!$B$9:$G$200,6,0),"")</f>
        <v/>
      </c>
      <c r="CA64" s="15" t="str">
        <f>IFERROR(VLOOKUP($C64,[27]REKAP!$B$9:$D$200,3,0),"")</f>
        <v/>
      </c>
      <c r="CB64" s="15" t="str">
        <f>IFERROR(VLOOKUP($C64,[27]REKAP!$B$9:$E$200,4,0),"")</f>
        <v/>
      </c>
      <c r="CC64" s="15" t="str">
        <f>IFERROR(VLOOKUP($C64,[27]REKAP!$B$9:$G$200,6,0),"")</f>
        <v/>
      </c>
      <c r="CD64" s="15" t="str">
        <f>IFERROR(VLOOKUP($C64,[28]REKAP!$B$9:$D$200,3,0),"")</f>
        <v/>
      </c>
      <c r="CE64" s="15" t="str">
        <f>IFERROR(VLOOKUP($C64,[28]REKAP!$B$9:$E$200,4,0),"")</f>
        <v/>
      </c>
      <c r="CF64" s="15" t="str">
        <f>IFERROR(VLOOKUP($C64,[28]REKAP!$B$9:$G$200,6,0),"")</f>
        <v/>
      </c>
      <c r="CG64" s="15" t="str">
        <f>IFERROR(VLOOKUP($C64,[29]REKAP!$B$9:$D$200,3,0),"")</f>
        <v/>
      </c>
      <c r="CH64" s="15" t="str">
        <f>IFERROR(VLOOKUP($C64,[29]REKAP!$B$9:$E$200,4,0),"")</f>
        <v/>
      </c>
      <c r="CI64" s="15" t="str">
        <f>IFERROR(VLOOKUP($C64,[29]REKAP!$B$9:$G$200,6,0),"")</f>
        <v/>
      </c>
      <c r="CJ64" s="15" t="str">
        <f>IFERROR(VLOOKUP($C64,[30]REKAP!$B$9:$D$200,3,0),"")</f>
        <v/>
      </c>
      <c r="CK64" s="15" t="str">
        <f>IFERROR(VLOOKUP($C64,[30]REKAP!$B$9:$E$200,4,0),"")</f>
        <v/>
      </c>
      <c r="CL64" s="15" t="str">
        <f>IFERROR(VLOOKUP($C64,[30]REKAP!$B$9:$G$200,6,0),"")</f>
        <v/>
      </c>
      <c r="CM64" s="15" t="str">
        <f>IFERROR(VLOOKUP($C64,[31]REKAP!$B$9:$D$200,3,0),"")</f>
        <v/>
      </c>
      <c r="CN64" s="15" t="str">
        <f>IFERROR(VLOOKUP($C64,[31]REKAP!$B$9:$E$200,4,0),"")</f>
        <v/>
      </c>
      <c r="CO64" s="15" t="str">
        <f>IFERROR(VLOOKUP($C64,[31]REKAP!$B$9:$G$200,6,0),"")</f>
        <v/>
      </c>
      <c r="CP64" s="15" t="str">
        <f>IFERROR(VLOOKUP($C64,[32]REKAP!$B$9:$D$200,3,0),"")</f>
        <v/>
      </c>
      <c r="CQ64" s="15" t="str">
        <f>IFERROR(VLOOKUP($C64,[32]REKAP!$B$9:$E$200,4,0),"")</f>
        <v/>
      </c>
      <c r="CR64" s="15" t="str">
        <f>IFERROR(VLOOKUP($C64,[32]REKAP!$B$9:$G$200,6,0),"")</f>
        <v/>
      </c>
      <c r="CS64" s="15" t="str">
        <f>IFERROR(VLOOKUP($C64,[33]REKAP!$B$9:$D$200,3,0),"")</f>
        <v/>
      </c>
      <c r="CT64" s="15" t="str">
        <f>IFERROR(VLOOKUP($C64,[33]REKAP!$B$9:$E$200,4,0),"")</f>
        <v/>
      </c>
      <c r="CU64" s="15" t="str">
        <f>IFERROR(VLOOKUP($C64,[33]REKAP!$B$9:$G$200,6,0),"")</f>
        <v/>
      </c>
      <c r="CV64" s="15" t="str">
        <f>IFERROR(VLOOKUP($C64,[34]REKAP!$B$9:$D$200,3,0),"")</f>
        <v/>
      </c>
      <c r="CW64" s="15" t="str">
        <f>IFERROR(VLOOKUP($C64,[34]REKAP!$B$9:$E$200,4,0),"")</f>
        <v/>
      </c>
      <c r="CX64" s="15" t="str">
        <f>IFERROR(VLOOKUP($C64,[34]REKAP!$B$9:$G$200,6,0),"")</f>
        <v/>
      </c>
    </row>
    <row r="65" spans="3:102" x14ac:dyDescent="0.25">
      <c r="C65" s="7" t="s">
        <v>109</v>
      </c>
      <c r="D65" s="5" t="str">
        <f>IFERROR(VLOOKUP(C65,DBASE!$C$7:$D$207,2,0),"")</f>
        <v>ASTAGA</v>
      </c>
      <c r="E65" s="15">
        <f t="shared" si="3"/>
        <v>10</v>
      </c>
      <c r="F65" s="15">
        <f t="shared" si="3"/>
        <v>245000</v>
      </c>
      <c r="H65" s="15">
        <f t="shared" si="3"/>
        <v>12500</v>
      </c>
      <c r="J65" s="15" t="str">
        <f>IFERROR(VLOOKUP($C65,[4]REKAP!$B$9:$D$200,3,0),"")</f>
        <v/>
      </c>
      <c r="K65" s="15" t="str">
        <f>IFERROR(VLOOKUP($C65,[4]REKAP!$B$9:$E$200,4,0),"")</f>
        <v/>
      </c>
      <c r="L65" s="15" t="str">
        <f>IFERROR(VLOOKUP($C65,[4]REKAP!$B$9:$G$200,6,0),"")</f>
        <v/>
      </c>
      <c r="M65" s="15" t="str">
        <f>IFERROR(VLOOKUP($C65,[5]REKAP!$B$9:$D$200,3,0),"")</f>
        <v/>
      </c>
      <c r="N65" s="15" t="str">
        <f>IFERROR(VLOOKUP($C65,[5]REKAP!$B$9:$E$200,4,0),"")</f>
        <v/>
      </c>
      <c r="O65" s="15" t="str">
        <f>IFERROR(VLOOKUP($C65,[5]REKAP!$B$9:$G$200,6,0),"")</f>
        <v/>
      </c>
      <c r="P65" s="15" t="str">
        <f>IFERROR(VLOOKUP($C65,[6]REKAP!$B$9:$D$200,3,0),"")</f>
        <v/>
      </c>
      <c r="Q65" s="15" t="str">
        <f>IFERROR(VLOOKUP($C65,[6]REKAP!$B$9:$E$200,4,0),"")</f>
        <v/>
      </c>
      <c r="R65" s="15" t="str">
        <f>IFERROR(VLOOKUP($C65,[6]REKAP!$B$9:$G$200,6,0),"")</f>
        <v/>
      </c>
      <c r="S65" s="15" t="str">
        <f>IFERROR(VLOOKUP($C65,[7]REKAP!$B$9:$D$200,3,0),"")</f>
        <v/>
      </c>
      <c r="T65" s="15" t="str">
        <f>IFERROR(VLOOKUP($C65,[7]REKAP!$B$9:$E$200,4,0),"")</f>
        <v/>
      </c>
      <c r="U65" s="15" t="str">
        <f>IFERROR(VLOOKUP($C65,[7]REKAP!$B$9:$G$200,6,0),"")</f>
        <v/>
      </c>
      <c r="V65" s="15">
        <f>IFERROR(VLOOKUP($C65,[8]REKAP!$B$9:$D$200,3,0),"")</f>
        <v>0</v>
      </c>
      <c r="W65" s="15">
        <f>IFERROR(VLOOKUP($C65,[8]REKAP!$B$9:$E$200,4,0),"")</f>
        <v>0</v>
      </c>
      <c r="X65" s="15">
        <f>IFERROR(VLOOKUP($C65,[8]REKAP!$B$9:$G$200,6,0),"")</f>
        <v>0</v>
      </c>
      <c r="Y65" s="15">
        <f>IFERROR(VLOOKUP($C65,[9]REKAP!$B$9:$D$200,3,0),"")</f>
        <v>9</v>
      </c>
      <c r="Z65" s="15">
        <f>IFERROR(VLOOKUP($C65,[9]REKAP!$B$9:$E$200,4,0),"")</f>
        <v>220500</v>
      </c>
      <c r="AA65" s="15">
        <f>IFERROR(VLOOKUP($C65,[9]REKAP!$B$9:$G$200,6,0),"")</f>
        <v>11250</v>
      </c>
      <c r="AB65" s="15">
        <f>IFERROR(VLOOKUP($C65,[10]REKAP!$B$9:$D$200,3,0),"")</f>
        <v>0</v>
      </c>
      <c r="AC65" s="15">
        <f>IFERROR(VLOOKUP($C65,[10]REKAP!$B$9:$E$200,4,0),"")</f>
        <v>0</v>
      </c>
      <c r="AD65" s="15">
        <f>IFERROR(VLOOKUP($C65,[10]REKAP!$B$9:$G$200,6,0),"")</f>
        <v>0</v>
      </c>
      <c r="AE65" s="15">
        <f>IFERROR(VLOOKUP($C65,[11]REKAP!$B$9:$D$199,3,0),"")</f>
        <v>1</v>
      </c>
      <c r="AF65" s="15">
        <f>IFERROR(VLOOKUP($C65,[11]REKAP!$B$9:$E$199,4,0),"")</f>
        <v>24500</v>
      </c>
      <c r="AG65" s="15">
        <f>IFERROR(VLOOKUP($C65,[11]REKAP!$B$9:$G$199,6,0),"")</f>
        <v>1250</v>
      </c>
      <c r="AH65" s="15">
        <f>IFERROR(VLOOKUP($C65,[12]REKAP!$B$9:$D$200,3,0),"")</f>
        <v>0</v>
      </c>
      <c r="AI65" s="15">
        <f>IFERROR(VLOOKUP($C65,[12]REKAP!$B$9:$E$200,4,0),"")</f>
        <v>0</v>
      </c>
      <c r="AJ65" s="15">
        <f>IFERROR(VLOOKUP($C65,[12]REKAP!$B$9:$G$200,6,0),"")</f>
        <v>0</v>
      </c>
      <c r="AK65" s="15" t="str">
        <f>IFERROR(VLOOKUP($C65,[13]REKAP!$B$9:$D$200,3,0),"")</f>
        <v/>
      </c>
      <c r="AL65" s="15" t="str">
        <f>IFERROR(VLOOKUP($C65,[13]REKAP!$B$9:$E$200,4,0),"")</f>
        <v/>
      </c>
      <c r="AM65" s="15" t="str">
        <f>IFERROR(VLOOKUP($C65,[13]REKAP!$B$9:$G$200,6,0),"")</f>
        <v/>
      </c>
      <c r="AN65" s="15" t="str">
        <f>IFERROR(VLOOKUP($C65,[14]REKAP!$B$9:$D$200,3,0),"")</f>
        <v/>
      </c>
      <c r="AO65" s="15" t="str">
        <f>IFERROR(VLOOKUP($C65,[14]REKAP!$B$9:$E$200,4,0),"")</f>
        <v/>
      </c>
      <c r="AP65" s="15" t="str">
        <f>IFERROR(VLOOKUP($C65,[14]REKAP!$B$9:$G$200,6,0),"")</f>
        <v/>
      </c>
      <c r="AQ65" s="15" t="str">
        <f>IFERROR(VLOOKUP($C65,[15]REKAP!$B$9:$D$200,3,0),"")</f>
        <v/>
      </c>
      <c r="AR65" s="15" t="str">
        <f>IFERROR(VLOOKUP($C65,[15]REKAP!$B$9:$E$200,4,0),"")</f>
        <v/>
      </c>
      <c r="AS65" s="15" t="str">
        <f>IFERROR(VLOOKUP($C65,[15]REKAP!$B$9:$G$200,6,0),"")</f>
        <v/>
      </c>
      <c r="AT65" s="15" t="str">
        <f>IFERROR(VLOOKUP($C65,[16]REKAP!$B$9:$D$200,3,0),"")</f>
        <v/>
      </c>
      <c r="AU65" s="15" t="str">
        <f>IFERROR(VLOOKUP($C65,[16]REKAP!$B$9:$E$200,4,0),"")</f>
        <v/>
      </c>
      <c r="AV65" s="15" t="str">
        <f>IFERROR(VLOOKUP($C65,[16]REKAP!$B$9:$G$200,6,0),"")</f>
        <v/>
      </c>
      <c r="AW65" s="15" t="str">
        <f>IFERROR(VLOOKUP($C65,[17]REKAP!$B$9:$D$200,3,0),"")</f>
        <v/>
      </c>
      <c r="AX65" s="15" t="str">
        <f>IFERROR(VLOOKUP($C65,[17]REKAP!$B$9:$E$200,4,0),"")</f>
        <v/>
      </c>
      <c r="AY65" s="15" t="str">
        <f>IFERROR(VLOOKUP($C65,[17]REKAP!$B$9:$G$200,6,0),"")</f>
        <v/>
      </c>
      <c r="AZ65" s="15" t="str">
        <f>IFERROR(VLOOKUP($C65,[18]REKAP!$B$9:$D$200,3,0),"")</f>
        <v/>
      </c>
      <c r="BA65" s="15" t="str">
        <f>IFERROR(VLOOKUP($C65,[18]REKAP!$B$9:$E$200,4,0),"")</f>
        <v/>
      </c>
      <c r="BB65" s="15" t="str">
        <f>IFERROR(VLOOKUP($C65,[18]REKAP!$B$9:$G$200,6,0),"")</f>
        <v/>
      </c>
      <c r="BC65" s="15" t="str">
        <f>IFERROR(VLOOKUP($C65,[19]REKAP!$B$9:$D$200,3,0),"")</f>
        <v/>
      </c>
      <c r="BD65" s="15" t="str">
        <f>IFERROR(VLOOKUP($C65,[19]REKAP!$B$9:$E$200,4,0),"")</f>
        <v/>
      </c>
      <c r="BE65" s="15" t="str">
        <f>IFERROR(VLOOKUP($C65,[19]REKAP!$B$9:$G$200,6,0),"")</f>
        <v/>
      </c>
      <c r="BF65" s="15" t="str">
        <f>IFERROR(VLOOKUP($C65,[20]REKAP!$B$9:$D$200,3,0),"")</f>
        <v/>
      </c>
      <c r="BG65" s="15" t="str">
        <f>IFERROR(VLOOKUP($C65,[20]REKAP!$B$9:$E$200,4,0),"")</f>
        <v/>
      </c>
      <c r="BH65" s="15" t="str">
        <f>IFERROR(VLOOKUP($C65,[20]REKAP!$B$9:$G$200,6,0),"")</f>
        <v/>
      </c>
      <c r="BI65" s="15" t="str">
        <f>IFERROR(VLOOKUP($C65,[21]REKAP!$B$9:$D$200,3,0),"")</f>
        <v/>
      </c>
      <c r="BJ65" s="15" t="str">
        <f>IFERROR(VLOOKUP($C65,[21]REKAP!$B$9:$E$200,4,0),"")</f>
        <v/>
      </c>
      <c r="BK65" s="15" t="str">
        <f>IFERROR(VLOOKUP($C65,[21]REKAP!$B$9:$G$200,6,0),"")</f>
        <v/>
      </c>
      <c r="BL65" s="15" t="str">
        <f>IFERROR(VLOOKUP($C65,[22]REKAP!$B$9:$D$200,3,0),"")</f>
        <v/>
      </c>
      <c r="BM65" s="15" t="str">
        <f>IFERROR(VLOOKUP($C65,[22]REKAP!$B$9:$E$200,4,0),"")</f>
        <v/>
      </c>
      <c r="BN65" s="15" t="str">
        <f>IFERROR(VLOOKUP($C65,[22]REKAP!$B$9:$G$200,6,0),"")</f>
        <v/>
      </c>
      <c r="BO65" s="15" t="str">
        <f>IFERROR(VLOOKUP($C65,[23]REKAP!$B$9:$D$200,3,0),"")</f>
        <v/>
      </c>
      <c r="BP65" s="15" t="str">
        <f>IFERROR(VLOOKUP($C65,[23]REKAP!$B$9:$E$200,4,0),"")</f>
        <v/>
      </c>
      <c r="BQ65" s="15" t="str">
        <f>IFERROR(VLOOKUP($C65,[23]REKAP!$B$9:$G$200,6,0),"")</f>
        <v/>
      </c>
      <c r="BR65" s="15" t="str">
        <f>IFERROR(VLOOKUP($C65,[24]REKAP!$B$9:$D$200,3,0),"")</f>
        <v/>
      </c>
      <c r="BS65" s="15" t="str">
        <f>IFERROR(VLOOKUP($C65,[24]REKAP!$B$9:$E$200,4,0),"")</f>
        <v/>
      </c>
      <c r="BT65" s="15" t="str">
        <f>IFERROR(VLOOKUP($C65,[24]REKAP!$B$9:$G$200,6,0),"")</f>
        <v/>
      </c>
      <c r="BU65" s="15" t="str">
        <f>IFERROR(VLOOKUP($C65,[25]REKAP!$B$9:$D$200,3,0),"")</f>
        <v/>
      </c>
      <c r="BV65" s="15" t="str">
        <f>IFERROR(VLOOKUP($C65,[25]REKAP!$B$9:$E$200,4,0),"")</f>
        <v/>
      </c>
      <c r="BW65" s="15" t="str">
        <f>IFERROR(VLOOKUP($C65,[25]REKAP!$B$9:$G$200,6,0),"")</f>
        <v/>
      </c>
      <c r="BX65" s="15" t="str">
        <f>IFERROR(VLOOKUP($C65,[26]REKAP!$B$9:$D$200,3,0),"")</f>
        <v/>
      </c>
      <c r="BY65" s="15" t="str">
        <f>IFERROR(VLOOKUP($C65,[26]REKAP!$B$9:$E$200,4,0),"")</f>
        <v/>
      </c>
      <c r="BZ65" s="15" t="str">
        <f>IFERROR(VLOOKUP($C65,[26]REKAP!$B$9:$G$200,6,0),"")</f>
        <v/>
      </c>
      <c r="CA65" s="15" t="str">
        <f>IFERROR(VLOOKUP($C65,[27]REKAP!$B$9:$D$200,3,0),"")</f>
        <v/>
      </c>
      <c r="CB65" s="15" t="str">
        <f>IFERROR(VLOOKUP($C65,[27]REKAP!$B$9:$E$200,4,0),"")</f>
        <v/>
      </c>
      <c r="CC65" s="15" t="str">
        <f>IFERROR(VLOOKUP($C65,[27]REKAP!$B$9:$G$200,6,0),"")</f>
        <v/>
      </c>
      <c r="CD65" s="15" t="str">
        <f>IFERROR(VLOOKUP($C65,[28]REKAP!$B$9:$D$200,3,0),"")</f>
        <v/>
      </c>
      <c r="CE65" s="15" t="str">
        <f>IFERROR(VLOOKUP($C65,[28]REKAP!$B$9:$E$200,4,0),"")</f>
        <v/>
      </c>
      <c r="CF65" s="15" t="str">
        <f>IFERROR(VLOOKUP($C65,[28]REKAP!$B$9:$G$200,6,0),"")</f>
        <v/>
      </c>
      <c r="CG65" s="15" t="str">
        <f>IFERROR(VLOOKUP($C65,[29]REKAP!$B$9:$D$200,3,0),"")</f>
        <v/>
      </c>
      <c r="CH65" s="15" t="str">
        <f>IFERROR(VLOOKUP($C65,[29]REKAP!$B$9:$E$200,4,0),"")</f>
        <v/>
      </c>
      <c r="CI65" s="15" t="str">
        <f>IFERROR(VLOOKUP($C65,[29]REKAP!$B$9:$G$200,6,0),"")</f>
        <v/>
      </c>
      <c r="CJ65" s="15" t="str">
        <f>IFERROR(VLOOKUP($C65,[30]REKAP!$B$9:$D$200,3,0),"")</f>
        <v/>
      </c>
      <c r="CK65" s="15" t="str">
        <f>IFERROR(VLOOKUP($C65,[30]REKAP!$B$9:$E$200,4,0),"")</f>
        <v/>
      </c>
      <c r="CL65" s="15" t="str">
        <f>IFERROR(VLOOKUP($C65,[30]REKAP!$B$9:$G$200,6,0),"")</f>
        <v/>
      </c>
      <c r="CM65" s="15" t="str">
        <f>IFERROR(VLOOKUP($C65,[31]REKAP!$B$9:$D$200,3,0),"")</f>
        <v/>
      </c>
      <c r="CN65" s="15" t="str">
        <f>IFERROR(VLOOKUP($C65,[31]REKAP!$B$9:$E$200,4,0),"")</f>
        <v/>
      </c>
      <c r="CO65" s="15" t="str">
        <f>IFERROR(VLOOKUP($C65,[31]REKAP!$B$9:$G$200,6,0),"")</f>
        <v/>
      </c>
      <c r="CP65" s="15" t="str">
        <f>IFERROR(VLOOKUP($C65,[32]REKAP!$B$9:$D$200,3,0),"")</f>
        <v/>
      </c>
      <c r="CQ65" s="15" t="str">
        <f>IFERROR(VLOOKUP($C65,[32]REKAP!$B$9:$E$200,4,0),"")</f>
        <v/>
      </c>
      <c r="CR65" s="15" t="str">
        <f>IFERROR(VLOOKUP($C65,[32]REKAP!$B$9:$G$200,6,0),"")</f>
        <v/>
      </c>
      <c r="CS65" s="15" t="str">
        <f>IFERROR(VLOOKUP($C65,[33]REKAP!$B$9:$D$200,3,0),"")</f>
        <v/>
      </c>
      <c r="CT65" s="15" t="str">
        <f>IFERROR(VLOOKUP($C65,[33]REKAP!$B$9:$E$200,4,0),"")</f>
        <v/>
      </c>
      <c r="CU65" s="15" t="str">
        <f>IFERROR(VLOOKUP($C65,[33]REKAP!$B$9:$G$200,6,0),"")</f>
        <v/>
      </c>
      <c r="CV65" s="15" t="str">
        <f>IFERROR(VLOOKUP($C65,[34]REKAP!$B$9:$D$200,3,0),"")</f>
        <v/>
      </c>
      <c r="CW65" s="15" t="str">
        <f>IFERROR(VLOOKUP($C65,[34]REKAP!$B$9:$E$200,4,0),"")</f>
        <v/>
      </c>
      <c r="CX65" s="15" t="str">
        <f>IFERROR(VLOOKUP($C65,[34]REKAP!$B$9:$G$200,6,0),"")</f>
        <v/>
      </c>
    </row>
    <row r="66" spans="3:102" x14ac:dyDescent="0.25">
      <c r="C66" s="7" t="s">
        <v>118</v>
      </c>
      <c r="D66" s="5" t="str">
        <f>IFERROR(VLOOKUP(C66,DBASE!$C$7:$D$207,2,0),"")</f>
        <v>NORISOBA</v>
      </c>
      <c r="E66" s="15">
        <f t="shared" si="3"/>
        <v>12</v>
      </c>
      <c r="F66" s="15">
        <f t="shared" si="3"/>
        <v>193610.5</v>
      </c>
      <c r="H66" s="15">
        <f t="shared" si="3"/>
        <v>7610.5</v>
      </c>
      <c r="J66" s="15" t="str">
        <f>IFERROR(VLOOKUP($C66,[4]REKAP!$B$9:$D$200,3,0),"")</f>
        <v/>
      </c>
      <c r="K66" s="15" t="str">
        <f>IFERROR(VLOOKUP($C66,[4]REKAP!$B$9:$E$200,4,0),"")</f>
        <v/>
      </c>
      <c r="L66" s="15" t="str">
        <f>IFERROR(VLOOKUP($C66,[4]REKAP!$B$9:$G$200,6,0),"")</f>
        <v/>
      </c>
      <c r="M66" s="15" t="str">
        <f>IFERROR(VLOOKUP($C66,[5]REKAP!$B$9:$D$200,3,0),"")</f>
        <v/>
      </c>
      <c r="N66" s="15" t="str">
        <f>IFERROR(VLOOKUP($C66,[5]REKAP!$B$9:$E$200,4,0),"")</f>
        <v/>
      </c>
      <c r="O66" s="15" t="str">
        <f>IFERROR(VLOOKUP($C66,[5]REKAP!$B$9:$G$200,6,0),"")</f>
        <v/>
      </c>
      <c r="P66" s="15" t="str">
        <f>IFERROR(VLOOKUP($C66,[6]REKAP!$B$9:$D$200,3,0),"")</f>
        <v/>
      </c>
      <c r="Q66" s="15" t="str">
        <f>IFERROR(VLOOKUP($C66,[6]REKAP!$B$9:$E$200,4,0),"")</f>
        <v/>
      </c>
      <c r="R66" s="15" t="str">
        <f>IFERROR(VLOOKUP($C66,[6]REKAP!$B$9:$G$200,6,0),"")</f>
        <v/>
      </c>
      <c r="S66" s="15" t="str">
        <f>IFERROR(VLOOKUP($C66,[7]REKAP!$B$9:$D$200,3,0),"")</f>
        <v/>
      </c>
      <c r="T66" s="15" t="str">
        <f>IFERROR(VLOOKUP($C66,[7]REKAP!$B$9:$E$200,4,0),"")</f>
        <v/>
      </c>
      <c r="U66" s="15" t="str">
        <f>IFERROR(VLOOKUP($C66,[7]REKAP!$B$9:$G$200,6,0),"")</f>
        <v/>
      </c>
      <c r="V66" s="15">
        <f>IFERROR(VLOOKUP($C66,[8]REKAP!$B$9:$D$200,3,0),"")</f>
        <v>0</v>
      </c>
      <c r="W66" s="15">
        <f>IFERROR(VLOOKUP($C66,[8]REKAP!$B$9:$E$200,4,0),"")</f>
        <v>0</v>
      </c>
      <c r="X66" s="15">
        <f>IFERROR(VLOOKUP($C66,[8]REKAP!$B$9:$G$200,6,0),"")</f>
        <v>0</v>
      </c>
      <c r="Y66" s="15">
        <f>IFERROR(VLOOKUP($C66,[9]REKAP!$B$9:$D$200,3,0),"")</f>
        <v>8</v>
      </c>
      <c r="Z66" s="15">
        <f>IFERROR(VLOOKUP($C66,[9]REKAP!$B$9:$E$200,4,0),"")</f>
        <v>128000</v>
      </c>
      <c r="AA66" s="15">
        <f>IFERROR(VLOOKUP($C66,[9]REKAP!$B$9:$G$200,6,0),"")</f>
        <v>4000</v>
      </c>
      <c r="AB66" s="15">
        <f>IFERROR(VLOOKUP($C66,[10]REKAP!$B$9:$D$200,3,0),"")</f>
        <v>0</v>
      </c>
      <c r="AC66" s="15">
        <f>IFERROR(VLOOKUP($C66,[10]REKAP!$B$9:$E$200,4,0),"")</f>
        <v>0</v>
      </c>
      <c r="AD66" s="15">
        <f>IFERROR(VLOOKUP($C66,[10]REKAP!$B$9:$G$200,6,0),"")</f>
        <v>0</v>
      </c>
      <c r="AE66" s="15">
        <f>IFERROR(VLOOKUP($C66,[11]REKAP!$B$9:$D$199,3,0),"")</f>
        <v>1</v>
      </c>
      <c r="AF66" s="15">
        <f>IFERROR(VLOOKUP($C66,[11]REKAP!$B$9:$E$199,4,0),"")</f>
        <v>16000</v>
      </c>
      <c r="AG66" s="15">
        <f>IFERROR(VLOOKUP($C66,[11]REKAP!$B$9:$G$199,6,0),"")</f>
        <v>500</v>
      </c>
      <c r="AH66" s="15">
        <f>IFERROR(VLOOKUP($C66,[12]REKAP!$B$9:$D$200,3,0),"")</f>
        <v>3</v>
      </c>
      <c r="AI66" s="15">
        <f>IFERROR(VLOOKUP($C66,[12]REKAP!$B$9:$E$200,4,0),"")</f>
        <v>49610.5</v>
      </c>
      <c r="AJ66" s="15">
        <f>IFERROR(VLOOKUP($C66,[12]REKAP!$B$9:$G$200,6,0),"")</f>
        <v>3110.5</v>
      </c>
      <c r="AK66" s="15" t="str">
        <f>IFERROR(VLOOKUP($C66,[13]REKAP!$B$9:$D$200,3,0),"")</f>
        <v/>
      </c>
      <c r="AL66" s="15" t="str">
        <f>IFERROR(VLOOKUP($C66,[13]REKAP!$B$9:$E$200,4,0),"")</f>
        <v/>
      </c>
      <c r="AM66" s="15" t="str">
        <f>IFERROR(VLOOKUP($C66,[13]REKAP!$B$9:$G$200,6,0),"")</f>
        <v/>
      </c>
      <c r="AN66" s="15" t="str">
        <f>IFERROR(VLOOKUP($C66,[14]REKAP!$B$9:$D$200,3,0),"")</f>
        <v/>
      </c>
      <c r="AO66" s="15" t="str">
        <f>IFERROR(VLOOKUP($C66,[14]REKAP!$B$9:$E$200,4,0),"")</f>
        <v/>
      </c>
      <c r="AP66" s="15" t="str">
        <f>IFERROR(VLOOKUP($C66,[14]REKAP!$B$9:$G$200,6,0),"")</f>
        <v/>
      </c>
      <c r="AQ66" s="15" t="str">
        <f>IFERROR(VLOOKUP($C66,[15]REKAP!$B$9:$D$200,3,0),"")</f>
        <v/>
      </c>
      <c r="AR66" s="15" t="str">
        <f>IFERROR(VLOOKUP($C66,[15]REKAP!$B$9:$E$200,4,0),"")</f>
        <v/>
      </c>
      <c r="AS66" s="15" t="str">
        <f>IFERROR(VLOOKUP($C66,[15]REKAP!$B$9:$G$200,6,0),"")</f>
        <v/>
      </c>
      <c r="AT66" s="15" t="str">
        <f>IFERROR(VLOOKUP($C66,[16]REKAP!$B$9:$D$200,3,0),"")</f>
        <v/>
      </c>
      <c r="AU66" s="15" t="str">
        <f>IFERROR(VLOOKUP($C66,[16]REKAP!$B$9:$E$200,4,0),"")</f>
        <v/>
      </c>
      <c r="AV66" s="15" t="str">
        <f>IFERROR(VLOOKUP($C66,[16]REKAP!$B$9:$G$200,6,0),"")</f>
        <v/>
      </c>
      <c r="AW66" s="15" t="str">
        <f>IFERROR(VLOOKUP($C66,[17]REKAP!$B$9:$D$200,3,0),"")</f>
        <v/>
      </c>
      <c r="AX66" s="15" t="str">
        <f>IFERROR(VLOOKUP($C66,[17]REKAP!$B$9:$E$200,4,0),"")</f>
        <v/>
      </c>
      <c r="AY66" s="15" t="str">
        <f>IFERROR(VLOOKUP($C66,[17]REKAP!$B$9:$G$200,6,0),"")</f>
        <v/>
      </c>
      <c r="AZ66" s="15" t="str">
        <f>IFERROR(VLOOKUP($C66,[18]REKAP!$B$9:$D$200,3,0),"")</f>
        <v/>
      </c>
      <c r="BA66" s="15" t="str">
        <f>IFERROR(VLOOKUP($C66,[18]REKAP!$B$9:$E$200,4,0),"")</f>
        <v/>
      </c>
      <c r="BB66" s="15" t="str">
        <f>IFERROR(VLOOKUP($C66,[18]REKAP!$B$9:$G$200,6,0),"")</f>
        <v/>
      </c>
      <c r="BC66" s="15" t="str">
        <f>IFERROR(VLOOKUP($C66,[19]REKAP!$B$9:$D$200,3,0),"")</f>
        <v/>
      </c>
      <c r="BD66" s="15" t="str">
        <f>IFERROR(VLOOKUP($C66,[19]REKAP!$B$9:$E$200,4,0),"")</f>
        <v/>
      </c>
      <c r="BE66" s="15" t="str">
        <f>IFERROR(VLOOKUP($C66,[19]REKAP!$B$9:$G$200,6,0),"")</f>
        <v/>
      </c>
      <c r="BF66" s="15" t="str">
        <f>IFERROR(VLOOKUP($C66,[20]REKAP!$B$9:$D$200,3,0),"")</f>
        <v/>
      </c>
      <c r="BG66" s="15" t="str">
        <f>IFERROR(VLOOKUP($C66,[20]REKAP!$B$9:$E$200,4,0),"")</f>
        <v/>
      </c>
      <c r="BH66" s="15" t="str">
        <f>IFERROR(VLOOKUP($C66,[20]REKAP!$B$9:$G$200,6,0),"")</f>
        <v/>
      </c>
      <c r="BI66" s="15" t="str">
        <f>IFERROR(VLOOKUP($C66,[21]REKAP!$B$9:$D$200,3,0),"")</f>
        <v/>
      </c>
      <c r="BJ66" s="15" t="str">
        <f>IFERROR(VLOOKUP($C66,[21]REKAP!$B$9:$E$200,4,0),"")</f>
        <v/>
      </c>
      <c r="BK66" s="15" t="str">
        <f>IFERROR(VLOOKUP($C66,[21]REKAP!$B$9:$G$200,6,0),"")</f>
        <v/>
      </c>
      <c r="BL66" s="15" t="str">
        <f>IFERROR(VLOOKUP($C66,[22]REKAP!$B$9:$D$200,3,0),"")</f>
        <v/>
      </c>
      <c r="BM66" s="15" t="str">
        <f>IFERROR(VLOOKUP($C66,[22]REKAP!$B$9:$E$200,4,0),"")</f>
        <v/>
      </c>
      <c r="BN66" s="15" t="str">
        <f>IFERROR(VLOOKUP($C66,[22]REKAP!$B$9:$G$200,6,0),"")</f>
        <v/>
      </c>
      <c r="BO66" s="15" t="str">
        <f>IFERROR(VLOOKUP($C66,[23]REKAP!$B$9:$D$200,3,0),"")</f>
        <v/>
      </c>
      <c r="BP66" s="15" t="str">
        <f>IFERROR(VLOOKUP($C66,[23]REKAP!$B$9:$E$200,4,0),"")</f>
        <v/>
      </c>
      <c r="BQ66" s="15" t="str">
        <f>IFERROR(VLOOKUP($C66,[23]REKAP!$B$9:$G$200,6,0),"")</f>
        <v/>
      </c>
      <c r="BR66" s="15" t="str">
        <f>IFERROR(VLOOKUP($C66,[24]REKAP!$B$9:$D$200,3,0),"")</f>
        <v/>
      </c>
      <c r="BS66" s="15" t="str">
        <f>IFERROR(VLOOKUP($C66,[24]REKAP!$B$9:$E$200,4,0),"")</f>
        <v/>
      </c>
      <c r="BT66" s="15" t="str">
        <f>IFERROR(VLOOKUP($C66,[24]REKAP!$B$9:$G$200,6,0),"")</f>
        <v/>
      </c>
      <c r="BU66" s="15" t="str">
        <f>IFERROR(VLOOKUP($C66,[25]REKAP!$B$9:$D$200,3,0),"")</f>
        <v/>
      </c>
      <c r="BV66" s="15" t="str">
        <f>IFERROR(VLOOKUP($C66,[25]REKAP!$B$9:$E$200,4,0),"")</f>
        <v/>
      </c>
      <c r="BW66" s="15" t="str">
        <f>IFERROR(VLOOKUP($C66,[25]REKAP!$B$9:$G$200,6,0),"")</f>
        <v/>
      </c>
      <c r="BX66" s="15" t="str">
        <f>IFERROR(VLOOKUP($C66,[26]REKAP!$B$9:$D$200,3,0),"")</f>
        <v/>
      </c>
      <c r="BY66" s="15" t="str">
        <f>IFERROR(VLOOKUP($C66,[26]REKAP!$B$9:$E$200,4,0),"")</f>
        <v/>
      </c>
      <c r="BZ66" s="15" t="str">
        <f>IFERROR(VLOOKUP($C66,[26]REKAP!$B$9:$G$200,6,0),"")</f>
        <v/>
      </c>
      <c r="CA66" s="15" t="str">
        <f>IFERROR(VLOOKUP($C66,[27]REKAP!$B$9:$D$200,3,0),"")</f>
        <v/>
      </c>
      <c r="CB66" s="15" t="str">
        <f>IFERROR(VLOOKUP($C66,[27]REKAP!$B$9:$E$200,4,0),"")</f>
        <v/>
      </c>
      <c r="CC66" s="15" t="str">
        <f>IFERROR(VLOOKUP($C66,[27]REKAP!$B$9:$G$200,6,0),"")</f>
        <v/>
      </c>
      <c r="CD66" s="15" t="str">
        <f>IFERROR(VLOOKUP($C66,[28]REKAP!$B$9:$D$200,3,0),"")</f>
        <v/>
      </c>
      <c r="CE66" s="15" t="str">
        <f>IFERROR(VLOOKUP($C66,[28]REKAP!$B$9:$E$200,4,0),"")</f>
        <v/>
      </c>
      <c r="CF66" s="15" t="str">
        <f>IFERROR(VLOOKUP($C66,[28]REKAP!$B$9:$G$200,6,0),"")</f>
        <v/>
      </c>
      <c r="CG66" s="15" t="str">
        <f>IFERROR(VLOOKUP($C66,[29]REKAP!$B$9:$D$200,3,0),"")</f>
        <v/>
      </c>
      <c r="CH66" s="15" t="str">
        <f>IFERROR(VLOOKUP($C66,[29]REKAP!$B$9:$E$200,4,0),"")</f>
        <v/>
      </c>
      <c r="CI66" s="15" t="str">
        <f>IFERROR(VLOOKUP($C66,[29]REKAP!$B$9:$G$200,6,0),"")</f>
        <v/>
      </c>
      <c r="CJ66" s="15" t="str">
        <f>IFERROR(VLOOKUP($C66,[30]REKAP!$B$9:$D$200,3,0),"")</f>
        <v/>
      </c>
      <c r="CK66" s="15" t="str">
        <f>IFERROR(VLOOKUP($C66,[30]REKAP!$B$9:$E$200,4,0),"")</f>
        <v/>
      </c>
      <c r="CL66" s="15" t="str">
        <f>IFERROR(VLOOKUP($C66,[30]REKAP!$B$9:$G$200,6,0),"")</f>
        <v/>
      </c>
      <c r="CM66" s="15" t="str">
        <f>IFERROR(VLOOKUP($C66,[31]REKAP!$B$9:$D$200,3,0),"")</f>
        <v/>
      </c>
      <c r="CN66" s="15" t="str">
        <f>IFERROR(VLOOKUP($C66,[31]REKAP!$B$9:$E$200,4,0),"")</f>
        <v/>
      </c>
      <c r="CO66" s="15" t="str">
        <f>IFERROR(VLOOKUP($C66,[31]REKAP!$B$9:$G$200,6,0),"")</f>
        <v/>
      </c>
      <c r="CP66" s="15" t="str">
        <f>IFERROR(VLOOKUP($C66,[32]REKAP!$B$9:$D$200,3,0),"")</f>
        <v/>
      </c>
      <c r="CQ66" s="15" t="str">
        <f>IFERROR(VLOOKUP($C66,[32]REKAP!$B$9:$E$200,4,0),"")</f>
        <v/>
      </c>
      <c r="CR66" s="15" t="str">
        <f>IFERROR(VLOOKUP($C66,[32]REKAP!$B$9:$G$200,6,0),"")</f>
        <v/>
      </c>
      <c r="CS66" s="15" t="str">
        <f>IFERROR(VLOOKUP($C66,[33]REKAP!$B$9:$D$200,3,0),"")</f>
        <v/>
      </c>
      <c r="CT66" s="15" t="str">
        <f>IFERROR(VLOOKUP($C66,[33]REKAP!$B$9:$E$200,4,0),"")</f>
        <v/>
      </c>
      <c r="CU66" s="15" t="str">
        <f>IFERROR(VLOOKUP($C66,[33]REKAP!$B$9:$G$200,6,0),"")</f>
        <v/>
      </c>
      <c r="CV66" s="15" t="str">
        <f>IFERROR(VLOOKUP($C66,[34]REKAP!$B$9:$D$200,3,0),"")</f>
        <v/>
      </c>
      <c r="CW66" s="15" t="str">
        <f>IFERROR(VLOOKUP($C66,[34]REKAP!$B$9:$E$200,4,0),"")</f>
        <v/>
      </c>
      <c r="CX66" s="15" t="str">
        <f>IFERROR(VLOOKUP($C66,[34]REKAP!$B$9:$G$200,6,0),"")</f>
        <v/>
      </c>
    </row>
    <row r="67" spans="3:102" x14ac:dyDescent="0.25">
      <c r="C67" s="7" t="s">
        <v>119</v>
      </c>
      <c r="D67" s="5" t="str">
        <f>IFERROR(VLOOKUP(C67,DBASE!$C$7:$D$207,2,0),"")</f>
        <v>YAKISOBA</v>
      </c>
      <c r="E67" s="15">
        <f t="shared" si="3"/>
        <v>10</v>
      </c>
      <c r="F67" s="15">
        <f t="shared" si="3"/>
        <v>161610.5</v>
      </c>
      <c r="H67" s="15">
        <f t="shared" si="3"/>
        <v>6610.5</v>
      </c>
      <c r="J67" s="15" t="str">
        <f>IFERROR(VLOOKUP($C67,[4]REKAP!$B$9:$D$200,3,0),"")</f>
        <v/>
      </c>
      <c r="K67" s="15" t="str">
        <f>IFERROR(VLOOKUP($C67,[4]REKAP!$B$9:$E$200,4,0),"")</f>
        <v/>
      </c>
      <c r="L67" s="15" t="str">
        <f>IFERROR(VLOOKUP($C67,[4]REKAP!$B$9:$G$200,6,0),"")</f>
        <v/>
      </c>
      <c r="M67" s="15" t="str">
        <f>IFERROR(VLOOKUP($C67,[5]REKAP!$B$9:$D$200,3,0),"")</f>
        <v/>
      </c>
      <c r="N67" s="15" t="str">
        <f>IFERROR(VLOOKUP($C67,[5]REKAP!$B$9:$E$200,4,0),"")</f>
        <v/>
      </c>
      <c r="O67" s="15" t="str">
        <f>IFERROR(VLOOKUP($C67,[5]REKAP!$B$9:$G$200,6,0),"")</f>
        <v/>
      </c>
      <c r="P67" s="15" t="str">
        <f>IFERROR(VLOOKUP($C67,[6]REKAP!$B$9:$D$200,3,0),"")</f>
        <v/>
      </c>
      <c r="Q67" s="15" t="str">
        <f>IFERROR(VLOOKUP($C67,[6]REKAP!$B$9:$E$200,4,0),"")</f>
        <v/>
      </c>
      <c r="R67" s="15" t="str">
        <f>IFERROR(VLOOKUP($C67,[6]REKAP!$B$9:$G$200,6,0),"")</f>
        <v/>
      </c>
      <c r="S67" s="15" t="str">
        <f>IFERROR(VLOOKUP($C67,[7]REKAP!$B$9:$D$200,3,0),"")</f>
        <v/>
      </c>
      <c r="T67" s="15" t="str">
        <f>IFERROR(VLOOKUP($C67,[7]REKAP!$B$9:$E$200,4,0),"")</f>
        <v/>
      </c>
      <c r="U67" s="15" t="str">
        <f>IFERROR(VLOOKUP($C67,[7]REKAP!$B$9:$G$200,6,0),"")</f>
        <v/>
      </c>
      <c r="V67" s="15">
        <f>IFERROR(VLOOKUP($C67,[8]REKAP!$B$9:$D$200,3,0),"")</f>
        <v>0</v>
      </c>
      <c r="W67" s="15">
        <f>IFERROR(VLOOKUP($C67,[8]REKAP!$B$9:$E$200,4,0),"")</f>
        <v>0</v>
      </c>
      <c r="X67" s="15">
        <f>IFERROR(VLOOKUP($C67,[8]REKAP!$B$9:$G$200,6,0),"")</f>
        <v>0</v>
      </c>
      <c r="Y67" s="15">
        <f>IFERROR(VLOOKUP($C67,[9]REKAP!$B$9:$D$200,3,0),"")</f>
        <v>5</v>
      </c>
      <c r="Z67" s="15">
        <f>IFERROR(VLOOKUP($C67,[9]REKAP!$B$9:$E$200,4,0),"")</f>
        <v>80000</v>
      </c>
      <c r="AA67" s="15">
        <f>IFERROR(VLOOKUP($C67,[9]REKAP!$B$9:$G$200,6,0),"")</f>
        <v>2500</v>
      </c>
      <c r="AB67" s="15">
        <f>IFERROR(VLOOKUP($C67,[10]REKAP!$B$9:$D$200,3,0),"")</f>
        <v>0</v>
      </c>
      <c r="AC67" s="15">
        <f>IFERROR(VLOOKUP($C67,[10]REKAP!$B$9:$E$200,4,0),"")</f>
        <v>0</v>
      </c>
      <c r="AD67" s="15">
        <f>IFERROR(VLOOKUP($C67,[10]REKAP!$B$9:$G$200,6,0),"")</f>
        <v>0</v>
      </c>
      <c r="AE67" s="15">
        <f>IFERROR(VLOOKUP($C67,[11]REKAP!$B$9:$D$199,3,0),"")</f>
        <v>2</v>
      </c>
      <c r="AF67" s="15">
        <f>IFERROR(VLOOKUP($C67,[11]REKAP!$B$9:$E$199,4,0),"")</f>
        <v>32000</v>
      </c>
      <c r="AG67" s="15">
        <f>IFERROR(VLOOKUP($C67,[11]REKAP!$B$9:$G$199,6,0),"")</f>
        <v>1000</v>
      </c>
      <c r="AH67" s="15">
        <f>IFERROR(VLOOKUP($C67,[12]REKAP!$B$9:$D$200,3,0),"")</f>
        <v>3</v>
      </c>
      <c r="AI67" s="15">
        <f>IFERROR(VLOOKUP($C67,[12]REKAP!$B$9:$E$200,4,0),"")</f>
        <v>49610.5</v>
      </c>
      <c r="AJ67" s="15">
        <f>IFERROR(VLOOKUP($C67,[12]REKAP!$B$9:$G$200,6,0),"")</f>
        <v>3110.5</v>
      </c>
      <c r="AK67" s="15" t="str">
        <f>IFERROR(VLOOKUP($C67,[13]REKAP!$B$9:$D$200,3,0),"")</f>
        <v/>
      </c>
      <c r="AL67" s="15" t="str">
        <f>IFERROR(VLOOKUP($C67,[13]REKAP!$B$9:$E$200,4,0),"")</f>
        <v/>
      </c>
      <c r="AM67" s="15" t="str">
        <f>IFERROR(VLOOKUP($C67,[13]REKAP!$B$9:$G$200,6,0),"")</f>
        <v/>
      </c>
      <c r="AN67" s="15" t="str">
        <f>IFERROR(VLOOKUP($C67,[14]REKAP!$B$9:$D$200,3,0),"")</f>
        <v/>
      </c>
      <c r="AO67" s="15" t="str">
        <f>IFERROR(VLOOKUP($C67,[14]REKAP!$B$9:$E$200,4,0),"")</f>
        <v/>
      </c>
      <c r="AP67" s="15" t="str">
        <f>IFERROR(VLOOKUP($C67,[14]REKAP!$B$9:$G$200,6,0),"")</f>
        <v/>
      </c>
      <c r="AQ67" s="15" t="str">
        <f>IFERROR(VLOOKUP($C67,[15]REKAP!$B$9:$D$200,3,0),"")</f>
        <v/>
      </c>
      <c r="AR67" s="15" t="str">
        <f>IFERROR(VLOOKUP($C67,[15]REKAP!$B$9:$E$200,4,0),"")</f>
        <v/>
      </c>
      <c r="AS67" s="15" t="str">
        <f>IFERROR(VLOOKUP($C67,[15]REKAP!$B$9:$G$200,6,0),"")</f>
        <v/>
      </c>
      <c r="AT67" s="15" t="str">
        <f>IFERROR(VLOOKUP($C67,[16]REKAP!$B$9:$D$200,3,0),"")</f>
        <v/>
      </c>
      <c r="AU67" s="15" t="str">
        <f>IFERROR(VLOOKUP($C67,[16]REKAP!$B$9:$E$200,4,0),"")</f>
        <v/>
      </c>
      <c r="AV67" s="15" t="str">
        <f>IFERROR(VLOOKUP($C67,[16]REKAP!$B$9:$G$200,6,0),"")</f>
        <v/>
      </c>
      <c r="AW67" s="15" t="str">
        <f>IFERROR(VLOOKUP($C67,[17]REKAP!$B$9:$D$200,3,0),"")</f>
        <v/>
      </c>
      <c r="AX67" s="15" t="str">
        <f>IFERROR(VLOOKUP($C67,[17]REKAP!$B$9:$E$200,4,0),"")</f>
        <v/>
      </c>
      <c r="AY67" s="15" t="str">
        <f>IFERROR(VLOOKUP($C67,[17]REKAP!$B$9:$G$200,6,0),"")</f>
        <v/>
      </c>
      <c r="AZ67" s="15" t="str">
        <f>IFERROR(VLOOKUP($C67,[18]REKAP!$B$9:$D$200,3,0),"")</f>
        <v/>
      </c>
      <c r="BA67" s="15" t="str">
        <f>IFERROR(VLOOKUP($C67,[18]REKAP!$B$9:$E$200,4,0),"")</f>
        <v/>
      </c>
      <c r="BB67" s="15" t="str">
        <f>IFERROR(VLOOKUP($C67,[18]REKAP!$B$9:$G$200,6,0),"")</f>
        <v/>
      </c>
      <c r="BC67" s="15" t="str">
        <f>IFERROR(VLOOKUP($C67,[19]REKAP!$B$9:$D$200,3,0),"")</f>
        <v/>
      </c>
      <c r="BD67" s="15" t="str">
        <f>IFERROR(VLOOKUP($C67,[19]REKAP!$B$9:$E$200,4,0),"")</f>
        <v/>
      </c>
      <c r="BE67" s="15" t="str">
        <f>IFERROR(VLOOKUP($C67,[19]REKAP!$B$9:$G$200,6,0),"")</f>
        <v/>
      </c>
      <c r="BF67" s="15" t="str">
        <f>IFERROR(VLOOKUP($C67,[20]REKAP!$B$9:$D$200,3,0),"")</f>
        <v/>
      </c>
      <c r="BG67" s="15" t="str">
        <f>IFERROR(VLOOKUP($C67,[20]REKAP!$B$9:$E$200,4,0),"")</f>
        <v/>
      </c>
      <c r="BH67" s="15" t="str">
        <f>IFERROR(VLOOKUP($C67,[20]REKAP!$B$9:$G$200,6,0),"")</f>
        <v/>
      </c>
      <c r="BI67" s="15" t="str">
        <f>IFERROR(VLOOKUP($C67,[21]REKAP!$B$9:$D$200,3,0),"")</f>
        <v/>
      </c>
      <c r="BJ67" s="15" t="str">
        <f>IFERROR(VLOOKUP($C67,[21]REKAP!$B$9:$E$200,4,0),"")</f>
        <v/>
      </c>
      <c r="BK67" s="15" t="str">
        <f>IFERROR(VLOOKUP($C67,[21]REKAP!$B$9:$G$200,6,0),"")</f>
        <v/>
      </c>
      <c r="BL67" s="15" t="str">
        <f>IFERROR(VLOOKUP($C67,[22]REKAP!$B$9:$D$200,3,0),"")</f>
        <v/>
      </c>
      <c r="BM67" s="15" t="str">
        <f>IFERROR(VLOOKUP($C67,[22]REKAP!$B$9:$E$200,4,0),"")</f>
        <v/>
      </c>
      <c r="BN67" s="15" t="str">
        <f>IFERROR(VLOOKUP($C67,[22]REKAP!$B$9:$G$200,6,0),"")</f>
        <v/>
      </c>
      <c r="BO67" s="15" t="str">
        <f>IFERROR(VLOOKUP($C67,[23]REKAP!$B$9:$D$200,3,0),"")</f>
        <v/>
      </c>
      <c r="BP67" s="15" t="str">
        <f>IFERROR(VLOOKUP($C67,[23]REKAP!$B$9:$E$200,4,0),"")</f>
        <v/>
      </c>
      <c r="BQ67" s="15" t="str">
        <f>IFERROR(VLOOKUP($C67,[23]REKAP!$B$9:$G$200,6,0),"")</f>
        <v/>
      </c>
      <c r="BR67" s="15" t="str">
        <f>IFERROR(VLOOKUP($C67,[24]REKAP!$B$9:$D$200,3,0),"")</f>
        <v/>
      </c>
      <c r="BS67" s="15" t="str">
        <f>IFERROR(VLOOKUP($C67,[24]REKAP!$B$9:$E$200,4,0),"")</f>
        <v/>
      </c>
      <c r="BT67" s="15" t="str">
        <f>IFERROR(VLOOKUP($C67,[24]REKAP!$B$9:$G$200,6,0),"")</f>
        <v/>
      </c>
      <c r="BU67" s="15" t="str">
        <f>IFERROR(VLOOKUP($C67,[25]REKAP!$B$9:$D$200,3,0),"")</f>
        <v/>
      </c>
      <c r="BV67" s="15" t="str">
        <f>IFERROR(VLOOKUP($C67,[25]REKAP!$B$9:$E$200,4,0),"")</f>
        <v/>
      </c>
      <c r="BW67" s="15" t="str">
        <f>IFERROR(VLOOKUP($C67,[25]REKAP!$B$9:$G$200,6,0),"")</f>
        <v/>
      </c>
      <c r="BX67" s="15" t="str">
        <f>IFERROR(VLOOKUP($C67,[26]REKAP!$B$9:$D$200,3,0),"")</f>
        <v/>
      </c>
      <c r="BY67" s="15" t="str">
        <f>IFERROR(VLOOKUP($C67,[26]REKAP!$B$9:$E$200,4,0),"")</f>
        <v/>
      </c>
      <c r="BZ67" s="15" t="str">
        <f>IFERROR(VLOOKUP($C67,[26]REKAP!$B$9:$G$200,6,0),"")</f>
        <v/>
      </c>
      <c r="CA67" s="15" t="str">
        <f>IFERROR(VLOOKUP($C67,[27]REKAP!$B$9:$D$200,3,0),"")</f>
        <v/>
      </c>
      <c r="CB67" s="15" t="str">
        <f>IFERROR(VLOOKUP($C67,[27]REKAP!$B$9:$E$200,4,0),"")</f>
        <v/>
      </c>
      <c r="CC67" s="15" t="str">
        <f>IFERROR(VLOOKUP($C67,[27]REKAP!$B$9:$G$200,6,0),"")</f>
        <v/>
      </c>
      <c r="CD67" s="15" t="str">
        <f>IFERROR(VLOOKUP($C67,[28]REKAP!$B$9:$D$200,3,0),"")</f>
        <v/>
      </c>
      <c r="CE67" s="15" t="str">
        <f>IFERROR(VLOOKUP($C67,[28]REKAP!$B$9:$E$200,4,0),"")</f>
        <v/>
      </c>
      <c r="CF67" s="15" t="str">
        <f>IFERROR(VLOOKUP($C67,[28]REKAP!$B$9:$G$200,6,0),"")</f>
        <v/>
      </c>
      <c r="CG67" s="15" t="str">
        <f>IFERROR(VLOOKUP($C67,[29]REKAP!$B$9:$D$200,3,0),"")</f>
        <v/>
      </c>
      <c r="CH67" s="15" t="str">
        <f>IFERROR(VLOOKUP($C67,[29]REKAP!$B$9:$E$200,4,0),"")</f>
        <v/>
      </c>
      <c r="CI67" s="15" t="str">
        <f>IFERROR(VLOOKUP($C67,[29]REKAP!$B$9:$G$200,6,0),"")</f>
        <v/>
      </c>
      <c r="CJ67" s="15" t="str">
        <f>IFERROR(VLOOKUP($C67,[30]REKAP!$B$9:$D$200,3,0),"")</f>
        <v/>
      </c>
      <c r="CK67" s="15" t="str">
        <f>IFERROR(VLOOKUP($C67,[30]REKAP!$B$9:$E$200,4,0),"")</f>
        <v/>
      </c>
      <c r="CL67" s="15" t="str">
        <f>IFERROR(VLOOKUP($C67,[30]REKAP!$B$9:$G$200,6,0),"")</f>
        <v/>
      </c>
      <c r="CM67" s="15" t="str">
        <f>IFERROR(VLOOKUP($C67,[31]REKAP!$B$9:$D$200,3,0),"")</f>
        <v/>
      </c>
      <c r="CN67" s="15" t="str">
        <f>IFERROR(VLOOKUP($C67,[31]REKAP!$B$9:$E$200,4,0),"")</f>
        <v/>
      </c>
      <c r="CO67" s="15" t="str">
        <f>IFERROR(VLOOKUP($C67,[31]REKAP!$B$9:$G$200,6,0),"")</f>
        <v/>
      </c>
      <c r="CP67" s="15" t="str">
        <f>IFERROR(VLOOKUP($C67,[32]REKAP!$B$9:$D$200,3,0),"")</f>
        <v/>
      </c>
      <c r="CQ67" s="15" t="str">
        <f>IFERROR(VLOOKUP($C67,[32]REKAP!$B$9:$E$200,4,0),"")</f>
        <v/>
      </c>
      <c r="CR67" s="15" t="str">
        <f>IFERROR(VLOOKUP($C67,[32]REKAP!$B$9:$G$200,6,0),"")</f>
        <v/>
      </c>
      <c r="CS67" s="15" t="str">
        <f>IFERROR(VLOOKUP($C67,[33]REKAP!$B$9:$D$200,3,0),"")</f>
        <v/>
      </c>
      <c r="CT67" s="15" t="str">
        <f>IFERROR(VLOOKUP($C67,[33]REKAP!$B$9:$E$200,4,0),"")</f>
        <v/>
      </c>
      <c r="CU67" s="15" t="str">
        <f>IFERROR(VLOOKUP($C67,[33]REKAP!$B$9:$G$200,6,0),"")</f>
        <v/>
      </c>
      <c r="CV67" s="15" t="str">
        <f>IFERROR(VLOOKUP($C67,[34]REKAP!$B$9:$D$200,3,0),"")</f>
        <v/>
      </c>
      <c r="CW67" s="15" t="str">
        <f>IFERROR(VLOOKUP($C67,[34]REKAP!$B$9:$E$200,4,0),"")</f>
        <v/>
      </c>
      <c r="CX67" s="15" t="str">
        <f>IFERROR(VLOOKUP($C67,[34]REKAP!$B$9:$G$200,6,0),"")</f>
        <v/>
      </c>
    </row>
    <row r="68" spans="3:102" x14ac:dyDescent="0.25">
      <c r="C68" s="7" t="s">
        <v>112</v>
      </c>
      <c r="D68" s="5" t="str">
        <f>IFERROR(VLOOKUP(C68,DBASE!$C$7:$D$207,2,0),"")</f>
        <v>ASYIK</v>
      </c>
      <c r="E68" s="15">
        <f t="shared" si="3"/>
        <v>9</v>
      </c>
      <c r="F68" s="15">
        <f t="shared" si="3"/>
        <v>220500</v>
      </c>
      <c r="H68" s="15">
        <f t="shared" si="3"/>
        <v>11250</v>
      </c>
      <c r="J68" s="15" t="str">
        <f>IFERROR(VLOOKUP($C68,[4]REKAP!$B$9:$D$200,3,0),"")</f>
        <v/>
      </c>
      <c r="K68" s="15" t="str">
        <f>IFERROR(VLOOKUP($C68,[4]REKAP!$B$9:$E$200,4,0),"")</f>
        <v/>
      </c>
      <c r="L68" s="15" t="str">
        <f>IFERROR(VLOOKUP($C68,[4]REKAP!$B$9:$G$200,6,0),"")</f>
        <v/>
      </c>
      <c r="M68" s="15" t="str">
        <f>IFERROR(VLOOKUP($C68,[5]REKAP!$B$9:$D$200,3,0),"")</f>
        <v/>
      </c>
      <c r="N68" s="15" t="str">
        <f>IFERROR(VLOOKUP($C68,[5]REKAP!$B$9:$E$200,4,0),"")</f>
        <v/>
      </c>
      <c r="O68" s="15" t="str">
        <f>IFERROR(VLOOKUP($C68,[5]REKAP!$B$9:$G$200,6,0),"")</f>
        <v/>
      </c>
      <c r="P68" s="15" t="str">
        <f>IFERROR(VLOOKUP($C68,[6]REKAP!$B$9:$D$200,3,0),"")</f>
        <v/>
      </c>
      <c r="Q68" s="15" t="str">
        <f>IFERROR(VLOOKUP($C68,[6]REKAP!$B$9:$E$200,4,0),"")</f>
        <v/>
      </c>
      <c r="R68" s="15" t="str">
        <f>IFERROR(VLOOKUP($C68,[6]REKAP!$B$9:$G$200,6,0),"")</f>
        <v/>
      </c>
      <c r="S68" s="15" t="str">
        <f>IFERROR(VLOOKUP($C68,[7]REKAP!$B$9:$D$200,3,0),"")</f>
        <v/>
      </c>
      <c r="T68" s="15" t="str">
        <f>IFERROR(VLOOKUP($C68,[7]REKAP!$B$9:$E$200,4,0),"")</f>
        <v/>
      </c>
      <c r="U68" s="15" t="str">
        <f>IFERROR(VLOOKUP($C68,[7]REKAP!$B$9:$G$200,6,0),"")</f>
        <v/>
      </c>
      <c r="V68" s="15">
        <f>IFERROR(VLOOKUP($C68,[8]REKAP!$B$9:$D$200,3,0),"")</f>
        <v>0</v>
      </c>
      <c r="W68" s="15">
        <f>IFERROR(VLOOKUP($C68,[8]REKAP!$B$9:$E$200,4,0),"")</f>
        <v>0</v>
      </c>
      <c r="X68" s="15">
        <f>IFERROR(VLOOKUP($C68,[8]REKAP!$B$9:$G$200,6,0),"")</f>
        <v>0</v>
      </c>
      <c r="Y68" s="15">
        <f>IFERROR(VLOOKUP($C68,[9]REKAP!$B$9:$D$200,3,0),"")</f>
        <v>5</v>
      </c>
      <c r="Z68" s="15">
        <f>IFERROR(VLOOKUP($C68,[9]REKAP!$B$9:$E$200,4,0),"")</f>
        <v>122500</v>
      </c>
      <c r="AA68" s="15">
        <f>IFERROR(VLOOKUP($C68,[9]REKAP!$B$9:$G$200,6,0),"")</f>
        <v>6250</v>
      </c>
      <c r="AB68" s="15">
        <f>IFERROR(VLOOKUP($C68,[10]REKAP!$B$9:$D$200,3,0),"")</f>
        <v>0</v>
      </c>
      <c r="AC68" s="15">
        <f>IFERROR(VLOOKUP($C68,[10]REKAP!$B$9:$E$200,4,0),"")</f>
        <v>0</v>
      </c>
      <c r="AD68" s="15">
        <f>IFERROR(VLOOKUP($C68,[10]REKAP!$B$9:$G$200,6,0),"")</f>
        <v>0</v>
      </c>
      <c r="AE68" s="15">
        <f>IFERROR(VLOOKUP($C68,[11]REKAP!$B$9:$D$199,3,0),"")</f>
        <v>2</v>
      </c>
      <c r="AF68" s="15">
        <f>IFERROR(VLOOKUP($C68,[11]REKAP!$B$9:$E$199,4,0),"")</f>
        <v>49000</v>
      </c>
      <c r="AG68" s="15">
        <f>IFERROR(VLOOKUP($C68,[11]REKAP!$B$9:$G$199,6,0),"")</f>
        <v>2500</v>
      </c>
      <c r="AH68" s="15">
        <f>IFERROR(VLOOKUP($C68,[12]REKAP!$B$9:$D$200,3,0),"")</f>
        <v>2</v>
      </c>
      <c r="AI68" s="15">
        <f>IFERROR(VLOOKUP($C68,[12]REKAP!$B$9:$E$200,4,0),"")</f>
        <v>49000</v>
      </c>
      <c r="AJ68" s="15">
        <f>IFERROR(VLOOKUP($C68,[12]REKAP!$B$9:$G$200,6,0),"")</f>
        <v>2500</v>
      </c>
      <c r="AK68" s="15" t="str">
        <f>IFERROR(VLOOKUP($C68,[13]REKAP!$B$9:$D$200,3,0),"")</f>
        <v/>
      </c>
      <c r="AL68" s="15" t="str">
        <f>IFERROR(VLOOKUP($C68,[13]REKAP!$B$9:$E$200,4,0),"")</f>
        <v/>
      </c>
      <c r="AM68" s="15" t="str">
        <f>IFERROR(VLOOKUP($C68,[13]REKAP!$B$9:$G$200,6,0),"")</f>
        <v/>
      </c>
      <c r="AN68" s="15" t="str">
        <f>IFERROR(VLOOKUP($C68,[14]REKAP!$B$9:$D$200,3,0),"")</f>
        <v/>
      </c>
      <c r="AO68" s="15" t="str">
        <f>IFERROR(VLOOKUP($C68,[14]REKAP!$B$9:$E$200,4,0),"")</f>
        <v/>
      </c>
      <c r="AP68" s="15" t="str">
        <f>IFERROR(VLOOKUP($C68,[14]REKAP!$B$9:$G$200,6,0),"")</f>
        <v/>
      </c>
      <c r="AQ68" s="15" t="str">
        <f>IFERROR(VLOOKUP($C68,[15]REKAP!$B$9:$D$200,3,0),"")</f>
        <v/>
      </c>
      <c r="AR68" s="15" t="str">
        <f>IFERROR(VLOOKUP($C68,[15]REKAP!$B$9:$E$200,4,0),"")</f>
        <v/>
      </c>
      <c r="AS68" s="15" t="str">
        <f>IFERROR(VLOOKUP($C68,[15]REKAP!$B$9:$G$200,6,0),"")</f>
        <v/>
      </c>
      <c r="AT68" s="15" t="str">
        <f>IFERROR(VLOOKUP($C68,[16]REKAP!$B$9:$D$200,3,0),"")</f>
        <v/>
      </c>
      <c r="AU68" s="15" t="str">
        <f>IFERROR(VLOOKUP($C68,[16]REKAP!$B$9:$E$200,4,0),"")</f>
        <v/>
      </c>
      <c r="AV68" s="15" t="str">
        <f>IFERROR(VLOOKUP($C68,[16]REKAP!$B$9:$G$200,6,0),"")</f>
        <v/>
      </c>
      <c r="AW68" s="15" t="str">
        <f>IFERROR(VLOOKUP($C68,[17]REKAP!$B$9:$D$200,3,0),"")</f>
        <v/>
      </c>
      <c r="AX68" s="15" t="str">
        <f>IFERROR(VLOOKUP($C68,[17]REKAP!$B$9:$E$200,4,0),"")</f>
        <v/>
      </c>
      <c r="AY68" s="15" t="str">
        <f>IFERROR(VLOOKUP($C68,[17]REKAP!$B$9:$G$200,6,0),"")</f>
        <v/>
      </c>
      <c r="AZ68" s="15" t="str">
        <f>IFERROR(VLOOKUP($C68,[18]REKAP!$B$9:$D$200,3,0),"")</f>
        <v/>
      </c>
      <c r="BA68" s="15" t="str">
        <f>IFERROR(VLOOKUP($C68,[18]REKAP!$B$9:$E$200,4,0),"")</f>
        <v/>
      </c>
      <c r="BB68" s="15" t="str">
        <f>IFERROR(VLOOKUP($C68,[18]REKAP!$B$9:$G$200,6,0),"")</f>
        <v/>
      </c>
      <c r="BC68" s="15" t="str">
        <f>IFERROR(VLOOKUP($C68,[19]REKAP!$B$9:$D$200,3,0),"")</f>
        <v/>
      </c>
      <c r="BD68" s="15" t="str">
        <f>IFERROR(VLOOKUP($C68,[19]REKAP!$B$9:$E$200,4,0),"")</f>
        <v/>
      </c>
      <c r="BE68" s="15" t="str">
        <f>IFERROR(VLOOKUP($C68,[19]REKAP!$B$9:$G$200,6,0),"")</f>
        <v/>
      </c>
      <c r="BF68" s="15" t="str">
        <f>IFERROR(VLOOKUP($C68,[20]REKAP!$B$9:$D$200,3,0),"")</f>
        <v/>
      </c>
      <c r="BG68" s="15" t="str">
        <f>IFERROR(VLOOKUP($C68,[20]REKAP!$B$9:$E$200,4,0),"")</f>
        <v/>
      </c>
      <c r="BH68" s="15" t="str">
        <f>IFERROR(VLOOKUP($C68,[20]REKAP!$B$9:$G$200,6,0),"")</f>
        <v/>
      </c>
      <c r="BI68" s="15" t="str">
        <f>IFERROR(VLOOKUP($C68,[21]REKAP!$B$9:$D$200,3,0),"")</f>
        <v/>
      </c>
      <c r="BJ68" s="15" t="str">
        <f>IFERROR(VLOOKUP($C68,[21]REKAP!$B$9:$E$200,4,0),"")</f>
        <v/>
      </c>
      <c r="BK68" s="15" t="str">
        <f>IFERROR(VLOOKUP($C68,[21]REKAP!$B$9:$G$200,6,0),"")</f>
        <v/>
      </c>
      <c r="BL68" s="15" t="str">
        <f>IFERROR(VLOOKUP($C68,[22]REKAP!$B$9:$D$200,3,0),"")</f>
        <v/>
      </c>
      <c r="BM68" s="15" t="str">
        <f>IFERROR(VLOOKUP($C68,[22]REKAP!$B$9:$E$200,4,0),"")</f>
        <v/>
      </c>
      <c r="BN68" s="15" t="str">
        <f>IFERROR(VLOOKUP($C68,[22]REKAP!$B$9:$G$200,6,0),"")</f>
        <v/>
      </c>
      <c r="BO68" s="15" t="str">
        <f>IFERROR(VLOOKUP($C68,[23]REKAP!$B$9:$D$200,3,0),"")</f>
        <v/>
      </c>
      <c r="BP68" s="15" t="str">
        <f>IFERROR(VLOOKUP($C68,[23]REKAP!$B$9:$E$200,4,0),"")</f>
        <v/>
      </c>
      <c r="BQ68" s="15" t="str">
        <f>IFERROR(VLOOKUP($C68,[23]REKAP!$B$9:$G$200,6,0),"")</f>
        <v/>
      </c>
      <c r="BR68" s="15" t="str">
        <f>IFERROR(VLOOKUP($C68,[24]REKAP!$B$9:$D$200,3,0),"")</f>
        <v/>
      </c>
      <c r="BS68" s="15" t="str">
        <f>IFERROR(VLOOKUP($C68,[24]REKAP!$B$9:$E$200,4,0),"")</f>
        <v/>
      </c>
      <c r="BT68" s="15" t="str">
        <f>IFERROR(VLOOKUP($C68,[24]REKAP!$B$9:$G$200,6,0),"")</f>
        <v/>
      </c>
      <c r="BU68" s="15" t="str">
        <f>IFERROR(VLOOKUP($C68,[25]REKAP!$B$9:$D$200,3,0),"")</f>
        <v/>
      </c>
      <c r="BV68" s="15" t="str">
        <f>IFERROR(VLOOKUP($C68,[25]REKAP!$B$9:$E$200,4,0),"")</f>
        <v/>
      </c>
      <c r="BW68" s="15" t="str">
        <f>IFERROR(VLOOKUP($C68,[25]REKAP!$B$9:$G$200,6,0),"")</f>
        <v/>
      </c>
      <c r="BX68" s="15" t="str">
        <f>IFERROR(VLOOKUP($C68,[26]REKAP!$B$9:$D$200,3,0),"")</f>
        <v/>
      </c>
      <c r="BY68" s="15" t="str">
        <f>IFERROR(VLOOKUP($C68,[26]REKAP!$B$9:$E$200,4,0),"")</f>
        <v/>
      </c>
      <c r="BZ68" s="15" t="str">
        <f>IFERROR(VLOOKUP($C68,[26]REKAP!$B$9:$G$200,6,0),"")</f>
        <v/>
      </c>
      <c r="CA68" s="15" t="str">
        <f>IFERROR(VLOOKUP($C68,[27]REKAP!$B$9:$D$200,3,0),"")</f>
        <v/>
      </c>
      <c r="CB68" s="15" t="str">
        <f>IFERROR(VLOOKUP($C68,[27]REKAP!$B$9:$E$200,4,0),"")</f>
        <v/>
      </c>
      <c r="CC68" s="15" t="str">
        <f>IFERROR(VLOOKUP($C68,[27]REKAP!$B$9:$G$200,6,0),"")</f>
        <v/>
      </c>
      <c r="CD68" s="15" t="str">
        <f>IFERROR(VLOOKUP($C68,[28]REKAP!$B$9:$D$200,3,0),"")</f>
        <v/>
      </c>
      <c r="CE68" s="15" t="str">
        <f>IFERROR(VLOOKUP($C68,[28]REKAP!$B$9:$E$200,4,0),"")</f>
        <v/>
      </c>
      <c r="CF68" s="15" t="str">
        <f>IFERROR(VLOOKUP($C68,[28]REKAP!$B$9:$G$200,6,0),"")</f>
        <v/>
      </c>
      <c r="CG68" s="15" t="str">
        <f>IFERROR(VLOOKUP($C68,[29]REKAP!$B$9:$D$200,3,0),"")</f>
        <v/>
      </c>
      <c r="CH68" s="15" t="str">
        <f>IFERROR(VLOOKUP($C68,[29]REKAP!$B$9:$E$200,4,0),"")</f>
        <v/>
      </c>
      <c r="CI68" s="15" t="str">
        <f>IFERROR(VLOOKUP($C68,[29]REKAP!$B$9:$G$200,6,0),"")</f>
        <v/>
      </c>
      <c r="CJ68" s="15" t="str">
        <f>IFERROR(VLOOKUP($C68,[30]REKAP!$B$9:$D$200,3,0),"")</f>
        <v/>
      </c>
      <c r="CK68" s="15" t="str">
        <f>IFERROR(VLOOKUP($C68,[30]REKAP!$B$9:$E$200,4,0),"")</f>
        <v/>
      </c>
      <c r="CL68" s="15" t="str">
        <f>IFERROR(VLOOKUP($C68,[30]REKAP!$B$9:$G$200,6,0),"")</f>
        <v/>
      </c>
      <c r="CM68" s="15" t="str">
        <f>IFERROR(VLOOKUP($C68,[31]REKAP!$B$9:$D$200,3,0),"")</f>
        <v/>
      </c>
      <c r="CN68" s="15" t="str">
        <f>IFERROR(VLOOKUP($C68,[31]REKAP!$B$9:$E$200,4,0),"")</f>
        <v/>
      </c>
      <c r="CO68" s="15" t="str">
        <f>IFERROR(VLOOKUP($C68,[31]REKAP!$B$9:$G$200,6,0),"")</f>
        <v/>
      </c>
      <c r="CP68" s="15" t="str">
        <f>IFERROR(VLOOKUP($C68,[32]REKAP!$B$9:$D$200,3,0),"")</f>
        <v/>
      </c>
      <c r="CQ68" s="15" t="str">
        <f>IFERROR(VLOOKUP($C68,[32]REKAP!$B$9:$E$200,4,0),"")</f>
        <v/>
      </c>
      <c r="CR68" s="15" t="str">
        <f>IFERROR(VLOOKUP($C68,[32]REKAP!$B$9:$G$200,6,0),"")</f>
        <v/>
      </c>
      <c r="CS68" s="15" t="str">
        <f>IFERROR(VLOOKUP($C68,[33]REKAP!$B$9:$D$200,3,0),"")</f>
        <v/>
      </c>
      <c r="CT68" s="15" t="str">
        <f>IFERROR(VLOOKUP($C68,[33]REKAP!$B$9:$E$200,4,0),"")</f>
        <v/>
      </c>
      <c r="CU68" s="15" t="str">
        <f>IFERROR(VLOOKUP($C68,[33]REKAP!$B$9:$G$200,6,0),"")</f>
        <v/>
      </c>
      <c r="CV68" s="15" t="str">
        <f>IFERROR(VLOOKUP($C68,[34]REKAP!$B$9:$D$200,3,0),"")</f>
        <v/>
      </c>
      <c r="CW68" s="15" t="str">
        <f>IFERROR(VLOOKUP($C68,[34]REKAP!$B$9:$E$200,4,0),"")</f>
        <v/>
      </c>
      <c r="CX68" s="15" t="str">
        <f>IFERROR(VLOOKUP($C68,[34]REKAP!$B$9:$G$200,6,0),"")</f>
        <v/>
      </c>
    </row>
    <row r="69" spans="3:102" x14ac:dyDescent="0.25">
      <c r="C69" s="7"/>
      <c r="D69" s="5" t="str">
        <f>IFERROR(VLOOKUP(C69,DBASE!$C$7:$D$207,2,0),"")</f>
        <v/>
      </c>
      <c r="E69" s="15">
        <f t="shared" si="3"/>
        <v>0</v>
      </c>
      <c r="F69" s="15">
        <f t="shared" si="3"/>
        <v>0</v>
      </c>
      <c r="H69" s="15">
        <f t="shared" si="3"/>
        <v>0</v>
      </c>
      <c r="J69" s="15" t="str">
        <f>IFERROR(VLOOKUP($C69,[4]REKAP!$B$9:$D$200,3,0),"")</f>
        <v/>
      </c>
      <c r="K69" s="15" t="str">
        <f>IFERROR(VLOOKUP($C69,[4]REKAP!$B$9:$E$200,4,0),"")</f>
        <v/>
      </c>
      <c r="L69" s="15" t="str">
        <f>IFERROR(VLOOKUP($C69,[4]REKAP!$B$9:$G$200,6,0),"")</f>
        <v/>
      </c>
      <c r="M69" s="15" t="str">
        <f>IFERROR(VLOOKUP($C69,[5]REKAP!$B$9:$D$200,3,0),"")</f>
        <v/>
      </c>
      <c r="N69" s="15" t="str">
        <f>IFERROR(VLOOKUP($C69,[5]REKAP!$B$9:$E$200,4,0),"")</f>
        <v/>
      </c>
      <c r="O69" s="15" t="str">
        <f>IFERROR(VLOOKUP($C69,[5]REKAP!$B$9:$G$200,6,0),"")</f>
        <v/>
      </c>
      <c r="P69" s="15" t="str">
        <f>IFERROR(VLOOKUP($C69,[6]REKAP!$B$9:$D$200,3,0),"")</f>
        <v/>
      </c>
      <c r="Q69" s="15" t="str">
        <f>IFERROR(VLOOKUP($C69,[6]REKAP!$B$9:$E$200,4,0),"")</f>
        <v/>
      </c>
      <c r="R69" s="15" t="str">
        <f>IFERROR(VLOOKUP($C69,[6]REKAP!$B$9:$G$200,6,0),"")</f>
        <v/>
      </c>
      <c r="S69" s="15" t="str">
        <f>IFERROR(VLOOKUP($C69,[7]REKAP!$B$9:$D$200,3,0),"")</f>
        <v/>
      </c>
      <c r="T69" s="15" t="str">
        <f>IFERROR(VLOOKUP($C69,[7]REKAP!$B$9:$E$200,4,0),"")</f>
        <v/>
      </c>
      <c r="U69" s="15" t="str">
        <f>IFERROR(VLOOKUP($C69,[7]REKAP!$B$9:$G$200,6,0),"")</f>
        <v/>
      </c>
      <c r="V69" s="15" t="str">
        <f>IFERROR(VLOOKUP($C69,[8]REKAP!$B$9:$D$200,3,0),"")</f>
        <v/>
      </c>
      <c r="W69" s="15" t="str">
        <f>IFERROR(VLOOKUP($C69,[8]REKAP!$B$9:$E$200,4,0),"")</f>
        <v/>
      </c>
      <c r="X69" s="15" t="str">
        <f>IFERROR(VLOOKUP($C69,[8]REKAP!$B$9:$G$200,6,0),"")</f>
        <v/>
      </c>
      <c r="Y69" s="15" t="str">
        <f>IFERROR(VLOOKUP($C69,[9]REKAP!$B$9:$D$200,3,0),"")</f>
        <v/>
      </c>
      <c r="Z69" s="15" t="str">
        <f>IFERROR(VLOOKUP($C69,[9]REKAP!$B$9:$E$200,4,0),"")</f>
        <v/>
      </c>
      <c r="AA69" s="15" t="str">
        <f>IFERROR(VLOOKUP($C69,[9]REKAP!$B$9:$G$200,6,0),"")</f>
        <v/>
      </c>
      <c r="AB69" s="15" t="str">
        <f>IFERROR(VLOOKUP($C69,[10]REKAP!$B$9:$D$200,3,0),"")</f>
        <v/>
      </c>
      <c r="AC69" s="15" t="str">
        <f>IFERROR(VLOOKUP($C69,[10]REKAP!$B$9:$E$200,4,0),"")</f>
        <v/>
      </c>
      <c r="AD69" s="15" t="str">
        <f>IFERROR(VLOOKUP($C69,[10]REKAP!$B$9:$G$200,6,0),"")</f>
        <v/>
      </c>
      <c r="AE69" s="15" t="str">
        <f>IFERROR(VLOOKUP($C69,[11]REKAP!$B$9:$D$199,3,0),"")</f>
        <v/>
      </c>
      <c r="AF69" s="15" t="str">
        <f>IFERROR(VLOOKUP($C69,[11]REKAP!$B$9:$E$199,4,0),"")</f>
        <v/>
      </c>
      <c r="AG69" s="15" t="str">
        <f>IFERROR(VLOOKUP($C69,[11]REKAP!$B$9:$G$199,6,0),"")</f>
        <v/>
      </c>
      <c r="AH69" s="15" t="str">
        <f>IFERROR(VLOOKUP($C69,[12]REKAP!$B$9:$D$200,3,0),"")</f>
        <v/>
      </c>
      <c r="AI69" s="15" t="str">
        <f>IFERROR(VLOOKUP($C69,[12]REKAP!$B$9:$E$200,4,0),"")</f>
        <v/>
      </c>
      <c r="AJ69" s="15" t="str">
        <f>IFERROR(VLOOKUP($C69,[12]REKAP!$B$9:$G$200,6,0),"")</f>
        <v/>
      </c>
      <c r="AK69" s="15" t="str">
        <f>IFERROR(VLOOKUP($C69,[13]REKAP!$B$9:$D$200,3,0),"")</f>
        <v/>
      </c>
      <c r="AL69" s="15" t="str">
        <f>IFERROR(VLOOKUP($C69,[13]REKAP!$B$9:$E$200,4,0),"")</f>
        <v/>
      </c>
      <c r="AM69" s="15" t="str">
        <f>IFERROR(VLOOKUP($C69,[13]REKAP!$B$9:$G$200,6,0),"")</f>
        <v/>
      </c>
      <c r="AN69" s="15" t="str">
        <f>IFERROR(VLOOKUP($C69,[14]REKAP!$B$9:$D$200,3,0),"")</f>
        <v/>
      </c>
      <c r="AO69" s="15" t="str">
        <f>IFERROR(VLOOKUP($C69,[14]REKAP!$B$9:$E$200,4,0),"")</f>
        <v/>
      </c>
      <c r="AP69" s="15" t="str">
        <f>IFERROR(VLOOKUP($C69,[14]REKAP!$B$9:$G$200,6,0),"")</f>
        <v/>
      </c>
      <c r="AQ69" s="15" t="str">
        <f>IFERROR(VLOOKUP($C69,[15]REKAP!$B$9:$D$200,3,0),"")</f>
        <v/>
      </c>
      <c r="AR69" s="15" t="str">
        <f>IFERROR(VLOOKUP($C69,[15]REKAP!$B$9:$E$200,4,0),"")</f>
        <v/>
      </c>
      <c r="AS69" s="15" t="str">
        <f>IFERROR(VLOOKUP($C69,[15]REKAP!$B$9:$G$200,6,0),"")</f>
        <v/>
      </c>
      <c r="AT69" s="15" t="str">
        <f>IFERROR(VLOOKUP($C69,[16]REKAP!$B$9:$D$200,3,0),"")</f>
        <v/>
      </c>
      <c r="AU69" s="15" t="str">
        <f>IFERROR(VLOOKUP($C69,[16]REKAP!$B$9:$E$200,4,0),"")</f>
        <v/>
      </c>
      <c r="AV69" s="15" t="str">
        <f>IFERROR(VLOOKUP($C69,[16]REKAP!$B$9:$G$200,6,0),"")</f>
        <v/>
      </c>
      <c r="AW69" s="15" t="str">
        <f>IFERROR(VLOOKUP($C69,[17]REKAP!$B$9:$D$200,3,0),"")</f>
        <v/>
      </c>
      <c r="AX69" s="15" t="str">
        <f>IFERROR(VLOOKUP($C69,[17]REKAP!$B$9:$E$200,4,0),"")</f>
        <v/>
      </c>
      <c r="AY69" s="15" t="str">
        <f>IFERROR(VLOOKUP($C69,[17]REKAP!$B$9:$G$200,6,0),"")</f>
        <v/>
      </c>
      <c r="AZ69" s="15" t="str">
        <f>IFERROR(VLOOKUP($C69,[18]REKAP!$B$9:$D$200,3,0),"")</f>
        <v/>
      </c>
      <c r="BA69" s="15" t="str">
        <f>IFERROR(VLOOKUP($C69,[18]REKAP!$B$9:$E$200,4,0),"")</f>
        <v/>
      </c>
      <c r="BB69" s="15" t="str">
        <f>IFERROR(VLOOKUP($C69,[18]REKAP!$B$9:$G$200,6,0),"")</f>
        <v/>
      </c>
      <c r="BC69" s="15" t="str">
        <f>IFERROR(VLOOKUP($C69,[19]REKAP!$B$9:$D$200,3,0),"")</f>
        <v/>
      </c>
      <c r="BD69" s="15" t="str">
        <f>IFERROR(VLOOKUP($C69,[19]REKAP!$B$9:$E$200,4,0),"")</f>
        <v/>
      </c>
      <c r="BE69" s="15" t="str">
        <f>IFERROR(VLOOKUP($C69,[19]REKAP!$B$9:$G$200,6,0),"")</f>
        <v/>
      </c>
      <c r="BF69" s="15" t="str">
        <f>IFERROR(VLOOKUP($C69,[20]REKAP!$B$9:$D$200,3,0),"")</f>
        <v/>
      </c>
      <c r="BG69" s="15" t="str">
        <f>IFERROR(VLOOKUP($C69,[20]REKAP!$B$9:$E$200,4,0),"")</f>
        <v/>
      </c>
      <c r="BH69" s="15" t="str">
        <f>IFERROR(VLOOKUP($C69,[20]REKAP!$B$9:$G$200,6,0),"")</f>
        <v/>
      </c>
      <c r="BI69" s="15" t="str">
        <f>IFERROR(VLOOKUP($C69,[21]REKAP!$B$9:$D$200,3,0),"")</f>
        <v/>
      </c>
      <c r="BJ69" s="15" t="str">
        <f>IFERROR(VLOOKUP($C69,[21]REKAP!$B$9:$E$200,4,0),"")</f>
        <v/>
      </c>
      <c r="BK69" s="15" t="str">
        <f>IFERROR(VLOOKUP($C69,[21]REKAP!$B$9:$G$200,6,0),"")</f>
        <v/>
      </c>
      <c r="BL69" s="15" t="str">
        <f>IFERROR(VLOOKUP($C69,[22]REKAP!$B$9:$D$200,3,0),"")</f>
        <v/>
      </c>
      <c r="BM69" s="15" t="str">
        <f>IFERROR(VLOOKUP($C69,[22]REKAP!$B$9:$E$200,4,0),"")</f>
        <v/>
      </c>
      <c r="BN69" s="15" t="str">
        <f>IFERROR(VLOOKUP($C69,[22]REKAP!$B$9:$G$200,6,0),"")</f>
        <v/>
      </c>
      <c r="BO69" s="15" t="str">
        <f>IFERROR(VLOOKUP($C69,[23]REKAP!$B$9:$D$200,3,0),"")</f>
        <v/>
      </c>
      <c r="BP69" s="15" t="str">
        <f>IFERROR(VLOOKUP($C69,[23]REKAP!$B$9:$E$200,4,0),"")</f>
        <v/>
      </c>
      <c r="BQ69" s="15" t="str">
        <f>IFERROR(VLOOKUP($C69,[23]REKAP!$B$9:$G$200,6,0),"")</f>
        <v/>
      </c>
      <c r="BR69" s="15" t="str">
        <f>IFERROR(VLOOKUP($C69,[24]REKAP!$B$9:$D$200,3,0),"")</f>
        <v/>
      </c>
      <c r="BS69" s="15" t="str">
        <f>IFERROR(VLOOKUP($C69,[24]REKAP!$B$9:$E$200,4,0),"")</f>
        <v/>
      </c>
      <c r="BT69" s="15" t="str">
        <f>IFERROR(VLOOKUP($C69,[24]REKAP!$B$9:$G$200,6,0),"")</f>
        <v/>
      </c>
      <c r="BU69" s="15" t="str">
        <f>IFERROR(VLOOKUP($C69,[25]REKAP!$B$9:$D$200,3,0),"")</f>
        <v/>
      </c>
      <c r="BV69" s="15" t="str">
        <f>IFERROR(VLOOKUP($C69,[25]REKAP!$B$9:$E$200,4,0),"")</f>
        <v/>
      </c>
      <c r="BW69" s="15" t="str">
        <f>IFERROR(VLOOKUP($C69,[25]REKAP!$B$9:$G$200,6,0),"")</f>
        <v/>
      </c>
      <c r="BX69" s="15" t="str">
        <f>IFERROR(VLOOKUP($C69,[26]REKAP!$B$9:$D$200,3,0),"")</f>
        <v/>
      </c>
      <c r="BY69" s="15" t="str">
        <f>IFERROR(VLOOKUP($C69,[26]REKAP!$B$9:$E$200,4,0),"")</f>
        <v/>
      </c>
      <c r="BZ69" s="15" t="str">
        <f>IFERROR(VLOOKUP($C69,[26]REKAP!$B$9:$G$200,6,0),"")</f>
        <v/>
      </c>
      <c r="CA69" s="15" t="str">
        <f>IFERROR(VLOOKUP($C69,[27]REKAP!$B$9:$D$200,3,0),"")</f>
        <v/>
      </c>
      <c r="CB69" s="15" t="str">
        <f>IFERROR(VLOOKUP($C69,[27]REKAP!$B$9:$E$200,4,0),"")</f>
        <v/>
      </c>
      <c r="CC69" s="15" t="str">
        <f>IFERROR(VLOOKUP($C69,[27]REKAP!$B$9:$G$200,6,0),"")</f>
        <v/>
      </c>
      <c r="CD69" s="15" t="str">
        <f>IFERROR(VLOOKUP($C69,[28]REKAP!$B$9:$D$200,3,0),"")</f>
        <v/>
      </c>
      <c r="CE69" s="15" t="str">
        <f>IFERROR(VLOOKUP($C69,[28]REKAP!$B$9:$E$200,4,0),"")</f>
        <v/>
      </c>
      <c r="CF69" s="15" t="str">
        <f>IFERROR(VLOOKUP($C69,[28]REKAP!$B$9:$G$200,6,0),"")</f>
        <v/>
      </c>
      <c r="CG69" s="15" t="str">
        <f>IFERROR(VLOOKUP($C69,[29]REKAP!$B$9:$D$200,3,0),"")</f>
        <v/>
      </c>
      <c r="CH69" s="15" t="str">
        <f>IFERROR(VLOOKUP($C69,[29]REKAP!$B$9:$E$200,4,0),"")</f>
        <v/>
      </c>
      <c r="CI69" s="15" t="str">
        <f>IFERROR(VLOOKUP($C69,[29]REKAP!$B$9:$G$200,6,0),"")</f>
        <v/>
      </c>
      <c r="CJ69" s="15" t="str">
        <f>IFERROR(VLOOKUP($C69,[30]REKAP!$B$9:$D$200,3,0),"")</f>
        <v/>
      </c>
      <c r="CK69" s="15" t="str">
        <f>IFERROR(VLOOKUP($C69,[30]REKAP!$B$9:$E$200,4,0),"")</f>
        <v/>
      </c>
      <c r="CL69" s="15" t="str">
        <f>IFERROR(VLOOKUP($C69,[30]REKAP!$B$9:$G$200,6,0),"")</f>
        <v/>
      </c>
      <c r="CM69" s="15" t="str">
        <f>IFERROR(VLOOKUP($C69,[31]REKAP!$B$9:$D$200,3,0),"")</f>
        <v/>
      </c>
      <c r="CN69" s="15" t="str">
        <f>IFERROR(VLOOKUP($C69,[31]REKAP!$B$9:$E$200,4,0),"")</f>
        <v/>
      </c>
      <c r="CO69" s="15" t="str">
        <f>IFERROR(VLOOKUP($C69,[31]REKAP!$B$9:$G$200,6,0),"")</f>
        <v/>
      </c>
      <c r="CP69" s="15" t="str">
        <f>IFERROR(VLOOKUP($C69,[32]REKAP!$B$9:$D$200,3,0),"")</f>
        <v/>
      </c>
      <c r="CQ69" s="15" t="str">
        <f>IFERROR(VLOOKUP($C69,[32]REKAP!$B$9:$E$200,4,0),"")</f>
        <v/>
      </c>
      <c r="CR69" s="15" t="str">
        <f>IFERROR(VLOOKUP($C69,[32]REKAP!$B$9:$G$200,6,0),"")</f>
        <v/>
      </c>
      <c r="CS69" s="15" t="str">
        <f>IFERROR(VLOOKUP($C69,[33]REKAP!$B$9:$D$200,3,0),"")</f>
        <v/>
      </c>
      <c r="CT69" s="15" t="str">
        <f>IFERROR(VLOOKUP($C69,[33]REKAP!$B$9:$E$200,4,0),"")</f>
        <v/>
      </c>
      <c r="CU69" s="15" t="str">
        <f>IFERROR(VLOOKUP($C69,[33]REKAP!$B$9:$G$200,6,0),"")</f>
        <v/>
      </c>
      <c r="CV69" s="15" t="str">
        <f>IFERROR(VLOOKUP($C69,[34]REKAP!$B$9:$D$200,3,0),"")</f>
        <v/>
      </c>
      <c r="CW69" s="15" t="str">
        <f>IFERROR(VLOOKUP($C69,[34]REKAP!$B$9:$E$200,4,0),"")</f>
        <v/>
      </c>
      <c r="CX69" s="15" t="str">
        <f>IFERROR(VLOOKUP($C69,[34]REKAP!$B$9:$G$200,6,0),"")</f>
        <v/>
      </c>
    </row>
    <row r="70" spans="3:102" x14ac:dyDescent="0.25">
      <c r="C70" s="7" t="s">
        <v>140</v>
      </c>
      <c r="D70" s="5" t="str">
        <f>IFERROR(VLOOKUP(C70,DBASE!$C$7:$D$207,2,0),"")</f>
        <v>TORA BIKA DUO</v>
      </c>
      <c r="E70" s="15">
        <f t="shared" si="3"/>
        <v>0</v>
      </c>
      <c r="F70" s="15">
        <f t="shared" si="3"/>
        <v>0</v>
      </c>
      <c r="H70" s="15">
        <f t="shared" si="3"/>
        <v>0</v>
      </c>
      <c r="J70" s="15" t="str">
        <f>IFERROR(VLOOKUP($C70,[4]REKAP!$B$9:$D$200,3,0),"")</f>
        <v/>
      </c>
      <c r="K70" s="15" t="str">
        <f>IFERROR(VLOOKUP($C70,[4]REKAP!$B$9:$E$200,4,0),"")</f>
        <v/>
      </c>
      <c r="L70" s="15" t="str">
        <f>IFERROR(VLOOKUP($C70,[4]REKAP!$B$9:$G$200,6,0),"")</f>
        <v/>
      </c>
      <c r="M70" s="15" t="str">
        <f>IFERROR(VLOOKUP($C70,[5]REKAP!$B$9:$D$200,3,0),"")</f>
        <v/>
      </c>
      <c r="N70" s="15" t="str">
        <f>IFERROR(VLOOKUP($C70,[5]REKAP!$B$9:$E$200,4,0),"")</f>
        <v/>
      </c>
      <c r="O70" s="15" t="str">
        <f>IFERROR(VLOOKUP($C70,[5]REKAP!$B$9:$G$200,6,0),"")</f>
        <v/>
      </c>
      <c r="P70" s="15" t="str">
        <f>IFERROR(VLOOKUP($C70,[6]REKAP!$B$9:$D$200,3,0),"")</f>
        <v/>
      </c>
      <c r="Q70" s="15" t="str">
        <f>IFERROR(VLOOKUP($C70,[6]REKAP!$B$9:$E$200,4,0),"")</f>
        <v/>
      </c>
      <c r="R70" s="15" t="str">
        <f>IFERROR(VLOOKUP($C70,[6]REKAP!$B$9:$G$200,6,0),"")</f>
        <v/>
      </c>
      <c r="S70" s="15" t="str">
        <f>IFERROR(VLOOKUP($C70,[7]REKAP!$B$9:$D$200,3,0),"")</f>
        <v/>
      </c>
      <c r="T70" s="15" t="str">
        <f>IFERROR(VLOOKUP($C70,[7]REKAP!$B$9:$E$200,4,0),"")</f>
        <v/>
      </c>
      <c r="U70" s="15" t="str">
        <f>IFERROR(VLOOKUP($C70,[7]REKAP!$B$9:$G$200,6,0),"")</f>
        <v/>
      </c>
      <c r="V70" s="15" t="str">
        <f>IFERROR(VLOOKUP($C70,[8]REKAP!$B$9:$D$200,3,0),"")</f>
        <v/>
      </c>
      <c r="W70" s="15" t="str">
        <f>IFERROR(VLOOKUP($C70,[8]REKAP!$B$9:$E$200,4,0),"")</f>
        <v/>
      </c>
      <c r="X70" s="15" t="str">
        <f>IFERROR(VLOOKUP($C70,[8]REKAP!$B$9:$G$200,6,0),"")</f>
        <v/>
      </c>
      <c r="Y70" s="15" t="str">
        <f>IFERROR(VLOOKUP($C70,[9]REKAP!$B$9:$D$200,3,0),"")</f>
        <v/>
      </c>
      <c r="Z70" s="15" t="str">
        <f>IFERROR(VLOOKUP($C70,[9]REKAP!$B$9:$E$200,4,0),"")</f>
        <v/>
      </c>
      <c r="AA70" s="15" t="str">
        <f>IFERROR(VLOOKUP($C70,[9]REKAP!$B$9:$G$200,6,0),"")</f>
        <v/>
      </c>
      <c r="AB70" s="15" t="str">
        <f>IFERROR(VLOOKUP($C70,[10]REKAP!$B$9:$D$200,3,0),"")</f>
        <v/>
      </c>
      <c r="AC70" s="15" t="str">
        <f>IFERROR(VLOOKUP($C70,[10]REKAP!$B$9:$E$200,4,0),"")</f>
        <v/>
      </c>
      <c r="AD70" s="15" t="str">
        <f>IFERROR(VLOOKUP($C70,[10]REKAP!$B$9:$G$200,6,0),"")</f>
        <v/>
      </c>
      <c r="AE70" s="15" t="str">
        <f>IFERROR(VLOOKUP($C70,[11]REKAP!$B$9:$D$199,3,0),"")</f>
        <v/>
      </c>
      <c r="AF70" s="15" t="str">
        <f>IFERROR(VLOOKUP($C70,[11]REKAP!$B$9:$E$199,4,0),"")</f>
        <v/>
      </c>
      <c r="AG70" s="15" t="str">
        <f>IFERROR(VLOOKUP($C70,[11]REKAP!$B$9:$G$199,6,0),"")</f>
        <v/>
      </c>
      <c r="AH70" s="15" t="str">
        <f>IFERROR(VLOOKUP($C70,[12]REKAP!$B$9:$D$200,3,0),"")</f>
        <v/>
      </c>
      <c r="AI70" s="15" t="str">
        <f>IFERROR(VLOOKUP($C70,[12]REKAP!$B$9:$E$200,4,0),"")</f>
        <v/>
      </c>
      <c r="AJ70" s="15" t="str">
        <f>IFERROR(VLOOKUP($C70,[12]REKAP!$B$9:$G$200,6,0),"")</f>
        <v/>
      </c>
      <c r="AK70" s="15" t="str">
        <f>IFERROR(VLOOKUP($C70,[13]REKAP!$B$9:$D$200,3,0),"")</f>
        <v/>
      </c>
      <c r="AL70" s="15" t="str">
        <f>IFERROR(VLOOKUP($C70,[13]REKAP!$B$9:$E$200,4,0),"")</f>
        <v/>
      </c>
      <c r="AM70" s="15" t="str">
        <f>IFERROR(VLOOKUP($C70,[13]REKAP!$B$9:$G$200,6,0),"")</f>
        <v/>
      </c>
      <c r="AN70" s="15" t="str">
        <f>IFERROR(VLOOKUP($C70,[14]REKAP!$B$9:$D$200,3,0),"")</f>
        <v/>
      </c>
      <c r="AO70" s="15" t="str">
        <f>IFERROR(VLOOKUP($C70,[14]REKAP!$B$9:$E$200,4,0),"")</f>
        <v/>
      </c>
      <c r="AP70" s="15" t="str">
        <f>IFERROR(VLOOKUP($C70,[14]REKAP!$B$9:$G$200,6,0),"")</f>
        <v/>
      </c>
      <c r="AQ70" s="15" t="str">
        <f>IFERROR(VLOOKUP($C70,[15]REKAP!$B$9:$D$200,3,0),"")</f>
        <v/>
      </c>
      <c r="AR70" s="15" t="str">
        <f>IFERROR(VLOOKUP($C70,[15]REKAP!$B$9:$E$200,4,0),"")</f>
        <v/>
      </c>
      <c r="AS70" s="15" t="str">
        <f>IFERROR(VLOOKUP($C70,[15]REKAP!$B$9:$G$200,6,0),"")</f>
        <v/>
      </c>
      <c r="AT70" s="15" t="str">
        <f>IFERROR(VLOOKUP($C70,[16]REKAP!$B$9:$D$200,3,0),"")</f>
        <v/>
      </c>
      <c r="AU70" s="15" t="str">
        <f>IFERROR(VLOOKUP($C70,[16]REKAP!$B$9:$E$200,4,0),"")</f>
        <v/>
      </c>
      <c r="AV70" s="15" t="str">
        <f>IFERROR(VLOOKUP($C70,[16]REKAP!$B$9:$G$200,6,0),"")</f>
        <v/>
      </c>
      <c r="AW70" s="15" t="str">
        <f>IFERROR(VLOOKUP($C70,[17]REKAP!$B$9:$D$200,3,0),"")</f>
        <v/>
      </c>
      <c r="AX70" s="15" t="str">
        <f>IFERROR(VLOOKUP($C70,[17]REKAP!$B$9:$E$200,4,0),"")</f>
        <v/>
      </c>
      <c r="AY70" s="15" t="str">
        <f>IFERROR(VLOOKUP($C70,[17]REKAP!$B$9:$G$200,6,0),"")</f>
        <v/>
      </c>
      <c r="AZ70" s="15" t="str">
        <f>IFERROR(VLOOKUP($C70,[18]REKAP!$B$9:$D$200,3,0),"")</f>
        <v/>
      </c>
      <c r="BA70" s="15" t="str">
        <f>IFERROR(VLOOKUP($C70,[18]REKAP!$B$9:$E$200,4,0),"")</f>
        <v/>
      </c>
      <c r="BB70" s="15" t="str">
        <f>IFERROR(VLOOKUP($C70,[18]REKAP!$B$9:$G$200,6,0),"")</f>
        <v/>
      </c>
      <c r="BC70" s="15" t="str">
        <f>IFERROR(VLOOKUP($C70,[19]REKAP!$B$9:$D$200,3,0),"")</f>
        <v/>
      </c>
      <c r="BD70" s="15" t="str">
        <f>IFERROR(VLOOKUP($C70,[19]REKAP!$B$9:$E$200,4,0),"")</f>
        <v/>
      </c>
      <c r="BE70" s="15" t="str">
        <f>IFERROR(VLOOKUP($C70,[19]REKAP!$B$9:$G$200,6,0),"")</f>
        <v/>
      </c>
      <c r="BF70" s="15" t="str">
        <f>IFERROR(VLOOKUP($C70,[20]REKAP!$B$9:$D$200,3,0),"")</f>
        <v/>
      </c>
      <c r="BG70" s="15" t="str">
        <f>IFERROR(VLOOKUP($C70,[20]REKAP!$B$9:$E$200,4,0),"")</f>
        <v/>
      </c>
      <c r="BH70" s="15" t="str">
        <f>IFERROR(VLOOKUP($C70,[20]REKAP!$B$9:$G$200,6,0),"")</f>
        <v/>
      </c>
      <c r="BI70" s="15" t="str">
        <f>IFERROR(VLOOKUP($C70,[21]REKAP!$B$9:$D$200,3,0),"")</f>
        <v/>
      </c>
      <c r="BJ70" s="15" t="str">
        <f>IFERROR(VLOOKUP($C70,[21]REKAP!$B$9:$E$200,4,0),"")</f>
        <v/>
      </c>
      <c r="BK70" s="15" t="str">
        <f>IFERROR(VLOOKUP($C70,[21]REKAP!$B$9:$G$200,6,0),"")</f>
        <v/>
      </c>
      <c r="BL70" s="15" t="str">
        <f>IFERROR(VLOOKUP($C70,[22]REKAP!$B$9:$D$200,3,0),"")</f>
        <v/>
      </c>
      <c r="BM70" s="15" t="str">
        <f>IFERROR(VLOOKUP($C70,[22]REKAP!$B$9:$E$200,4,0),"")</f>
        <v/>
      </c>
      <c r="BN70" s="15" t="str">
        <f>IFERROR(VLOOKUP($C70,[22]REKAP!$B$9:$G$200,6,0),"")</f>
        <v/>
      </c>
      <c r="BO70" s="15" t="str">
        <f>IFERROR(VLOOKUP($C70,[23]REKAP!$B$9:$D$200,3,0),"")</f>
        <v/>
      </c>
      <c r="BP70" s="15" t="str">
        <f>IFERROR(VLOOKUP($C70,[23]REKAP!$B$9:$E$200,4,0),"")</f>
        <v/>
      </c>
      <c r="BQ70" s="15" t="str">
        <f>IFERROR(VLOOKUP($C70,[23]REKAP!$B$9:$G$200,6,0),"")</f>
        <v/>
      </c>
      <c r="BR70" s="15" t="str">
        <f>IFERROR(VLOOKUP($C70,[24]REKAP!$B$9:$D$200,3,0),"")</f>
        <v/>
      </c>
      <c r="BS70" s="15" t="str">
        <f>IFERROR(VLOOKUP($C70,[24]REKAP!$B$9:$E$200,4,0),"")</f>
        <v/>
      </c>
      <c r="BT70" s="15" t="str">
        <f>IFERROR(VLOOKUP($C70,[24]REKAP!$B$9:$G$200,6,0),"")</f>
        <v/>
      </c>
      <c r="BU70" s="15" t="str">
        <f>IFERROR(VLOOKUP($C70,[25]REKAP!$B$9:$D$200,3,0),"")</f>
        <v/>
      </c>
      <c r="BV70" s="15" t="str">
        <f>IFERROR(VLOOKUP($C70,[25]REKAP!$B$9:$E$200,4,0),"")</f>
        <v/>
      </c>
      <c r="BW70" s="15" t="str">
        <f>IFERROR(VLOOKUP($C70,[25]REKAP!$B$9:$G$200,6,0),"")</f>
        <v/>
      </c>
      <c r="BX70" s="15" t="str">
        <f>IFERROR(VLOOKUP($C70,[26]REKAP!$B$9:$D$200,3,0),"")</f>
        <v/>
      </c>
      <c r="BY70" s="15" t="str">
        <f>IFERROR(VLOOKUP($C70,[26]REKAP!$B$9:$E$200,4,0),"")</f>
        <v/>
      </c>
      <c r="BZ70" s="15" t="str">
        <f>IFERROR(VLOOKUP($C70,[26]REKAP!$B$9:$G$200,6,0),"")</f>
        <v/>
      </c>
      <c r="CA70" s="15" t="str">
        <f>IFERROR(VLOOKUP($C70,[27]REKAP!$B$9:$D$200,3,0),"")</f>
        <v/>
      </c>
      <c r="CB70" s="15" t="str">
        <f>IFERROR(VLOOKUP($C70,[27]REKAP!$B$9:$E$200,4,0),"")</f>
        <v/>
      </c>
      <c r="CC70" s="15" t="str">
        <f>IFERROR(VLOOKUP($C70,[27]REKAP!$B$9:$G$200,6,0),"")</f>
        <v/>
      </c>
      <c r="CD70" s="15" t="str">
        <f>IFERROR(VLOOKUP($C70,[28]REKAP!$B$9:$D$200,3,0),"")</f>
        <v/>
      </c>
      <c r="CE70" s="15" t="str">
        <f>IFERROR(VLOOKUP($C70,[28]REKAP!$B$9:$E$200,4,0),"")</f>
        <v/>
      </c>
      <c r="CF70" s="15" t="str">
        <f>IFERROR(VLOOKUP($C70,[28]REKAP!$B$9:$G$200,6,0),"")</f>
        <v/>
      </c>
      <c r="CG70" s="15" t="str">
        <f>IFERROR(VLOOKUP($C70,[29]REKAP!$B$9:$D$200,3,0),"")</f>
        <v/>
      </c>
      <c r="CH70" s="15" t="str">
        <f>IFERROR(VLOOKUP($C70,[29]REKAP!$B$9:$E$200,4,0),"")</f>
        <v/>
      </c>
      <c r="CI70" s="15" t="str">
        <f>IFERROR(VLOOKUP($C70,[29]REKAP!$B$9:$G$200,6,0),"")</f>
        <v/>
      </c>
      <c r="CJ70" s="15" t="str">
        <f>IFERROR(VLOOKUP($C70,[30]REKAP!$B$9:$D$200,3,0),"")</f>
        <v/>
      </c>
      <c r="CK70" s="15" t="str">
        <f>IFERROR(VLOOKUP($C70,[30]REKAP!$B$9:$E$200,4,0),"")</f>
        <v/>
      </c>
      <c r="CL70" s="15" t="str">
        <f>IFERROR(VLOOKUP($C70,[30]REKAP!$B$9:$G$200,6,0),"")</f>
        <v/>
      </c>
      <c r="CM70" s="15" t="str">
        <f>IFERROR(VLOOKUP($C70,[31]REKAP!$B$9:$D$200,3,0),"")</f>
        <v/>
      </c>
      <c r="CN70" s="15" t="str">
        <f>IFERROR(VLOOKUP($C70,[31]REKAP!$B$9:$E$200,4,0),"")</f>
        <v/>
      </c>
      <c r="CO70" s="15" t="str">
        <f>IFERROR(VLOOKUP($C70,[31]REKAP!$B$9:$G$200,6,0),"")</f>
        <v/>
      </c>
      <c r="CP70" s="15" t="str">
        <f>IFERROR(VLOOKUP($C70,[32]REKAP!$B$9:$D$200,3,0),"")</f>
        <v/>
      </c>
      <c r="CQ70" s="15" t="str">
        <f>IFERROR(VLOOKUP($C70,[32]REKAP!$B$9:$E$200,4,0),"")</f>
        <v/>
      </c>
      <c r="CR70" s="15" t="str">
        <f>IFERROR(VLOOKUP($C70,[32]REKAP!$B$9:$G$200,6,0),"")</f>
        <v/>
      </c>
      <c r="CS70" s="15" t="str">
        <f>IFERROR(VLOOKUP($C70,[33]REKAP!$B$9:$D$200,3,0),"")</f>
        <v/>
      </c>
      <c r="CT70" s="15" t="str">
        <f>IFERROR(VLOOKUP($C70,[33]REKAP!$B$9:$E$200,4,0),"")</f>
        <v/>
      </c>
      <c r="CU70" s="15" t="str">
        <f>IFERROR(VLOOKUP($C70,[33]REKAP!$B$9:$G$200,6,0),"")</f>
        <v/>
      </c>
      <c r="CV70" s="15" t="str">
        <f>IFERROR(VLOOKUP($C70,[34]REKAP!$B$9:$D$200,3,0),"")</f>
        <v/>
      </c>
      <c r="CW70" s="15" t="str">
        <f>IFERROR(VLOOKUP($C70,[34]REKAP!$B$9:$E$200,4,0),"")</f>
        <v/>
      </c>
      <c r="CX70" s="15" t="str">
        <f>IFERROR(VLOOKUP($C70,[34]REKAP!$B$9:$G$200,6,0),"")</f>
        <v/>
      </c>
    </row>
    <row r="71" spans="3:102" x14ac:dyDescent="0.25">
      <c r="C71" s="7" t="s">
        <v>141</v>
      </c>
      <c r="D71" s="5" t="str">
        <f>IFERROR(VLOOKUP(C71,DBASE!$C$7:$D$207,2,0),"")</f>
        <v>TORA BIKA CREAMY</v>
      </c>
      <c r="E71" s="15">
        <f t="shared" si="3"/>
        <v>0</v>
      </c>
      <c r="F71" s="15">
        <f t="shared" si="3"/>
        <v>0</v>
      </c>
      <c r="H71" s="15">
        <f t="shared" si="3"/>
        <v>0</v>
      </c>
      <c r="J71" s="15" t="str">
        <f>IFERROR(VLOOKUP($C71,[4]REKAP!$B$9:$D$200,3,0),"")</f>
        <v/>
      </c>
      <c r="K71" s="15" t="str">
        <f>IFERROR(VLOOKUP($C71,[4]REKAP!$B$9:$E$200,4,0),"")</f>
        <v/>
      </c>
      <c r="L71" s="15" t="str">
        <f>IFERROR(VLOOKUP($C71,[4]REKAP!$B$9:$G$200,6,0),"")</f>
        <v/>
      </c>
      <c r="M71" s="15" t="str">
        <f>IFERROR(VLOOKUP($C71,[5]REKAP!$B$9:$D$200,3,0),"")</f>
        <v/>
      </c>
      <c r="N71" s="15" t="str">
        <f>IFERROR(VLOOKUP($C71,[5]REKAP!$B$9:$E$200,4,0),"")</f>
        <v/>
      </c>
      <c r="O71" s="15" t="str">
        <f>IFERROR(VLOOKUP($C71,[5]REKAP!$B$9:$G$200,6,0),"")</f>
        <v/>
      </c>
      <c r="P71" s="15" t="str">
        <f>IFERROR(VLOOKUP($C71,[6]REKAP!$B$9:$D$200,3,0),"")</f>
        <v/>
      </c>
      <c r="Q71" s="15" t="str">
        <f>IFERROR(VLOOKUP($C71,[6]REKAP!$B$9:$E$200,4,0),"")</f>
        <v/>
      </c>
      <c r="R71" s="15" t="str">
        <f>IFERROR(VLOOKUP($C71,[6]REKAP!$B$9:$G$200,6,0),"")</f>
        <v/>
      </c>
      <c r="S71" s="15" t="str">
        <f>IFERROR(VLOOKUP($C71,[7]REKAP!$B$9:$D$200,3,0),"")</f>
        <v/>
      </c>
      <c r="T71" s="15" t="str">
        <f>IFERROR(VLOOKUP($C71,[7]REKAP!$B$9:$E$200,4,0),"")</f>
        <v/>
      </c>
      <c r="U71" s="15" t="str">
        <f>IFERROR(VLOOKUP($C71,[7]REKAP!$B$9:$G$200,6,0),"")</f>
        <v/>
      </c>
      <c r="V71" s="15" t="str">
        <f>IFERROR(VLOOKUP($C71,[8]REKAP!$B$9:$D$200,3,0),"")</f>
        <v/>
      </c>
      <c r="W71" s="15" t="str">
        <f>IFERROR(VLOOKUP($C71,[8]REKAP!$B$9:$E$200,4,0),"")</f>
        <v/>
      </c>
      <c r="X71" s="15" t="str">
        <f>IFERROR(VLOOKUP($C71,[8]REKAP!$B$9:$G$200,6,0),"")</f>
        <v/>
      </c>
      <c r="Y71" s="15" t="str">
        <f>IFERROR(VLOOKUP($C71,[9]REKAP!$B$9:$D$200,3,0),"")</f>
        <v/>
      </c>
      <c r="Z71" s="15" t="str">
        <f>IFERROR(VLOOKUP($C71,[9]REKAP!$B$9:$E$200,4,0),"")</f>
        <v/>
      </c>
      <c r="AA71" s="15" t="str">
        <f>IFERROR(VLOOKUP($C71,[9]REKAP!$B$9:$G$200,6,0),"")</f>
        <v/>
      </c>
      <c r="AB71" s="15" t="str">
        <f>IFERROR(VLOOKUP($C71,[10]REKAP!$B$9:$D$200,3,0),"")</f>
        <v/>
      </c>
      <c r="AC71" s="15" t="str">
        <f>IFERROR(VLOOKUP($C71,[10]REKAP!$B$9:$E$200,4,0),"")</f>
        <v/>
      </c>
      <c r="AD71" s="15" t="str">
        <f>IFERROR(VLOOKUP($C71,[10]REKAP!$B$9:$G$200,6,0),"")</f>
        <v/>
      </c>
      <c r="AE71" s="15" t="str">
        <f>IFERROR(VLOOKUP($C71,[11]REKAP!$B$9:$D$199,3,0),"")</f>
        <v/>
      </c>
      <c r="AF71" s="15" t="str">
        <f>IFERROR(VLOOKUP($C71,[11]REKAP!$B$9:$E$199,4,0),"")</f>
        <v/>
      </c>
      <c r="AG71" s="15" t="str">
        <f>IFERROR(VLOOKUP($C71,[11]REKAP!$B$9:$G$199,6,0),"")</f>
        <v/>
      </c>
      <c r="AH71" s="15" t="str">
        <f>IFERROR(VLOOKUP($C71,[12]REKAP!$B$9:$D$200,3,0),"")</f>
        <v/>
      </c>
      <c r="AI71" s="15" t="str">
        <f>IFERROR(VLOOKUP($C71,[12]REKAP!$B$9:$E$200,4,0),"")</f>
        <v/>
      </c>
      <c r="AJ71" s="15" t="str">
        <f>IFERROR(VLOOKUP($C71,[12]REKAP!$B$9:$G$200,6,0),"")</f>
        <v/>
      </c>
      <c r="AK71" s="15" t="str">
        <f>IFERROR(VLOOKUP($C71,[13]REKAP!$B$9:$D$200,3,0),"")</f>
        <v/>
      </c>
      <c r="AL71" s="15" t="str">
        <f>IFERROR(VLOOKUP($C71,[13]REKAP!$B$9:$E$200,4,0),"")</f>
        <v/>
      </c>
      <c r="AM71" s="15" t="str">
        <f>IFERROR(VLOOKUP($C71,[13]REKAP!$B$9:$G$200,6,0),"")</f>
        <v/>
      </c>
      <c r="AN71" s="15" t="str">
        <f>IFERROR(VLOOKUP($C71,[14]REKAP!$B$9:$D$200,3,0),"")</f>
        <v/>
      </c>
      <c r="AO71" s="15" t="str">
        <f>IFERROR(VLOOKUP($C71,[14]REKAP!$B$9:$E$200,4,0),"")</f>
        <v/>
      </c>
      <c r="AP71" s="15" t="str">
        <f>IFERROR(VLOOKUP($C71,[14]REKAP!$B$9:$G$200,6,0),"")</f>
        <v/>
      </c>
      <c r="AQ71" s="15" t="str">
        <f>IFERROR(VLOOKUP($C71,[15]REKAP!$B$9:$D$200,3,0),"")</f>
        <v/>
      </c>
      <c r="AR71" s="15" t="str">
        <f>IFERROR(VLOOKUP($C71,[15]REKAP!$B$9:$E$200,4,0),"")</f>
        <v/>
      </c>
      <c r="AS71" s="15" t="str">
        <f>IFERROR(VLOOKUP($C71,[15]REKAP!$B$9:$G$200,6,0),"")</f>
        <v/>
      </c>
      <c r="AT71" s="15" t="str">
        <f>IFERROR(VLOOKUP($C71,[16]REKAP!$B$9:$D$200,3,0),"")</f>
        <v/>
      </c>
      <c r="AU71" s="15" t="str">
        <f>IFERROR(VLOOKUP($C71,[16]REKAP!$B$9:$E$200,4,0),"")</f>
        <v/>
      </c>
      <c r="AV71" s="15" t="str">
        <f>IFERROR(VLOOKUP($C71,[16]REKAP!$B$9:$G$200,6,0),"")</f>
        <v/>
      </c>
      <c r="AW71" s="15" t="str">
        <f>IFERROR(VLOOKUP($C71,[17]REKAP!$B$9:$D$200,3,0),"")</f>
        <v/>
      </c>
      <c r="AX71" s="15" t="str">
        <f>IFERROR(VLOOKUP($C71,[17]REKAP!$B$9:$E$200,4,0),"")</f>
        <v/>
      </c>
      <c r="AY71" s="15" t="str">
        <f>IFERROR(VLOOKUP($C71,[17]REKAP!$B$9:$G$200,6,0),"")</f>
        <v/>
      </c>
      <c r="AZ71" s="15" t="str">
        <f>IFERROR(VLOOKUP($C71,[18]REKAP!$B$9:$D$200,3,0),"")</f>
        <v/>
      </c>
      <c r="BA71" s="15" t="str">
        <f>IFERROR(VLOOKUP($C71,[18]REKAP!$B$9:$E$200,4,0),"")</f>
        <v/>
      </c>
      <c r="BB71" s="15" t="str">
        <f>IFERROR(VLOOKUP($C71,[18]REKAP!$B$9:$G$200,6,0),"")</f>
        <v/>
      </c>
      <c r="BC71" s="15" t="str">
        <f>IFERROR(VLOOKUP($C71,[19]REKAP!$B$9:$D$200,3,0),"")</f>
        <v/>
      </c>
      <c r="BD71" s="15" t="str">
        <f>IFERROR(VLOOKUP($C71,[19]REKAP!$B$9:$E$200,4,0),"")</f>
        <v/>
      </c>
      <c r="BE71" s="15" t="str">
        <f>IFERROR(VLOOKUP($C71,[19]REKAP!$B$9:$G$200,6,0),"")</f>
        <v/>
      </c>
      <c r="BF71" s="15" t="str">
        <f>IFERROR(VLOOKUP($C71,[20]REKAP!$B$9:$D$200,3,0),"")</f>
        <v/>
      </c>
      <c r="BG71" s="15" t="str">
        <f>IFERROR(VLOOKUP($C71,[20]REKAP!$B$9:$E$200,4,0),"")</f>
        <v/>
      </c>
      <c r="BH71" s="15" t="str">
        <f>IFERROR(VLOOKUP($C71,[20]REKAP!$B$9:$G$200,6,0),"")</f>
        <v/>
      </c>
      <c r="BI71" s="15" t="str">
        <f>IFERROR(VLOOKUP($C71,[21]REKAP!$B$9:$D$200,3,0),"")</f>
        <v/>
      </c>
      <c r="BJ71" s="15" t="str">
        <f>IFERROR(VLOOKUP($C71,[21]REKAP!$B$9:$E$200,4,0),"")</f>
        <v/>
      </c>
      <c r="BK71" s="15" t="str">
        <f>IFERROR(VLOOKUP($C71,[21]REKAP!$B$9:$G$200,6,0),"")</f>
        <v/>
      </c>
      <c r="BL71" s="15" t="str">
        <f>IFERROR(VLOOKUP($C71,[22]REKAP!$B$9:$D$200,3,0),"")</f>
        <v/>
      </c>
      <c r="BM71" s="15" t="str">
        <f>IFERROR(VLOOKUP($C71,[22]REKAP!$B$9:$E$200,4,0),"")</f>
        <v/>
      </c>
      <c r="BN71" s="15" t="str">
        <f>IFERROR(VLOOKUP($C71,[22]REKAP!$B$9:$G$200,6,0),"")</f>
        <v/>
      </c>
      <c r="BO71" s="15" t="str">
        <f>IFERROR(VLOOKUP($C71,[23]REKAP!$B$9:$D$200,3,0),"")</f>
        <v/>
      </c>
      <c r="BP71" s="15" t="str">
        <f>IFERROR(VLOOKUP($C71,[23]REKAP!$B$9:$E$200,4,0),"")</f>
        <v/>
      </c>
      <c r="BQ71" s="15" t="str">
        <f>IFERROR(VLOOKUP($C71,[23]REKAP!$B$9:$G$200,6,0),"")</f>
        <v/>
      </c>
      <c r="BR71" s="15" t="str">
        <f>IFERROR(VLOOKUP($C71,[24]REKAP!$B$9:$D$200,3,0),"")</f>
        <v/>
      </c>
      <c r="BS71" s="15" t="str">
        <f>IFERROR(VLOOKUP($C71,[24]REKAP!$B$9:$E$200,4,0),"")</f>
        <v/>
      </c>
      <c r="BT71" s="15" t="str">
        <f>IFERROR(VLOOKUP($C71,[24]REKAP!$B$9:$G$200,6,0),"")</f>
        <v/>
      </c>
      <c r="BU71" s="15" t="str">
        <f>IFERROR(VLOOKUP($C71,[25]REKAP!$B$9:$D$200,3,0),"")</f>
        <v/>
      </c>
      <c r="BV71" s="15" t="str">
        <f>IFERROR(VLOOKUP($C71,[25]REKAP!$B$9:$E$200,4,0),"")</f>
        <v/>
      </c>
      <c r="BW71" s="15" t="str">
        <f>IFERROR(VLOOKUP($C71,[25]REKAP!$B$9:$G$200,6,0),"")</f>
        <v/>
      </c>
      <c r="BX71" s="15" t="str">
        <f>IFERROR(VLOOKUP($C71,[26]REKAP!$B$9:$D$200,3,0),"")</f>
        <v/>
      </c>
      <c r="BY71" s="15" t="str">
        <f>IFERROR(VLOOKUP($C71,[26]REKAP!$B$9:$E$200,4,0),"")</f>
        <v/>
      </c>
      <c r="BZ71" s="15" t="str">
        <f>IFERROR(VLOOKUP($C71,[26]REKAP!$B$9:$G$200,6,0),"")</f>
        <v/>
      </c>
      <c r="CA71" s="15" t="str">
        <f>IFERROR(VLOOKUP($C71,[27]REKAP!$B$9:$D$200,3,0),"")</f>
        <v/>
      </c>
      <c r="CB71" s="15" t="str">
        <f>IFERROR(VLOOKUP($C71,[27]REKAP!$B$9:$E$200,4,0),"")</f>
        <v/>
      </c>
      <c r="CC71" s="15" t="str">
        <f>IFERROR(VLOOKUP($C71,[27]REKAP!$B$9:$G$200,6,0),"")</f>
        <v/>
      </c>
      <c r="CD71" s="15" t="str">
        <f>IFERROR(VLOOKUP($C71,[28]REKAP!$B$9:$D$200,3,0),"")</f>
        <v/>
      </c>
      <c r="CE71" s="15" t="str">
        <f>IFERROR(VLOOKUP($C71,[28]REKAP!$B$9:$E$200,4,0),"")</f>
        <v/>
      </c>
      <c r="CF71" s="15" t="str">
        <f>IFERROR(VLOOKUP($C71,[28]REKAP!$B$9:$G$200,6,0),"")</f>
        <v/>
      </c>
      <c r="CG71" s="15" t="str">
        <f>IFERROR(VLOOKUP($C71,[29]REKAP!$B$9:$D$200,3,0),"")</f>
        <v/>
      </c>
      <c r="CH71" s="15" t="str">
        <f>IFERROR(VLOOKUP($C71,[29]REKAP!$B$9:$E$200,4,0),"")</f>
        <v/>
      </c>
      <c r="CI71" s="15" t="str">
        <f>IFERROR(VLOOKUP($C71,[29]REKAP!$B$9:$G$200,6,0),"")</f>
        <v/>
      </c>
      <c r="CJ71" s="15" t="str">
        <f>IFERROR(VLOOKUP($C71,[30]REKAP!$B$9:$D$200,3,0),"")</f>
        <v/>
      </c>
      <c r="CK71" s="15" t="str">
        <f>IFERROR(VLOOKUP($C71,[30]REKAP!$B$9:$E$200,4,0),"")</f>
        <v/>
      </c>
      <c r="CL71" s="15" t="str">
        <f>IFERROR(VLOOKUP($C71,[30]REKAP!$B$9:$G$200,6,0),"")</f>
        <v/>
      </c>
      <c r="CM71" s="15" t="str">
        <f>IFERROR(VLOOKUP($C71,[31]REKAP!$B$9:$D$200,3,0),"")</f>
        <v/>
      </c>
      <c r="CN71" s="15" t="str">
        <f>IFERROR(VLOOKUP($C71,[31]REKAP!$B$9:$E$200,4,0),"")</f>
        <v/>
      </c>
      <c r="CO71" s="15" t="str">
        <f>IFERROR(VLOOKUP($C71,[31]REKAP!$B$9:$G$200,6,0),"")</f>
        <v/>
      </c>
      <c r="CP71" s="15" t="str">
        <f>IFERROR(VLOOKUP($C71,[32]REKAP!$B$9:$D$200,3,0),"")</f>
        <v/>
      </c>
      <c r="CQ71" s="15" t="str">
        <f>IFERROR(VLOOKUP($C71,[32]REKAP!$B$9:$E$200,4,0),"")</f>
        <v/>
      </c>
      <c r="CR71" s="15" t="str">
        <f>IFERROR(VLOOKUP($C71,[32]REKAP!$B$9:$G$200,6,0),"")</f>
        <v/>
      </c>
      <c r="CS71" s="15" t="str">
        <f>IFERROR(VLOOKUP($C71,[33]REKAP!$B$9:$D$200,3,0),"")</f>
        <v/>
      </c>
      <c r="CT71" s="15" t="str">
        <f>IFERROR(VLOOKUP($C71,[33]REKAP!$B$9:$E$200,4,0),"")</f>
        <v/>
      </c>
      <c r="CU71" s="15" t="str">
        <f>IFERROR(VLOOKUP($C71,[33]REKAP!$B$9:$G$200,6,0),"")</f>
        <v/>
      </c>
      <c r="CV71" s="15" t="str">
        <f>IFERROR(VLOOKUP($C71,[34]REKAP!$B$9:$D$200,3,0),"")</f>
        <v/>
      </c>
      <c r="CW71" s="15" t="str">
        <f>IFERROR(VLOOKUP($C71,[34]REKAP!$B$9:$E$200,4,0),"")</f>
        <v/>
      </c>
      <c r="CX71" s="15" t="str">
        <f>IFERROR(VLOOKUP($C71,[34]REKAP!$B$9:$G$200,6,0),"")</f>
        <v/>
      </c>
    </row>
    <row r="72" spans="3:102" x14ac:dyDescent="0.25">
      <c r="C72" s="7" t="s">
        <v>142</v>
      </c>
      <c r="D72" s="5" t="str">
        <f>IFERROR(VLOOKUP(C72,DBASE!$C$7:$D$207,2,0),"")</f>
        <v>TORA BIKA SUSU</v>
      </c>
      <c r="E72" s="15">
        <f t="shared" si="3"/>
        <v>0</v>
      </c>
      <c r="F72" s="15">
        <f t="shared" si="3"/>
        <v>0</v>
      </c>
      <c r="H72" s="15">
        <f t="shared" si="3"/>
        <v>0</v>
      </c>
      <c r="J72" s="15" t="str">
        <f>IFERROR(VLOOKUP($C72,[4]REKAP!$B$9:$D$200,3,0),"")</f>
        <v/>
      </c>
      <c r="K72" s="15" t="str">
        <f>IFERROR(VLOOKUP($C72,[4]REKAP!$B$9:$E$200,4,0),"")</f>
        <v/>
      </c>
      <c r="L72" s="15" t="str">
        <f>IFERROR(VLOOKUP($C72,[4]REKAP!$B$9:$G$200,6,0),"")</f>
        <v/>
      </c>
      <c r="M72" s="15" t="str">
        <f>IFERROR(VLOOKUP($C72,[5]REKAP!$B$9:$D$200,3,0),"")</f>
        <v/>
      </c>
      <c r="N72" s="15" t="str">
        <f>IFERROR(VLOOKUP($C72,[5]REKAP!$B$9:$E$200,4,0),"")</f>
        <v/>
      </c>
      <c r="O72" s="15" t="str">
        <f>IFERROR(VLOOKUP($C72,[5]REKAP!$B$9:$G$200,6,0),"")</f>
        <v/>
      </c>
      <c r="P72" s="15" t="str">
        <f>IFERROR(VLOOKUP($C72,[6]REKAP!$B$9:$D$200,3,0),"")</f>
        <v/>
      </c>
      <c r="Q72" s="15" t="str">
        <f>IFERROR(VLOOKUP($C72,[6]REKAP!$B$9:$E$200,4,0),"")</f>
        <v/>
      </c>
      <c r="R72" s="15" t="str">
        <f>IFERROR(VLOOKUP($C72,[6]REKAP!$B$9:$G$200,6,0),"")</f>
        <v/>
      </c>
      <c r="S72" s="15" t="str">
        <f>IFERROR(VLOOKUP($C72,[7]REKAP!$B$9:$D$200,3,0),"")</f>
        <v/>
      </c>
      <c r="T72" s="15" t="str">
        <f>IFERROR(VLOOKUP($C72,[7]REKAP!$B$9:$E$200,4,0),"")</f>
        <v/>
      </c>
      <c r="U72" s="15" t="str">
        <f>IFERROR(VLOOKUP($C72,[7]REKAP!$B$9:$G$200,6,0),"")</f>
        <v/>
      </c>
      <c r="V72" s="15" t="str">
        <f>IFERROR(VLOOKUP($C72,[8]REKAP!$B$9:$D$200,3,0),"")</f>
        <v/>
      </c>
      <c r="W72" s="15" t="str">
        <f>IFERROR(VLOOKUP($C72,[8]REKAP!$B$9:$E$200,4,0),"")</f>
        <v/>
      </c>
      <c r="X72" s="15" t="str">
        <f>IFERROR(VLOOKUP($C72,[8]REKAP!$B$9:$G$200,6,0),"")</f>
        <v/>
      </c>
      <c r="Y72" s="15" t="str">
        <f>IFERROR(VLOOKUP($C72,[9]REKAP!$B$9:$D$200,3,0),"")</f>
        <v/>
      </c>
      <c r="Z72" s="15" t="str">
        <f>IFERROR(VLOOKUP($C72,[9]REKAP!$B$9:$E$200,4,0),"")</f>
        <v/>
      </c>
      <c r="AA72" s="15" t="str">
        <f>IFERROR(VLOOKUP($C72,[9]REKAP!$B$9:$G$200,6,0),"")</f>
        <v/>
      </c>
      <c r="AB72" s="15" t="str">
        <f>IFERROR(VLOOKUP($C72,[10]REKAP!$B$9:$D$200,3,0),"")</f>
        <v/>
      </c>
      <c r="AC72" s="15" t="str">
        <f>IFERROR(VLOOKUP($C72,[10]REKAP!$B$9:$E$200,4,0),"")</f>
        <v/>
      </c>
      <c r="AD72" s="15" t="str">
        <f>IFERROR(VLOOKUP($C72,[10]REKAP!$B$9:$G$200,6,0),"")</f>
        <v/>
      </c>
      <c r="AE72" s="15" t="str">
        <f>IFERROR(VLOOKUP($C72,[11]REKAP!$B$9:$D$199,3,0),"")</f>
        <v/>
      </c>
      <c r="AF72" s="15" t="str">
        <f>IFERROR(VLOOKUP($C72,[11]REKAP!$B$9:$E$199,4,0),"")</f>
        <v/>
      </c>
      <c r="AG72" s="15" t="str">
        <f>IFERROR(VLOOKUP($C72,[11]REKAP!$B$9:$G$199,6,0),"")</f>
        <v/>
      </c>
      <c r="AH72" s="15" t="str">
        <f>IFERROR(VLOOKUP($C72,[12]REKAP!$B$9:$D$200,3,0),"")</f>
        <v/>
      </c>
      <c r="AI72" s="15" t="str">
        <f>IFERROR(VLOOKUP($C72,[12]REKAP!$B$9:$E$200,4,0),"")</f>
        <v/>
      </c>
      <c r="AJ72" s="15" t="str">
        <f>IFERROR(VLOOKUP($C72,[12]REKAP!$B$9:$G$200,6,0),"")</f>
        <v/>
      </c>
      <c r="AK72" s="15" t="str">
        <f>IFERROR(VLOOKUP($C72,[13]REKAP!$B$9:$D$200,3,0),"")</f>
        <v/>
      </c>
      <c r="AL72" s="15" t="str">
        <f>IFERROR(VLOOKUP($C72,[13]REKAP!$B$9:$E$200,4,0),"")</f>
        <v/>
      </c>
      <c r="AM72" s="15" t="str">
        <f>IFERROR(VLOOKUP($C72,[13]REKAP!$B$9:$G$200,6,0),"")</f>
        <v/>
      </c>
      <c r="AN72" s="15" t="str">
        <f>IFERROR(VLOOKUP($C72,[14]REKAP!$B$9:$D$200,3,0),"")</f>
        <v/>
      </c>
      <c r="AO72" s="15" t="str">
        <f>IFERROR(VLOOKUP($C72,[14]REKAP!$B$9:$E$200,4,0),"")</f>
        <v/>
      </c>
      <c r="AP72" s="15" t="str">
        <f>IFERROR(VLOOKUP($C72,[14]REKAP!$B$9:$G$200,6,0),"")</f>
        <v/>
      </c>
      <c r="AQ72" s="15" t="str">
        <f>IFERROR(VLOOKUP($C72,[15]REKAP!$B$9:$D$200,3,0),"")</f>
        <v/>
      </c>
      <c r="AR72" s="15" t="str">
        <f>IFERROR(VLOOKUP($C72,[15]REKAP!$B$9:$E$200,4,0),"")</f>
        <v/>
      </c>
      <c r="AS72" s="15" t="str">
        <f>IFERROR(VLOOKUP($C72,[15]REKAP!$B$9:$G$200,6,0),"")</f>
        <v/>
      </c>
      <c r="AT72" s="15" t="str">
        <f>IFERROR(VLOOKUP($C72,[16]REKAP!$B$9:$D$200,3,0),"")</f>
        <v/>
      </c>
      <c r="AU72" s="15" t="str">
        <f>IFERROR(VLOOKUP($C72,[16]REKAP!$B$9:$E$200,4,0),"")</f>
        <v/>
      </c>
      <c r="AV72" s="15" t="str">
        <f>IFERROR(VLOOKUP($C72,[16]REKAP!$B$9:$G$200,6,0),"")</f>
        <v/>
      </c>
      <c r="AW72" s="15" t="str">
        <f>IFERROR(VLOOKUP($C72,[17]REKAP!$B$9:$D$200,3,0),"")</f>
        <v/>
      </c>
      <c r="AX72" s="15" t="str">
        <f>IFERROR(VLOOKUP($C72,[17]REKAP!$B$9:$E$200,4,0),"")</f>
        <v/>
      </c>
      <c r="AY72" s="15" t="str">
        <f>IFERROR(VLOOKUP($C72,[17]REKAP!$B$9:$G$200,6,0),"")</f>
        <v/>
      </c>
      <c r="AZ72" s="15" t="str">
        <f>IFERROR(VLOOKUP($C72,[18]REKAP!$B$9:$D$200,3,0),"")</f>
        <v/>
      </c>
      <c r="BA72" s="15" t="str">
        <f>IFERROR(VLOOKUP($C72,[18]REKAP!$B$9:$E$200,4,0),"")</f>
        <v/>
      </c>
      <c r="BB72" s="15" t="str">
        <f>IFERROR(VLOOKUP($C72,[18]REKAP!$B$9:$G$200,6,0),"")</f>
        <v/>
      </c>
      <c r="BC72" s="15" t="str">
        <f>IFERROR(VLOOKUP($C72,[19]REKAP!$B$9:$D$200,3,0),"")</f>
        <v/>
      </c>
      <c r="BD72" s="15" t="str">
        <f>IFERROR(VLOOKUP($C72,[19]REKAP!$B$9:$E$200,4,0),"")</f>
        <v/>
      </c>
      <c r="BE72" s="15" t="str">
        <f>IFERROR(VLOOKUP($C72,[19]REKAP!$B$9:$G$200,6,0),"")</f>
        <v/>
      </c>
      <c r="BF72" s="15" t="str">
        <f>IFERROR(VLOOKUP($C72,[20]REKAP!$B$9:$D$200,3,0),"")</f>
        <v/>
      </c>
      <c r="BG72" s="15" t="str">
        <f>IFERROR(VLOOKUP($C72,[20]REKAP!$B$9:$E$200,4,0),"")</f>
        <v/>
      </c>
      <c r="BH72" s="15" t="str">
        <f>IFERROR(VLOOKUP($C72,[20]REKAP!$B$9:$G$200,6,0),"")</f>
        <v/>
      </c>
      <c r="BI72" s="15" t="str">
        <f>IFERROR(VLOOKUP($C72,[21]REKAP!$B$9:$D$200,3,0),"")</f>
        <v/>
      </c>
      <c r="BJ72" s="15" t="str">
        <f>IFERROR(VLOOKUP($C72,[21]REKAP!$B$9:$E$200,4,0),"")</f>
        <v/>
      </c>
      <c r="BK72" s="15" t="str">
        <f>IFERROR(VLOOKUP($C72,[21]REKAP!$B$9:$G$200,6,0),"")</f>
        <v/>
      </c>
      <c r="BL72" s="15" t="str">
        <f>IFERROR(VLOOKUP($C72,[22]REKAP!$B$9:$D$200,3,0),"")</f>
        <v/>
      </c>
      <c r="BM72" s="15" t="str">
        <f>IFERROR(VLOOKUP($C72,[22]REKAP!$B$9:$E$200,4,0),"")</f>
        <v/>
      </c>
      <c r="BN72" s="15" t="str">
        <f>IFERROR(VLOOKUP($C72,[22]REKAP!$B$9:$G$200,6,0),"")</f>
        <v/>
      </c>
      <c r="BO72" s="15" t="str">
        <f>IFERROR(VLOOKUP($C72,[23]REKAP!$B$9:$D$200,3,0),"")</f>
        <v/>
      </c>
      <c r="BP72" s="15" t="str">
        <f>IFERROR(VLOOKUP($C72,[23]REKAP!$B$9:$E$200,4,0),"")</f>
        <v/>
      </c>
      <c r="BQ72" s="15" t="str">
        <f>IFERROR(VLOOKUP($C72,[23]REKAP!$B$9:$G$200,6,0),"")</f>
        <v/>
      </c>
      <c r="BR72" s="15" t="str">
        <f>IFERROR(VLOOKUP($C72,[24]REKAP!$B$9:$D$200,3,0),"")</f>
        <v/>
      </c>
      <c r="BS72" s="15" t="str">
        <f>IFERROR(VLOOKUP($C72,[24]REKAP!$B$9:$E$200,4,0),"")</f>
        <v/>
      </c>
      <c r="BT72" s="15" t="str">
        <f>IFERROR(VLOOKUP($C72,[24]REKAP!$B$9:$G$200,6,0),"")</f>
        <v/>
      </c>
      <c r="BU72" s="15" t="str">
        <f>IFERROR(VLOOKUP($C72,[25]REKAP!$B$9:$D$200,3,0),"")</f>
        <v/>
      </c>
      <c r="BV72" s="15" t="str">
        <f>IFERROR(VLOOKUP($C72,[25]REKAP!$B$9:$E$200,4,0),"")</f>
        <v/>
      </c>
      <c r="BW72" s="15" t="str">
        <f>IFERROR(VLOOKUP($C72,[25]REKAP!$B$9:$G$200,6,0),"")</f>
        <v/>
      </c>
      <c r="BX72" s="15" t="str">
        <f>IFERROR(VLOOKUP($C72,[26]REKAP!$B$9:$D$200,3,0),"")</f>
        <v/>
      </c>
      <c r="BY72" s="15" t="str">
        <f>IFERROR(VLOOKUP($C72,[26]REKAP!$B$9:$E$200,4,0),"")</f>
        <v/>
      </c>
      <c r="BZ72" s="15" t="str">
        <f>IFERROR(VLOOKUP($C72,[26]REKAP!$B$9:$G$200,6,0),"")</f>
        <v/>
      </c>
      <c r="CA72" s="15" t="str">
        <f>IFERROR(VLOOKUP($C72,[27]REKAP!$B$9:$D$200,3,0),"")</f>
        <v/>
      </c>
      <c r="CB72" s="15" t="str">
        <f>IFERROR(VLOOKUP($C72,[27]REKAP!$B$9:$E$200,4,0),"")</f>
        <v/>
      </c>
      <c r="CC72" s="15" t="str">
        <f>IFERROR(VLOOKUP($C72,[27]REKAP!$B$9:$G$200,6,0),"")</f>
        <v/>
      </c>
      <c r="CD72" s="15" t="str">
        <f>IFERROR(VLOOKUP($C72,[28]REKAP!$B$9:$D$200,3,0),"")</f>
        <v/>
      </c>
      <c r="CE72" s="15" t="str">
        <f>IFERROR(VLOOKUP($C72,[28]REKAP!$B$9:$E$200,4,0),"")</f>
        <v/>
      </c>
      <c r="CF72" s="15" t="str">
        <f>IFERROR(VLOOKUP($C72,[28]REKAP!$B$9:$G$200,6,0),"")</f>
        <v/>
      </c>
      <c r="CG72" s="15" t="str">
        <f>IFERROR(VLOOKUP($C72,[29]REKAP!$B$9:$D$200,3,0),"")</f>
        <v/>
      </c>
      <c r="CH72" s="15" t="str">
        <f>IFERROR(VLOOKUP($C72,[29]REKAP!$B$9:$E$200,4,0),"")</f>
        <v/>
      </c>
      <c r="CI72" s="15" t="str">
        <f>IFERROR(VLOOKUP($C72,[29]REKAP!$B$9:$G$200,6,0),"")</f>
        <v/>
      </c>
      <c r="CJ72" s="15" t="str">
        <f>IFERROR(VLOOKUP($C72,[30]REKAP!$B$9:$D$200,3,0),"")</f>
        <v/>
      </c>
      <c r="CK72" s="15" t="str">
        <f>IFERROR(VLOOKUP($C72,[30]REKAP!$B$9:$E$200,4,0),"")</f>
        <v/>
      </c>
      <c r="CL72" s="15" t="str">
        <f>IFERROR(VLOOKUP($C72,[30]REKAP!$B$9:$G$200,6,0),"")</f>
        <v/>
      </c>
      <c r="CM72" s="15" t="str">
        <f>IFERROR(VLOOKUP($C72,[31]REKAP!$B$9:$D$200,3,0),"")</f>
        <v/>
      </c>
      <c r="CN72" s="15" t="str">
        <f>IFERROR(VLOOKUP($C72,[31]REKAP!$B$9:$E$200,4,0),"")</f>
        <v/>
      </c>
      <c r="CO72" s="15" t="str">
        <f>IFERROR(VLOOKUP($C72,[31]REKAP!$B$9:$G$200,6,0),"")</f>
        <v/>
      </c>
      <c r="CP72" s="15" t="str">
        <f>IFERROR(VLOOKUP($C72,[32]REKAP!$B$9:$D$200,3,0),"")</f>
        <v/>
      </c>
      <c r="CQ72" s="15" t="str">
        <f>IFERROR(VLOOKUP($C72,[32]REKAP!$B$9:$E$200,4,0),"")</f>
        <v/>
      </c>
      <c r="CR72" s="15" t="str">
        <f>IFERROR(VLOOKUP($C72,[32]REKAP!$B$9:$G$200,6,0),"")</f>
        <v/>
      </c>
      <c r="CS72" s="15" t="str">
        <f>IFERROR(VLOOKUP($C72,[33]REKAP!$B$9:$D$200,3,0),"")</f>
        <v/>
      </c>
      <c r="CT72" s="15" t="str">
        <f>IFERROR(VLOOKUP($C72,[33]REKAP!$B$9:$E$200,4,0),"")</f>
        <v/>
      </c>
      <c r="CU72" s="15" t="str">
        <f>IFERROR(VLOOKUP($C72,[33]REKAP!$B$9:$G$200,6,0),"")</f>
        <v/>
      </c>
      <c r="CV72" s="15" t="str">
        <f>IFERROR(VLOOKUP($C72,[34]REKAP!$B$9:$D$200,3,0),"")</f>
        <v/>
      </c>
      <c r="CW72" s="15" t="str">
        <f>IFERROR(VLOOKUP($C72,[34]REKAP!$B$9:$E$200,4,0),"")</f>
        <v/>
      </c>
      <c r="CX72" s="15" t="str">
        <f>IFERROR(VLOOKUP($C72,[34]REKAP!$B$9:$G$200,6,0),"")</f>
        <v/>
      </c>
    </row>
  </sheetData>
  <mergeCells count="3">
    <mergeCell ref="C7:C8"/>
    <mergeCell ref="D7:D8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DBASE</vt:lpstr>
      <vt:lpstr>STOCK</vt:lpstr>
      <vt:lpstr>REKAP TERIMA BARANG</vt:lpstr>
      <vt:lpstr>REKAP PENJUALAN</vt:lpstr>
      <vt:lpstr>DBASE!Print_Area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2016-01-06T14:30:16Z</cp:lastPrinted>
  <dcterms:created xsi:type="dcterms:W3CDTF">2015-12-28T04:55:49Z</dcterms:created>
  <dcterms:modified xsi:type="dcterms:W3CDTF">2016-01-09T09:27:22Z</dcterms:modified>
</cp:coreProperties>
</file>