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29.06\"/>
    </mc:Choice>
  </mc:AlternateContent>
  <xr:revisionPtr revIDLastSave="0" documentId="8_{023683A0-AF46-4E27-B885-114F53C67022}" xr6:coauthVersionLast="47" xr6:coauthVersionMax="47" xr10:uidLastSave="{00000000-0000-0000-0000-000000000000}"/>
  <bookViews>
    <workbookView xWindow="-120" yWindow="-120" windowWidth="29040" windowHeight="15990" activeTab="2" xr2:uid="{BA6EE6BF-511E-44F8-8D93-F66EC94B0A10}"/>
  </bookViews>
  <sheets>
    <sheet name="ВПР база" sheetId="1" r:id="rId1"/>
    <sheet name="Карточка работника" sheetId="2" r:id="rId2"/>
    <sheet name="Поиск в левом столбце" sheetId="3" r:id="rId3"/>
    <sheet name="Поиск по горизонтали" sheetId="4" r:id="rId4"/>
    <sheet name="Сокрытие ошибок" sheetId="5" r:id="rId5"/>
    <sheet name="Поиск ближайшего" sheetId="6" r:id="rId6"/>
  </sheets>
  <definedNames>
    <definedName name="_xlnm._FilterDatabase" localSheetId="5" hidden="1">'Поиск ближайшего'!$B$2:$D$2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D19" i="6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3" i="5"/>
  <c r="D29" i="5"/>
  <c r="D30" i="5"/>
  <c r="D28" i="5"/>
  <c r="C6" i="4"/>
  <c r="G9" i="3"/>
  <c r="G5" i="3"/>
  <c r="G8" i="3"/>
  <c r="G6" i="3"/>
  <c r="J2" i="3"/>
  <c r="I2" i="3"/>
  <c r="O1" i="3"/>
  <c r="O8" i="2"/>
  <c r="M7" i="2"/>
  <c r="O9" i="2" s="1"/>
  <c r="L5" i="2"/>
  <c r="M3" i="2"/>
  <c r="C13" i="1"/>
  <c r="I15" i="1"/>
  <c r="J12" i="1"/>
  <c r="I12" i="1"/>
  <c r="I14" i="1" s="1"/>
  <c r="I10" i="1"/>
  <c r="D16" i="6" l="1"/>
  <c r="D18" i="6"/>
  <c r="D17" i="6"/>
  <c r="O7" i="2"/>
  <c r="O11" i="2" s="1"/>
  <c r="O3" i="2" s="1"/>
</calcChain>
</file>

<file path=xl/sharedStrings.xml><?xml version="1.0" encoding="utf-8"?>
<sst xmlns="http://schemas.openxmlformats.org/spreadsheetml/2006/main" count="221" uniqueCount="192">
  <si>
    <t>Иванов</t>
  </si>
  <si>
    <t>Петров</t>
  </si>
  <si>
    <t>Сидоров</t>
  </si>
  <si>
    <t>Фамилия</t>
  </si>
  <si>
    <t>Должность</t>
  </si>
  <si>
    <t>Возраст</t>
  </si>
  <si>
    <t>Оклад</t>
  </si>
  <si>
    <t>Телефон</t>
  </si>
  <si>
    <t>Адрес</t>
  </si>
  <si>
    <t>Менеджер</t>
  </si>
  <si>
    <t>Инженер</t>
  </si>
  <si>
    <t>Дворник</t>
  </si>
  <si>
    <t>Лермонтова 23</t>
  </si>
  <si>
    <t>Пушкина 34</t>
  </si>
  <si>
    <t>Тургенева 18</t>
  </si>
  <si>
    <t>Табельный номер</t>
  </si>
  <si>
    <t>0001</t>
  </si>
  <si>
    <t>0002</t>
  </si>
  <si>
    <t>0003</t>
  </si>
  <si>
    <t>Иванов Игорь Петрович</t>
  </si>
  <si>
    <t>IPIvanov</t>
  </si>
  <si>
    <t>IgPIvanov</t>
  </si>
  <si>
    <t>Иванов Иван Петрович</t>
  </si>
  <si>
    <t>IvPIvanov</t>
  </si>
  <si>
    <t>Найти должность сотрудника с таб.н 0002</t>
  </si>
  <si>
    <t>Найти фамилию и возраст сотрудника с таб. Н 0001</t>
  </si>
  <si>
    <t>Фамилия: Иванов. Возраст: 22</t>
  </si>
  <si>
    <t>Найти по фамилии Петров телефон и адрес</t>
  </si>
  <si>
    <t>Отработано</t>
  </si>
  <si>
    <t>Почасовой</t>
  </si>
  <si>
    <t>Пенс.</t>
  </si>
  <si>
    <t>ID</t>
  </si>
  <si>
    <t>Работник</t>
  </si>
  <si>
    <t>Цех/участок</t>
  </si>
  <si>
    <t>часов</t>
  </si>
  <si>
    <t>тариф</t>
  </si>
  <si>
    <t>Налог</t>
  </si>
  <si>
    <t>Страховка</t>
  </si>
  <si>
    <t>фонд</t>
  </si>
  <si>
    <t>Алексеева Ирина</t>
  </si>
  <si>
    <t>Цех 12, участок 8</t>
  </si>
  <si>
    <t>Бондарь Наталия</t>
  </si>
  <si>
    <t>Цех 12, участок 2</t>
  </si>
  <si>
    <t>Винницкий Павел</t>
  </si>
  <si>
    <t>Цех 12, участок 1</t>
  </si>
  <si>
    <t>Грач Леонид</t>
  </si>
  <si>
    <t>Цех 10, участок 1</t>
  </si>
  <si>
    <t>Гринфельд Михаил</t>
  </si>
  <si>
    <t>Цех 10, участок 2</t>
  </si>
  <si>
    <t>Дашкевич Маргарита</t>
  </si>
  <si>
    <t>Дулин Евгений</t>
  </si>
  <si>
    <t>Цех 14, участок 3</t>
  </si>
  <si>
    <t>Ермолаева Полина</t>
  </si>
  <si>
    <t>Ковалев Эдуард</t>
  </si>
  <si>
    <t>Цех 14, участок 1</t>
  </si>
  <si>
    <t>Сергеев Василий</t>
  </si>
  <si>
    <t>ID работника</t>
  </si>
  <si>
    <t>№ документа</t>
  </si>
  <si>
    <t>К выплате</t>
  </si>
  <si>
    <t>Начислено</t>
  </si>
  <si>
    <t>Удержано</t>
  </si>
  <si>
    <t>Пенсионный фонд</t>
  </si>
  <si>
    <t>Всего удержано</t>
  </si>
  <si>
    <t>Город</t>
  </si>
  <si>
    <t>Штат</t>
  </si>
  <si>
    <t>№ магазина</t>
  </si>
  <si>
    <t>Чендлер</t>
  </si>
  <si>
    <t>AZ</t>
  </si>
  <si>
    <t>Глендейл</t>
  </si>
  <si>
    <t>CA</t>
  </si>
  <si>
    <t>Форт-Коллинз</t>
  </si>
  <si>
    <t>CO</t>
  </si>
  <si>
    <t>Гейнесвиль</t>
  </si>
  <si>
    <t>FL</t>
  </si>
  <si>
    <t>Пеория</t>
  </si>
  <si>
    <t>IL</t>
  </si>
  <si>
    <t>Индианополис</t>
  </si>
  <si>
    <t>IN</t>
  </si>
  <si>
    <t>Лафайет</t>
  </si>
  <si>
    <t>LA</t>
  </si>
  <si>
    <t>Гранд-Рапидс</t>
  </si>
  <si>
    <t>MI</t>
  </si>
  <si>
    <t>Сент-Луис</t>
  </si>
  <si>
    <t>MO</t>
  </si>
  <si>
    <t>Биллингс</t>
  </si>
  <si>
    <t>MT</t>
  </si>
  <si>
    <t>Роли</t>
  </si>
  <si>
    <t>NC</t>
  </si>
  <si>
    <t>Манчестер</t>
  </si>
  <si>
    <t>NH</t>
  </si>
  <si>
    <t>Элизабет</t>
  </si>
  <si>
    <t>NJ</t>
  </si>
  <si>
    <t>Альбукерк</t>
  </si>
  <si>
    <t>NM</t>
  </si>
  <si>
    <t>Толедо</t>
  </si>
  <si>
    <t>OH</t>
  </si>
  <si>
    <t>Талса</t>
  </si>
  <si>
    <t>OK</t>
  </si>
  <si>
    <t>Портленд</t>
  </si>
  <si>
    <t>OR</t>
  </si>
  <si>
    <t>Эри</t>
  </si>
  <si>
    <t>PA</t>
  </si>
  <si>
    <t>Провиденс</t>
  </si>
  <si>
    <t>RI</t>
  </si>
  <si>
    <t>Кларксвиль</t>
  </si>
  <si>
    <t>TN</t>
  </si>
  <si>
    <t>Карролтон</t>
  </si>
  <si>
    <t>TX</t>
  </si>
  <si>
    <t>Такома</t>
  </si>
  <si>
    <t>WA</t>
  </si>
  <si>
    <t>Грин-Бей</t>
  </si>
  <si>
    <t>WI</t>
  </si>
  <si>
    <t>Штат:</t>
  </si>
  <si>
    <t>Город:</t>
  </si>
  <si>
    <t>Магазин</t>
  </si>
  <si>
    <t>ПОИСКПОЗ</t>
  </si>
  <si>
    <t>ИНДЕКС</t>
  </si>
  <si>
    <t>ПРОСМОТР Город</t>
  </si>
  <si>
    <t>ПРОСМОТР Магазин</t>
  </si>
  <si>
    <t>Чунцин</t>
  </si>
  <si>
    <t>Сан-Пауло</t>
  </si>
  <si>
    <t>Каиманду</t>
  </si>
  <si>
    <t>Касабланка</t>
  </si>
  <si>
    <t>Лиссабон</t>
  </si>
  <si>
    <t>Мумбаи</t>
  </si>
  <si>
    <t>Хониара</t>
  </si>
  <si>
    <t>Эдмонтон</t>
  </si>
  <si>
    <t>Анадырь</t>
  </si>
  <si>
    <t>Лхаса</t>
  </si>
  <si>
    <t>Температура</t>
  </si>
  <si>
    <t>Ваш город:</t>
  </si>
  <si>
    <t>Температура:</t>
  </si>
  <si>
    <t>Компания</t>
  </si>
  <si>
    <t>Руководитель</t>
  </si>
  <si>
    <t>Activision Blizzard</t>
  </si>
  <si>
    <t xml:space="preserve">Robert A. Kotick </t>
  </si>
  <si>
    <t xml:space="preserve">Корпорация CBS </t>
  </si>
  <si>
    <t xml:space="preserve">Leslie Moonves </t>
  </si>
  <si>
    <t>Cheniere Energy</t>
  </si>
  <si>
    <t xml:space="preserve">Charif Souki </t>
  </si>
  <si>
    <t>Credit Acceptance</t>
  </si>
  <si>
    <t xml:space="preserve">Brett A. Roberts </t>
  </si>
  <si>
    <t>Discovery Communications</t>
  </si>
  <si>
    <t xml:space="preserve">David M. Zaslav </t>
  </si>
  <si>
    <t>Disney (Walt)</t>
  </si>
  <si>
    <t xml:space="preserve">Robert A. Iger </t>
  </si>
  <si>
    <t>Корпорация Exxon Mobil</t>
  </si>
  <si>
    <t xml:space="preserve">R. W. Tillerson </t>
  </si>
  <si>
    <t>Gamco Investors</t>
  </si>
  <si>
    <t xml:space="preserve">Mario J. Gabelli </t>
  </si>
  <si>
    <t>HCA Holdings</t>
  </si>
  <si>
    <t xml:space="preserve">Richard M. Bracken </t>
  </si>
  <si>
    <t>Honeywell International</t>
  </si>
  <si>
    <t xml:space="preserve">David M. Cote </t>
  </si>
  <si>
    <t xml:space="preserve">Jefferies Group Llc </t>
  </si>
  <si>
    <t xml:space="preserve">Richard B. Handler </t>
  </si>
  <si>
    <t>Level 3 Communications</t>
  </si>
  <si>
    <t xml:space="preserve">James Q. Crowe </t>
  </si>
  <si>
    <t>Liberty Interactive</t>
  </si>
  <si>
    <t xml:space="preserve">Gregory B. Maffei </t>
  </si>
  <si>
    <t>Корпорация Mckesson</t>
  </si>
  <si>
    <t xml:space="preserve">John H. Hammergren </t>
  </si>
  <si>
    <t>Nike</t>
  </si>
  <si>
    <t xml:space="preserve">Mark G. Parker </t>
  </si>
  <si>
    <t>Nuance Communications</t>
  </si>
  <si>
    <t xml:space="preserve">Paul A. Ricci </t>
  </si>
  <si>
    <t xml:space="preserve">Корпорация Oracle </t>
  </si>
  <si>
    <t xml:space="preserve">Lawrence J. Ellison </t>
  </si>
  <si>
    <t xml:space="preserve">Корпорация Pall </t>
  </si>
  <si>
    <t xml:space="preserve">Lawrence Kingsley </t>
  </si>
  <si>
    <t>Ralph Lauren</t>
  </si>
  <si>
    <t xml:space="preserve">Ralph Lauren </t>
  </si>
  <si>
    <t>Tesla Motors</t>
  </si>
  <si>
    <t xml:space="preserve">Elon Musk </t>
  </si>
  <si>
    <t>Viacom</t>
  </si>
  <si>
    <t xml:space="preserve">Philippe P. Dauman </t>
  </si>
  <si>
    <t>Yahoo</t>
  </si>
  <si>
    <t xml:space="preserve">Marissa A. Mayer </t>
  </si>
  <si>
    <t>Годовой доход</t>
  </si>
  <si>
    <t>Имя</t>
  </si>
  <si>
    <t>Доход за 2012 год</t>
  </si>
  <si>
    <t>Зарплата от</t>
  </si>
  <si>
    <t>но не больше</t>
  </si>
  <si>
    <t>Базовая сумма</t>
  </si>
  <si>
    <t>Ставка</t>
  </si>
  <si>
    <t>Заработная плата:</t>
  </si>
  <si>
    <t>Заработная плата без пособия:</t>
  </si>
  <si>
    <t>Сумма пособия:</t>
  </si>
  <si>
    <t>Не облагаемые пособия:</t>
  </si>
  <si>
    <t>Взимаемый налог:</t>
  </si>
  <si>
    <t>ЗП ОТ</t>
  </si>
  <si>
    <t>Процентная 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</si>
</sst>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#,##0.00\ &quot;₽&quot;"/>
    <numFmt numFmtId="166" formatCode="_(* #,##0.00_);_(* \(#,##0.00\);_(* &quot;-&quot;??_);_(@_)"/>
    <numFmt numFmtId="168" formatCode="_(* #,##0_);_(* \(#,##0\);_(* &quot;-&quot;_);_(@_)"/>
    <numFmt numFmtId="169" formatCode="0.0%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rgb="FF1E1E1E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49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49" fontId="0" fillId="0" borderId="1" xfId="0" applyNumberFormat="1" applyBorder="1"/>
    <xf numFmtId="164" fontId="0" fillId="0" borderId="1" xfId="1" applyNumberFormat="1" applyFont="1" applyBorder="1"/>
    <xf numFmtId="43" fontId="0" fillId="0" borderId="1" xfId="1" applyFont="1" applyBorder="1"/>
    <xf numFmtId="9" fontId="0" fillId="0" borderId="1" xfId="1" applyNumberFormat="1" applyFont="1" applyBorder="1"/>
    <xf numFmtId="0" fontId="0" fillId="0" borderId="2" xfId="0" applyBorder="1"/>
    <xf numFmtId="49" fontId="0" fillId="0" borderId="2" xfId="0" applyNumberFormat="1" applyBorder="1"/>
    <xf numFmtId="164" fontId="0" fillId="0" borderId="2" xfId="1" applyNumberFormat="1" applyFont="1" applyBorder="1"/>
    <xf numFmtId="43" fontId="0" fillId="0" borderId="2" xfId="1" applyFont="1" applyBorder="1"/>
    <xf numFmtId="9" fontId="0" fillId="0" borderId="2" xfId="1" applyNumberFormat="1" applyFont="1" applyBorder="1"/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165" fontId="0" fillId="0" borderId="9" xfId="0" applyNumberFormat="1" applyBorder="1"/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0" fillId="0" borderId="12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6" borderId="1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7" borderId="0" xfId="0" applyFont="1" applyFill="1"/>
    <xf numFmtId="0" fontId="2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8" borderId="0" xfId="0" applyFill="1"/>
    <xf numFmtId="0" fontId="0" fillId="3" borderId="0" xfId="0" applyFill="1"/>
    <xf numFmtId="165" fontId="0" fillId="0" borderId="0" xfId="1" applyNumberFormat="1" applyFont="1"/>
    <xf numFmtId="0" fontId="0" fillId="6" borderId="0" xfId="0" applyFill="1"/>
    <xf numFmtId="165" fontId="0" fillId="0" borderId="0" xfId="0" applyNumberFormat="1"/>
    <xf numFmtId="0" fontId="0" fillId="7" borderId="0" xfId="0" applyFont="1" applyFill="1" applyBorder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3021-C87F-4728-A68C-C4E72C921544}">
  <dimension ref="A1:K15"/>
  <sheetViews>
    <sheetView zoomScale="160" zoomScaleNormal="160" workbookViewId="0">
      <selection activeCell="I15" sqref="I15:J15"/>
    </sheetView>
  </sheetViews>
  <sheetFormatPr defaultRowHeight="15" x14ac:dyDescent="0.25"/>
  <cols>
    <col min="1" max="1" width="11.85546875" customWidth="1"/>
    <col min="2" max="4" width="12.7109375" customWidth="1"/>
    <col min="5" max="5" width="20.5703125" customWidth="1"/>
    <col min="6" max="6" width="12.7109375" customWidth="1"/>
    <col min="7" max="7" width="19.42578125" customWidth="1"/>
    <col min="9" max="9" width="23.5703125" customWidth="1"/>
    <col min="10" max="10" width="22.85546875" customWidth="1"/>
  </cols>
  <sheetData>
    <row r="1" spans="1:11" x14ac:dyDescent="0.25">
      <c r="A1" s="7" t="s">
        <v>16</v>
      </c>
      <c r="B1" t="s">
        <v>1</v>
      </c>
    </row>
    <row r="2" spans="1:11" ht="24" customHeight="1" x14ac:dyDescent="0.25"/>
    <row r="3" spans="1:11" ht="30" customHeight="1" x14ac:dyDescent="0.25">
      <c r="A3" s="7" t="s">
        <v>17</v>
      </c>
      <c r="B3" s="8"/>
      <c r="I3" s="8"/>
    </row>
    <row r="4" spans="1:11" ht="54" customHeight="1" x14ac:dyDescent="0.25">
      <c r="A4" s="5" t="s">
        <v>15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11" x14ac:dyDescent="0.25">
      <c r="A5" s="6" t="s">
        <v>16</v>
      </c>
      <c r="B5" s="3" t="s">
        <v>0</v>
      </c>
      <c r="C5" s="1" t="s">
        <v>9</v>
      </c>
      <c r="D5" s="1">
        <v>22</v>
      </c>
      <c r="E5" s="1">
        <v>5000</v>
      </c>
      <c r="F5" s="1">
        <v>98756</v>
      </c>
      <c r="G5" s="1" t="s">
        <v>12</v>
      </c>
      <c r="I5" t="s">
        <v>19</v>
      </c>
      <c r="J5" t="s">
        <v>21</v>
      </c>
      <c r="K5" t="s">
        <v>20</v>
      </c>
    </row>
    <row r="6" spans="1:11" x14ac:dyDescent="0.25">
      <c r="A6" s="6" t="s">
        <v>17</v>
      </c>
      <c r="B6" s="3" t="s">
        <v>1</v>
      </c>
      <c r="C6" s="1" t="s">
        <v>10</v>
      </c>
      <c r="D6" s="1">
        <v>34</v>
      </c>
      <c r="E6" s="1">
        <v>6000</v>
      </c>
      <c r="F6" s="1">
        <v>76547</v>
      </c>
      <c r="G6" s="1" t="s">
        <v>13</v>
      </c>
      <c r="I6" t="s">
        <v>22</v>
      </c>
      <c r="J6" t="s">
        <v>23</v>
      </c>
      <c r="K6" t="s">
        <v>20</v>
      </c>
    </row>
    <row r="7" spans="1:11" x14ac:dyDescent="0.25">
      <c r="A7" s="6" t="s">
        <v>18</v>
      </c>
      <c r="B7" s="3" t="s">
        <v>2</v>
      </c>
      <c r="C7" s="1" t="s">
        <v>11</v>
      </c>
      <c r="D7" s="1">
        <v>65</v>
      </c>
      <c r="E7" s="1">
        <v>3000</v>
      </c>
      <c r="F7" s="1">
        <v>14569</v>
      </c>
      <c r="G7" s="1" t="s">
        <v>14</v>
      </c>
    </row>
    <row r="8" spans="1:11" x14ac:dyDescent="0.25">
      <c r="A8" s="9">
        <v>1</v>
      </c>
      <c r="B8" s="9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</row>
    <row r="9" spans="1:11" x14ac:dyDescent="0.25">
      <c r="B9" s="9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I9" s="59" t="s">
        <v>24</v>
      </c>
      <c r="J9" s="59"/>
    </row>
    <row r="10" spans="1:11" x14ac:dyDescent="0.25">
      <c r="H10" s="4"/>
      <c r="I10" s="11" t="str">
        <f>VLOOKUP(A3,A5:C7,3,FALSE)</f>
        <v>Инженер</v>
      </c>
    </row>
    <row r="11" spans="1:11" x14ac:dyDescent="0.25">
      <c r="I11" s="59" t="s">
        <v>25</v>
      </c>
      <c r="J11" s="59"/>
    </row>
    <row r="12" spans="1:11" x14ac:dyDescent="0.25">
      <c r="C12" s="59" t="s">
        <v>27</v>
      </c>
      <c r="D12" s="59"/>
      <c r="E12" s="59"/>
      <c r="I12" s="11" t="str">
        <f>VLOOKUP(A1, A5:B7,2,FALSE)</f>
        <v>Иванов</v>
      </c>
      <c r="J12" s="11">
        <f>VLOOKUP(A1,A5:D7,4,FALSE)</f>
        <v>22</v>
      </c>
    </row>
    <row r="13" spans="1:11" x14ac:dyDescent="0.25">
      <c r="C13" s="59" t="str">
        <f>"Телефон: "&amp;VLOOKUP(B1, B5:F7, 5,FALSE)&amp;". Адрес проживания: "&amp;VLOOKUP(B1,B5:G7, 6,FALSE)</f>
        <v>Телефон: 76547. Адрес проживания: Пушкина 34</v>
      </c>
      <c r="D13" s="59"/>
      <c r="E13" s="59"/>
      <c r="I13" s="59" t="s">
        <v>26</v>
      </c>
      <c r="J13" s="59"/>
    </row>
    <row r="14" spans="1:11" x14ac:dyDescent="0.25">
      <c r="I14" s="60" t="str">
        <f>"Фамилия: "&amp;I12&amp;". Возраст: "&amp;J12</f>
        <v>Фамилия: Иванов. Возраст: 22</v>
      </c>
      <c r="J14" s="60"/>
    </row>
    <row r="15" spans="1:11" x14ac:dyDescent="0.25">
      <c r="I15" s="60" t="str">
        <f>"Фамилия: "&amp;VLOOKUP(A1, A5:B7,2,FALSE)&amp;". Возраст: "&amp;VLOOKUP(A1,A5:D7,4,FALSE)</f>
        <v>Фамилия: Иванов. Возраст: 22</v>
      </c>
      <c r="J15" s="60"/>
    </row>
  </sheetData>
  <mergeCells count="7">
    <mergeCell ref="C12:E12"/>
    <mergeCell ref="C13:E13"/>
    <mergeCell ref="I9:J9"/>
    <mergeCell ref="I11:J11"/>
    <mergeCell ref="I13:J13"/>
    <mergeCell ref="I14:J14"/>
    <mergeCell ref="I15:J1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D233-B975-49A5-A8CF-FC4B5C922629}">
  <dimension ref="B1:O13"/>
  <sheetViews>
    <sheetView topLeftCell="B1" zoomScale="145" zoomScaleNormal="145" workbookViewId="0">
      <selection activeCell="G2" sqref="G2"/>
    </sheetView>
  </sheetViews>
  <sheetFormatPr defaultRowHeight="15" x14ac:dyDescent="0.25"/>
  <cols>
    <col min="1" max="1" width="4.85546875" customWidth="1"/>
    <col min="2" max="2" width="6.7109375" customWidth="1"/>
    <col min="3" max="3" width="20.7109375" customWidth="1"/>
    <col min="4" max="4" width="17.140625" customWidth="1"/>
    <col min="5" max="5" width="11.140625" customWidth="1"/>
    <col min="6" max="6" width="12.140625" customWidth="1"/>
    <col min="7" max="7" width="8.42578125" customWidth="1"/>
    <col min="8" max="8" width="11.85546875" customWidth="1"/>
    <col min="9" max="9" width="11.140625" customWidth="1"/>
    <col min="10" max="10" width="2.28515625" customWidth="1"/>
    <col min="11" max="11" width="3" customWidth="1"/>
    <col min="12" max="12" width="17.140625" customWidth="1"/>
    <col min="13" max="13" width="18" customWidth="1"/>
    <col min="14" max="14" width="19.42578125" customWidth="1"/>
    <col min="15" max="15" width="17.28515625" customWidth="1"/>
  </cols>
  <sheetData>
    <row r="1" spans="2:15" ht="15.75" thickBot="1" x14ac:dyDescent="0.3">
      <c r="B1" s="21"/>
      <c r="C1" s="22"/>
      <c r="D1" s="22"/>
      <c r="E1" s="23" t="s">
        <v>28</v>
      </c>
      <c r="F1" s="23" t="s">
        <v>29</v>
      </c>
      <c r="G1" s="22"/>
      <c r="H1" s="22"/>
      <c r="I1" s="24" t="s">
        <v>30</v>
      </c>
    </row>
    <row r="2" spans="2:15" ht="15.75" thickBot="1" x14ac:dyDescent="0.3">
      <c r="B2" s="25" t="s">
        <v>31</v>
      </c>
      <c r="C2" s="26" t="s">
        <v>32</v>
      </c>
      <c r="D2" s="26" t="s">
        <v>33</v>
      </c>
      <c r="E2" s="27" t="s">
        <v>34</v>
      </c>
      <c r="F2" s="27" t="s">
        <v>35</v>
      </c>
      <c r="G2" s="26" t="s">
        <v>36</v>
      </c>
      <c r="H2" s="26" t="s">
        <v>37</v>
      </c>
      <c r="I2" s="28" t="s">
        <v>38</v>
      </c>
      <c r="L2" s="35" t="s">
        <v>56</v>
      </c>
      <c r="M2" s="32" t="s">
        <v>32</v>
      </c>
      <c r="N2" s="30" t="s">
        <v>57</v>
      </c>
      <c r="O2" s="30" t="s">
        <v>58</v>
      </c>
    </row>
    <row r="3" spans="2:15" ht="15.75" thickBot="1" x14ac:dyDescent="0.3">
      <c r="B3" s="16">
        <v>154</v>
      </c>
      <c r="C3" s="16" t="s">
        <v>39</v>
      </c>
      <c r="D3" s="17" t="s">
        <v>40</v>
      </c>
      <c r="E3" s="18">
        <v>168</v>
      </c>
      <c r="F3" s="19">
        <v>136.30000000000001</v>
      </c>
      <c r="G3" s="20">
        <v>0.13</v>
      </c>
      <c r="H3" s="19">
        <v>100</v>
      </c>
      <c r="I3" s="20">
        <v>0.08</v>
      </c>
      <c r="L3" s="36">
        <v>319</v>
      </c>
      <c r="M3" s="33" t="str">
        <f>VLOOKUP(L3,B3:C12,2,FALSE)</f>
        <v>Винницкий Павел</v>
      </c>
      <c r="N3" s="31">
        <v>1265</v>
      </c>
      <c r="O3" s="48">
        <f>M7-O11</f>
        <v>17433.713599999999</v>
      </c>
    </row>
    <row r="4" spans="2:15" x14ac:dyDescent="0.25">
      <c r="B4" s="1">
        <v>240</v>
      </c>
      <c r="C4" s="1" t="s">
        <v>41</v>
      </c>
      <c r="D4" s="12" t="s">
        <v>42</v>
      </c>
      <c r="E4" s="13">
        <v>80</v>
      </c>
      <c r="F4" s="14">
        <v>146.4</v>
      </c>
      <c r="G4" s="15">
        <v>0.13</v>
      </c>
      <c r="H4" s="14">
        <v>200</v>
      </c>
      <c r="I4" s="15">
        <v>7.0000000000000007E-2</v>
      </c>
      <c r="L4" s="34" t="s">
        <v>33</v>
      </c>
      <c r="M4" s="37"/>
      <c r="N4" s="38"/>
      <c r="O4" s="32"/>
    </row>
    <row r="5" spans="2:15" x14ac:dyDescent="0.25">
      <c r="B5" s="1">
        <v>319</v>
      </c>
      <c r="C5" s="1" t="s">
        <v>43</v>
      </c>
      <c r="D5" s="12" t="s">
        <v>44</v>
      </c>
      <c r="E5" s="13">
        <v>176</v>
      </c>
      <c r="F5" s="14">
        <v>120.5</v>
      </c>
      <c r="G5" s="15">
        <v>0.14000000000000001</v>
      </c>
      <c r="H5" s="14">
        <v>300</v>
      </c>
      <c r="I5" s="15">
        <v>0.03</v>
      </c>
      <c r="L5" s="16" t="str">
        <f>VLOOKUP(L3,B3:D12,3,FALSE)</f>
        <v>Цех 12, участок 1</v>
      </c>
      <c r="M5" s="39"/>
      <c r="N5" s="40"/>
      <c r="O5" s="41"/>
    </row>
    <row r="6" spans="2:15" x14ac:dyDescent="0.25">
      <c r="B6" s="1">
        <v>331</v>
      </c>
      <c r="C6" s="1" t="s">
        <v>45</v>
      </c>
      <c r="D6" s="12" t="s">
        <v>46</v>
      </c>
      <c r="E6" s="13">
        <v>168</v>
      </c>
      <c r="F6" s="14">
        <v>110</v>
      </c>
      <c r="G6" s="15">
        <v>0.1</v>
      </c>
      <c r="H6" s="14">
        <v>300</v>
      </c>
      <c r="I6" s="15">
        <v>0.05</v>
      </c>
      <c r="L6" s="30"/>
      <c r="M6" s="1" t="s">
        <v>59</v>
      </c>
      <c r="N6" s="1" t="s">
        <v>60</v>
      </c>
      <c r="O6" s="1"/>
    </row>
    <row r="7" spans="2:15" x14ac:dyDescent="0.25">
      <c r="B7" s="1">
        <v>428</v>
      </c>
      <c r="C7" s="1" t="s">
        <v>47</v>
      </c>
      <c r="D7" s="12" t="s">
        <v>48</v>
      </c>
      <c r="E7" s="13">
        <v>144</v>
      </c>
      <c r="F7" s="14">
        <v>120.8</v>
      </c>
      <c r="G7" s="15">
        <v>0.13</v>
      </c>
      <c r="H7" s="14">
        <v>100</v>
      </c>
      <c r="I7" s="15">
        <v>0.05</v>
      </c>
      <c r="L7" s="34"/>
      <c r="M7" s="42">
        <f>VLOOKUP(L3,B3:I12,4,FALSE)*VLOOKUP(L3,B3:I12,5,FALSE)</f>
        <v>21208</v>
      </c>
      <c r="N7" s="30" t="s">
        <v>36</v>
      </c>
      <c r="O7" s="42">
        <f>VLOOKUP(L3,B3:I12, 6,FALSE)*(M7-O8-O9)</f>
        <v>2838.0464000000002</v>
      </c>
    </row>
    <row r="8" spans="2:15" x14ac:dyDescent="0.25">
      <c r="B8" s="1">
        <v>451</v>
      </c>
      <c r="C8" s="1" t="s">
        <v>49</v>
      </c>
      <c r="D8" s="12" t="s">
        <v>48</v>
      </c>
      <c r="E8" s="13">
        <v>120</v>
      </c>
      <c r="F8" s="14">
        <v>120.8</v>
      </c>
      <c r="G8" s="15">
        <v>0.13</v>
      </c>
      <c r="H8" s="14">
        <v>200</v>
      </c>
      <c r="I8" s="15">
        <v>7.0000000000000007E-2</v>
      </c>
      <c r="L8" s="34"/>
      <c r="M8" s="34"/>
      <c r="N8" s="34" t="s">
        <v>37</v>
      </c>
      <c r="O8" s="45">
        <f>VLOOKUP(L3,B3:I12,7,FALSE)</f>
        <v>300</v>
      </c>
    </row>
    <row r="9" spans="2:15" x14ac:dyDescent="0.25">
      <c r="B9" s="1">
        <v>527</v>
      </c>
      <c r="C9" s="1" t="s">
        <v>50</v>
      </c>
      <c r="D9" s="12" t="s">
        <v>51</v>
      </c>
      <c r="E9" s="13">
        <v>168</v>
      </c>
      <c r="F9" s="14">
        <v>136.30000000000001</v>
      </c>
      <c r="G9" s="15">
        <v>0.14000000000000001</v>
      </c>
      <c r="H9" s="14">
        <v>300</v>
      </c>
      <c r="I9" s="15">
        <v>0.04</v>
      </c>
      <c r="L9" s="34"/>
      <c r="M9" s="34"/>
      <c r="N9" s="34" t="s">
        <v>61</v>
      </c>
      <c r="O9" s="45">
        <f>VLOOKUP(L3,B3:I12,8,FALSE)*M7</f>
        <v>636.24</v>
      </c>
    </row>
    <row r="10" spans="2:15" x14ac:dyDescent="0.25">
      <c r="B10" s="1">
        <v>540</v>
      </c>
      <c r="C10" s="1" t="s">
        <v>52</v>
      </c>
      <c r="D10" s="12" t="s">
        <v>51</v>
      </c>
      <c r="E10" s="13">
        <v>184</v>
      </c>
      <c r="F10" s="14">
        <v>146.4</v>
      </c>
      <c r="G10" s="15">
        <v>0.1</v>
      </c>
      <c r="H10" s="14">
        <v>200</v>
      </c>
      <c r="I10" s="15">
        <v>0.05</v>
      </c>
      <c r="L10" s="34"/>
      <c r="M10" s="16"/>
      <c r="N10" s="16"/>
      <c r="O10" s="46"/>
    </row>
    <row r="11" spans="2:15" x14ac:dyDescent="0.25">
      <c r="B11" s="1">
        <v>665</v>
      </c>
      <c r="C11" s="1" t="s">
        <v>53</v>
      </c>
      <c r="D11" s="12" t="s">
        <v>54</v>
      </c>
      <c r="E11" s="13">
        <v>168</v>
      </c>
      <c r="F11" s="14">
        <v>110</v>
      </c>
      <c r="G11" s="15">
        <v>0.13</v>
      </c>
      <c r="H11" s="14">
        <v>100</v>
      </c>
      <c r="I11" s="15">
        <v>0.01</v>
      </c>
      <c r="L11" s="16"/>
      <c r="M11" s="1"/>
      <c r="N11" s="1" t="s">
        <v>62</v>
      </c>
      <c r="O11" s="47">
        <f>SUM(O7:O10)</f>
        <v>3774.2864</v>
      </c>
    </row>
    <row r="12" spans="2:15" x14ac:dyDescent="0.25">
      <c r="B12" s="1">
        <v>981</v>
      </c>
      <c r="C12" s="1" t="s">
        <v>55</v>
      </c>
      <c r="D12" s="12" t="s">
        <v>54</v>
      </c>
      <c r="E12" s="13">
        <v>88</v>
      </c>
      <c r="F12" s="14">
        <v>120.5</v>
      </c>
      <c r="G12" s="15">
        <v>0.13</v>
      </c>
      <c r="H12" s="14">
        <v>100</v>
      </c>
      <c r="I12" s="15">
        <v>0.08</v>
      </c>
    </row>
    <row r="13" spans="2:15" x14ac:dyDescent="0.25">
      <c r="B13" s="43">
        <v>1</v>
      </c>
      <c r="C13" s="44">
        <v>2</v>
      </c>
      <c r="D13" s="44">
        <v>3</v>
      </c>
      <c r="E13" s="43">
        <v>4</v>
      </c>
      <c r="F13" s="44">
        <v>5</v>
      </c>
      <c r="G13" s="44">
        <v>6</v>
      </c>
      <c r="H13" s="43">
        <v>7</v>
      </c>
      <c r="I13" s="4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7BB0-73D8-4FDF-9289-7F279287E177}">
  <dimension ref="B1:O25"/>
  <sheetViews>
    <sheetView tabSelected="1" zoomScale="130" zoomScaleNormal="130" workbookViewId="0">
      <selection activeCell="H13" sqref="H13"/>
    </sheetView>
  </sheetViews>
  <sheetFormatPr defaultRowHeight="15" x14ac:dyDescent="0.25"/>
  <cols>
    <col min="2" max="2" width="15.5703125" customWidth="1"/>
    <col min="3" max="3" width="8.85546875" customWidth="1"/>
    <col min="4" max="4" width="14.28515625" customWidth="1"/>
    <col min="6" max="6" width="20.140625" customWidth="1"/>
    <col min="7" max="7" width="15.28515625" customWidth="1"/>
    <col min="8" max="8" width="14.5703125" customWidth="1"/>
    <col min="9" max="9" width="15.5703125" customWidth="1"/>
    <col min="10" max="10" width="14.7109375" customWidth="1"/>
  </cols>
  <sheetData>
    <row r="1" spans="2:15" x14ac:dyDescent="0.25">
      <c r="H1" t="s">
        <v>115</v>
      </c>
      <c r="I1" s="1">
        <v>54</v>
      </c>
      <c r="J1" s="1">
        <v>45</v>
      </c>
      <c r="K1" s="1">
        <v>64</v>
      </c>
      <c r="L1" s="1">
        <v>85</v>
      </c>
      <c r="M1" s="1">
        <v>6</v>
      </c>
      <c r="N1" s="1">
        <v>65</v>
      </c>
      <c r="O1" s="55">
        <f>MATCH(85, I1:N1, 0)</f>
        <v>4</v>
      </c>
    </row>
    <row r="2" spans="2:15" ht="24.75" customHeight="1" x14ac:dyDescent="0.25">
      <c r="B2" s="50" t="s">
        <v>63</v>
      </c>
      <c r="C2" s="50" t="s">
        <v>64</v>
      </c>
      <c r="D2" s="50" t="s">
        <v>65</v>
      </c>
      <c r="H2" t="s">
        <v>116</v>
      </c>
      <c r="I2">
        <f>INDEX(B3:D25, 12,3)</f>
        <v>2608</v>
      </c>
      <c r="J2" t="str">
        <f>INDEX(B3:D25, 20,2)</f>
        <v>TN</v>
      </c>
    </row>
    <row r="3" spans="2:15" x14ac:dyDescent="0.25">
      <c r="B3" s="49" t="s">
        <v>66</v>
      </c>
      <c r="C3" s="49" t="s">
        <v>67</v>
      </c>
      <c r="D3" s="49">
        <v>6493</v>
      </c>
    </row>
    <row r="4" spans="2:15" x14ac:dyDescent="0.25">
      <c r="B4" s="49" t="s">
        <v>68</v>
      </c>
      <c r="C4" s="49" t="s">
        <v>69</v>
      </c>
      <c r="D4" s="49">
        <v>4369</v>
      </c>
      <c r="F4" t="s">
        <v>112</v>
      </c>
      <c r="G4" s="51" t="s">
        <v>69</v>
      </c>
    </row>
    <row r="5" spans="2:15" x14ac:dyDescent="0.25">
      <c r="B5" s="49" t="s">
        <v>70</v>
      </c>
      <c r="C5" s="49" t="s">
        <v>71</v>
      </c>
      <c r="D5" s="49">
        <v>4505</v>
      </c>
      <c r="F5" t="s">
        <v>113</v>
      </c>
      <c r="G5" s="56" t="str">
        <f>INDEX(B3:D25, MATCH(G4,C3:C25,0),1)</f>
        <v>Глендейл</v>
      </c>
    </row>
    <row r="6" spans="2:15" x14ac:dyDescent="0.25">
      <c r="B6" s="49" t="s">
        <v>72</v>
      </c>
      <c r="C6" s="49" t="s">
        <v>73</v>
      </c>
      <c r="D6" s="49">
        <v>8745</v>
      </c>
      <c r="F6" t="s">
        <v>114</v>
      </c>
      <c r="G6" s="53">
        <f>INDEX(B3:D25, MATCH(G4, C3:C25,0),3)</f>
        <v>4369</v>
      </c>
    </row>
    <row r="7" spans="2:15" x14ac:dyDescent="0.25">
      <c r="B7" s="49" t="s">
        <v>74</v>
      </c>
      <c r="C7" s="49" t="s">
        <v>75</v>
      </c>
      <c r="D7" s="49">
        <v>6273</v>
      </c>
      <c r="I7" s="54"/>
    </row>
    <row r="8" spans="2:15" x14ac:dyDescent="0.25">
      <c r="B8" s="49" t="s">
        <v>76</v>
      </c>
      <c r="C8" s="49" t="s">
        <v>77</v>
      </c>
      <c r="D8" s="49">
        <v>9384</v>
      </c>
      <c r="F8" t="s">
        <v>117</v>
      </c>
      <c r="G8" s="56" t="str">
        <f>LOOKUP(G4,C3:C25,B3:B25)</f>
        <v>Глендейл</v>
      </c>
    </row>
    <row r="9" spans="2:15" x14ac:dyDescent="0.25">
      <c r="B9" s="49" t="s">
        <v>78</v>
      </c>
      <c r="C9" s="49" t="s">
        <v>79</v>
      </c>
      <c r="D9" s="49">
        <v>5654</v>
      </c>
      <c r="F9" t="s">
        <v>118</v>
      </c>
      <c r="G9" s="56">
        <f>LOOKUP(G4,C3:C25,D3:D25)</f>
        <v>4369</v>
      </c>
    </row>
    <row r="10" spans="2:15" x14ac:dyDescent="0.25">
      <c r="B10" s="49" t="s">
        <v>80</v>
      </c>
      <c r="C10" s="49" t="s">
        <v>81</v>
      </c>
      <c r="D10" s="49">
        <v>3972</v>
      </c>
    </row>
    <row r="11" spans="2:15" x14ac:dyDescent="0.25">
      <c r="B11" s="49" t="s">
        <v>82</v>
      </c>
      <c r="C11" s="49" t="s">
        <v>83</v>
      </c>
      <c r="D11" s="49">
        <v>8816</v>
      </c>
    </row>
    <row r="12" spans="2:15" x14ac:dyDescent="0.25">
      <c r="B12" s="49" t="s">
        <v>84</v>
      </c>
      <c r="C12" s="49" t="s">
        <v>85</v>
      </c>
      <c r="D12" s="49">
        <v>3331</v>
      </c>
    </row>
    <row r="13" spans="2:15" x14ac:dyDescent="0.25">
      <c r="B13" s="49" t="s">
        <v>86</v>
      </c>
      <c r="C13" s="49" t="s">
        <v>87</v>
      </c>
      <c r="D13" s="49">
        <v>3335</v>
      </c>
    </row>
    <row r="14" spans="2:15" x14ac:dyDescent="0.25">
      <c r="B14" s="49" t="s">
        <v>88</v>
      </c>
      <c r="C14" s="49" t="s">
        <v>89</v>
      </c>
      <c r="D14" s="49">
        <v>2608</v>
      </c>
    </row>
    <row r="15" spans="2:15" x14ac:dyDescent="0.25">
      <c r="B15" s="49" t="s">
        <v>90</v>
      </c>
      <c r="C15" s="49" t="s">
        <v>91</v>
      </c>
      <c r="D15" s="49">
        <v>4122</v>
      </c>
    </row>
    <row r="16" spans="2:15" x14ac:dyDescent="0.25">
      <c r="B16" s="49" t="s">
        <v>92</v>
      </c>
      <c r="C16" s="49" t="s">
        <v>93</v>
      </c>
      <c r="D16" s="49">
        <v>1022</v>
      </c>
    </row>
    <row r="17" spans="2:4" x14ac:dyDescent="0.25">
      <c r="B17" s="49" t="s">
        <v>94</v>
      </c>
      <c r="C17" s="49" t="s">
        <v>95</v>
      </c>
      <c r="D17" s="49">
        <v>7681</v>
      </c>
    </row>
    <row r="18" spans="2:4" x14ac:dyDescent="0.25">
      <c r="B18" s="49" t="s">
        <v>96</v>
      </c>
      <c r="C18" s="49" t="s">
        <v>97</v>
      </c>
      <c r="D18" s="49">
        <v>8567</v>
      </c>
    </row>
    <row r="19" spans="2:4" x14ac:dyDescent="0.25">
      <c r="B19" s="49" t="s">
        <v>98</v>
      </c>
      <c r="C19" s="49" t="s">
        <v>99</v>
      </c>
      <c r="D19" s="49">
        <v>3507</v>
      </c>
    </row>
    <row r="20" spans="2:4" x14ac:dyDescent="0.25">
      <c r="B20" s="49" t="s">
        <v>100</v>
      </c>
      <c r="C20" s="49" t="s">
        <v>101</v>
      </c>
      <c r="D20" s="49">
        <v>7326</v>
      </c>
    </row>
    <row r="21" spans="2:4" x14ac:dyDescent="0.25">
      <c r="B21" s="49" t="s">
        <v>102</v>
      </c>
      <c r="C21" s="49" t="s">
        <v>103</v>
      </c>
      <c r="D21" s="49">
        <v>4643</v>
      </c>
    </row>
    <row r="22" spans="2:4" x14ac:dyDescent="0.25">
      <c r="B22" s="49" t="s">
        <v>104</v>
      </c>
      <c r="C22" s="49" t="s">
        <v>105</v>
      </c>
      <c r="D22" s="49">
        <v>8304</v>
      </c>
    </row>
    <row r="23" spans="2:4" x14ac:dyDescent="0.25">
      <c r="B23" s="49" t="s">
        <v>106</v>
      </c>
      <c r="C23" s="49" t="s">
        <v>107</v>
      </c>
      <c r="D23" s="49">
        <v>7676</v>
      </c>
    </row>
    <row r="24" spans="2:4" x14ac:dyDescent="0.25">
      <c r="B24" s="49" t="s">
        <v>108</v>
      </c>
      <c r="C24" s="49" t="s">
        <v>109</v>
      </c>
      <c r="D24" s="49">
        <v>4938</v>
      </c>
    </row>
    <row r="25" spans="2:4" x14ac:dyDescent="0.25">
      <c r="B25" s="49" t="s">
        <v>110</v>
      </c>
      <c r="C25" s="49" t="s">
        <v>111</v>
      </c>
      <c r="D25" s="49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12FA-7C1E-4A83-84A1-E003AEEDEC41}">
  <dimension ref="B2:L6"/>
  <sheetViews>
    <sheetView zoomScale="145" zoomScaleNormal="145" workbookViewId="0">
      <selection activeCell="L8" sqref="L8"/>
    </sheetView>
  </sheetViews>
  <sheetFormatPr defaultRowHeight="15" x14ac:dyDescent="0.25"/>
  <cols>
    <col min="2" max="12" width="12.7109375" customWidth="1"/>
  </cols>
  <sheetData>
    <row r="2" spans="2:12" x14ac:dyDescent="0.25">
      <c r="B2" s="57" t="s">
        <v>63</v>
      </c>
      <c r="C2" s="58" t="s">
        <v>119</v>
      </c>
      <c r="D2" s="58" t="s">
        <v>120</v>
      </c>
      <c r="E2" s="58" t="s">
        <v>121</v>
      </c>
      <c r="F2" s="58" t="s">
        <v>122</v>
      </c>
      <c r="G2" s="58" t="s">
        <v>123</v>
      </c>
      <c r="H2" s="58" t="s">
        <v>124</v>
      </c>
      <c r="I2" s="58" t="s">
        <v>125</v>
      </c>
      <c r="J2" s="58" t="s">
        <v>126</v>
      </c>
      <c r="K2" s="58" t="s">
        <v>127</v>
      </c>
      <c r="L2" s="58" t="s">
        <v>128</v>
      </c>
    </row>
    <row r="3" spans="2:12" x14ac:dyDescent="0.25">
      <c r="B3" s="52" t="s">
        <v>129</v>
      </c>
      <c r="C3" s="29">
        <v>10</v>
      </c>
      <c r="D3" s="29">
        <v>23</v>
      </c>
      <c r="E3" s="29">
        <v>9</v>
      </c>
      <c r="F3" s="29">
        <v>13</v>
      </c>
      <c r="G3" s="29">
        <v>9</v>
      </c>
      <c r="H3" s="29">
        <v>23</v>
      </c>
      <c r="I3" s="29">
        <v>28</v>
      </c>
      <c r="J3" s="29">
        <v>-11</v>
      </c>
      <c r="K3" s="29">
        <v>5</v>
      </c>
      <c r="L3" s="29">
        <v>4</v>
      </c>
    </row>
    <row r="5" spans="2:12" x14ac:dyDescent="0.25">
      <c r="B5" t="s">
        <v>130</v>
      </c>
      <c r="C5" s="52" t="s">
        <v>124</v>
      </c>
    </row>
    <row r="6" spans="2:12" x14ac:dyDescent="0.25">
      <c r="B6" t="s">
        <v>131</v>
      </c>
      <c r="C6" s="53">
        <f>HLOOKUP(C5,C2:L3,2,FALSE)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F8B7-2F0F-487C-86A1-2ED566231B83}">
  <dimension ref="B2:G30"/>
  <sheetViews>
    <sheetView zoomScale="145" zoomScaleNormal="145" workbookViewId="0">
      <selection activeCell="F5" sqref="F5"/>
    </sheetView>
  </sheetViews>
  <sheetFormatPr defaultRowHeight="15" x14ac:dyDescent="0.25"/>
  <cols>
    <col min="2" max="2" width="26" customWidth="1"/>
    <col min="3" max="3" width="23.5703125" customWidth="1"/>
    <col min="4" max="4" width="20" customWidth="1"/>
    <col min="5" max="5" width="6" customWidth="1"/>
    <col min="6" max="6" width="22.42578125" customWidth="1"/>
    <col min="7" max="7" width="20.7109375" customWidth="1"/>
  </cols>
  <sheetData>
    <row r="2" spans="2:7" x14ac:dyDescent="0.25">
      <c r="B2" s="61" t="s">
        <v>132</v>
      </c>
      <c r="C2" s="61" t="s">
        <v>133</v>
      </c>
      <c r="D2" s="62" t="s">
        <v>178</v>
      </c>
      <c r="F2" s="61" t="s">
        <v>179</v>
      </c>
      <c r="G2" s="61" t="s">
        <v>180</v>
      </c>
    </row>
    <row r="3" spans="2:7" x14ac:dyDescent="0.25">
      <c r="B3" t="s">
        <v>134</v>
      </c>
      <c r="C3" t="s">
        <v>135</v>
      </c>
      <c r="D3" s="67">
        <f>IFERROR(VLOOKUP(C3,F$3:G$24,2,FALSE), "")</f>
        <v>54621254</v>
      </c>
      <c r="F3" s="11" t="s">
        <v>153</v>
      </c>
      <c r="G3" s="65">
        <v>33247178</v>
      </c>
    </row>
    <row r="4" spans="2:7" x14ac:dyDescent="0.25">
      <c r="B4" t="s">
        <v>136</v>
      </c>
      <c r="C4" s="66" t="s">
        <v>137</v>
      </c>
      <c r="D4" s="67">
        <f t="shared" ref="D4:D24" si="0">IFERROR(VLOOKUP(C4,F$3:G$24,2,FALSE), "")</f>
        <v>62157026</v>
      </c>
      <c r="F4" s="63" t="s">
        <v>159</v>
      </c>
      <c r="G4" s="65">
        <v>45302040</v>
      </c>
    </row>
    <row r="5" spans="2:7" x14ac:dyDescent="0.25">
      <c r="B5" t="s">
        <v>138</v>
      </c>
      <c r="C5" t="s">
        <v>139</v>
      </c>
      <c r="D5" s="67">
        <f t="shared" si="0"/>
        <v>46854233</v>
      </c>
      <c r="F5" s="64" t="s">
        <v>161</v>
      </c>
      <c r="G5" s="65">
        <v>51744999</v>
      </c>
    </row>
    <row r="6" spans="2:7" x14ac:dyDescent="0.25">
      <c r="B6" t="s">
        <v>140</v>
      </c>
      <c r="C6" t="s">
        <v>141</v>
      </c>
      <c r="D6" s="67">
        <f t="shared" si="0"/>
        <v>75896244</v>
      </c>
      <c r="F6" s="66" t="s">
        <v>137</v>
      </c>
      <c r="G6" s="65">
        <v>62157026</v>
      </c>
    </row>
    <row r="7" spans="2:7" x14ac:dyDescent="0.25">
      <c r="B7" t="s">
        <v>142</v>
      </c>
      <c r="C7" t="s">
        <v>143</v>
      </c>
      <c r="D7" s="67">
        <f t="shared" si="0"/>
        <v>34567768</v>
      </c>
      <c r="F7" t="s">
        <v>149</v>
      </c>
      <c r="G7" s="65">
        <v>68970486</v>
      </c>
    </row>
    <row r="8" spans="2:7" x14ac:dyDescent="0.25">
      <c r="B8" t="s">
        <v>144</v>
      </c>
      <c r="C8" t="s">
        <v>145</v>
      </c>
      <c r="D8" s="67" t="str">
        <f t="shared" si="0"/>
        <v/>
      </c>
      <c r="F8" t="s">
        <v>177</v>
      </c>
      <c r="G8" s="65">
        <v>36615404</v>
      </c>
    </row>
    <row r="9" spans="2:7" x14ac:dyDescent="0.25">
      <c r="B9" t="s">
        <v>146</v>
      </c>
      <c r="C9" t="s">
        <v>147</v>
      </c>
      <c r="D9" s="67">
        <f t="shared" si="0"/>
        <v>40266501</v>
      </c>
      <c r="F9" t="s">
        <v>163</v>
      </c>
      <c r="G9" s="65">
        <v>35212678</v>
      </c>
    </row>
    <row r="10" spans="2:7" x14ac:dyDescent="0.25">
      <c r="B10" t="s">
        <v>148</v>
      </c>
      <c r="C10" t="s">
        <v>149</v>
      </c>
      <c r="D10" s="67">
        <f t="shared" si="0"/>
        <v>68970486</v>
      </c>
      <c r="F10" t="s">
        <v>147</v>
      </c>
      <c r="G10" s="65">
        <v>40266501</v>
      </c>
    </row>
    <row r="11" spans="2:7" x14ac:dyDescent="0.25">
      <c r="B11" t="s">
        <v>150</v>
      </c>
      <c r="C11" t="s">
        <v>151</v>
      </c>
      <c r="D11" s="67" t="str">
        <f t="shared" si="0"/>
        <v/>
      </c>
      <c r="F11" t="s">
        <v>171</v>
      </c>
      <c r="G11" s="65">
        <v>36325782</v>
      </c>
    </row>
    <row r="12" spans="2:7" x14ac:dyDescent="0.25">
      <c r="B12" t="s">
        <v>152</v>
      </c>
      <c r="C12" s="11" t="s">
        <v>153</v>
      </c>
      <c r="D12" s="67">
        <f t="shared" si="0"/>
        <v>33247178</v>
      </c>
      <c r="F12" t="s">
        <v>135</v>
      </c>
      <c r="G12" s="65">
        <v>54621254</v>
      </c>
    </row>
    <row r="13" spans="2:7" x14ac:dyDescent="0.25">
      <c r="B13" t="s">
        <v>154</v>
      </c>
      <c r="C13" t="s">
        <v>155</v>
      </c>
      <c r="D13" s="67" t="str">
        <f t="shared" si="0"/>
        <v/>
      </c>
      <c r="F13" t="s">
        <v>139</v>
      </c>
      <c r="G13" s="65">
        <v>46854233</v>
      </c>
    </row>
    <row r="14" spans="2:7" x14ac:dyDescent="0.25">
      <c r="B14" t="s">
        <v>156</v>
      </c>
      <c r="C14" t="s">
        <v>157</v>
      </c>
      <c r="D14" s="67" t="str">
        <f t="shared" si="0"/>
        <v/>
      </c>
      <c r="F14" t="s">
        <v>175</v>
      </c>
      <c r="G14" s="65">
        <v>45648798</v>
      </c>
    </row>
    <row r="15" spans="2:7" x14ac:dyDescent="0.25">
      <c r="B15" t="s">
        <v>158</v>
      </c>
      <c r="C15" s="63" t="s">
        <v>159</v>
      </c>
      <c r="D15" s="67">
        <f t="shared" si="0"/>
        <v>45302040</v>
      </c>
      <c r="F15" t="s">
        <v>141</v>
      </c>
      <c r="G15" s="65">
        <v>75896244</v>
      </c>
    </row>
    <row r="16" spans="2:7" x14ac:dyDescent="0.25">
      <c r="B16" t="s">
        <v>160</v>
      </c>
      <c r="C16" s="64" t="s">
        <v>161</v>
      </c>
      <c r="D16" s="67">
        <f t="shared" si="0"/>
        <v>51744999</v>
      </c>
      <c r="F16" t="s">
        <v>143</v>
      </c>
      <c r="G16" s="65">
        <v>34567768</v>
      </c>
    </row>
    <row r="17" spans="2:4" x14ac:dyDescent="0.25">
      <c r="B17" t="s">
        <v>162</v>
      </c>
      <c r="C17" t="s">
        <v>163</v>
      </c>
      <c r="D17" s="67">
        <f t="shared" si="0"/>
        <v>35212678</v>
      </c>
    </row>
    <row r="18" spans="2:4" x14ac:dyDescent="0.25">
      <c r="B18" t="s">
        <v>164</v>
      </c>
      <c r="C18" t="s">
        <v>165</v>
      </c>
      <c r="D18" s="67" t="str">
        <f t="shared" si="0"/>
        <v/>
      </c>
    </row>
    <row r="19" spans="2:4" x14ac:dyDescent="0.25">
      <c r="B19" t="s">
        <v>166</v>
      </c>
      <c r="C19" t="s">
        <v>167</v>
      </c>
      <c r="D19" s="67" t="str">
        <f t="shared" si="0"/>
        <v/>
      </c>
    </row>
    <row r="20" spans="2:4" x14ac:dyDescent="0.25">
      <c r="B20" t="s">
        <v>168</v>
      </c>
      <c r="C20" t="s">
        <v>169</v>
      </c>
      <c r="D20" s="67" t="str">
        <f t="shared" si="0"/>
        <v/>
      </c>
    </row>
    <row r="21" spans="2:4" x14ac:dyDescent="0.25">
      <c r="B21" t="s">
        <v>170</v>
      </c>
      <c r="C21" t="s">
        <v>171</v>
      </c>
      <c r="D21" s="67">
        <f t="shared" si="0"/>
        <v>36325782</v>
      </c>
    </row>
    <row r="22" spans="2:4" x14ac:dyDescent="0.25">
      <c r="B22" t="s">
        <v>172</v>
      </c>
      <c r="C22" t="s">
        <v>173</v>
      </c>
      <c r="D22" s="67" t="str">
        <f t="shared" si="0"/>
        <v/>
      </c>
    </row>
    <row r="23" spans="2:4" x14ac:dyDescent="0.25">
      <c r="B23" t="s">
        <v>174</v>
      </c>
      <c r="C23" t="s">
        <v>175</v>
      </c>
      <c r="D23" s="67">
        <f t="shared" si="0"/>
        <v>45648798</v>
      </c>
    </row>
    <row r="24" spans="2:4" x14ac:dyDescent="0.25">
      <c r="B24" t="s">
        <v>176</v>
      </c>
      <c r="C24" t="s">
        <v>177</v>
      </c>
      <c r="D24" s="67">
        <f t="shared" si="0"/>
        <v>36615404</v>
      </c>
    </row>
    <row r="28" spans="2:4" x14ac:dyDescent="0.25">
      <c r="B28">
        <v>765</v>
      </c>
      <c r="C28">
        <v>45</v>
      </c>
      <c r="D28">
        <f>IFERROR(B28/C28, 0)</f>
        <v>17</v>
      </c>
    </row>
    <row r="29" spans="2:4" x14ac:dyDescent="0.25">
      <c r="B29">
        <v>453</v>
      </c>
      <c r="D29">
        <f>IFERROR(B29/C29, 0)</f>
        <v>0</v>
      </c>
    </row>
    <row r="30" spans="2:4" x14ac:dyDescent="0.25">
      <c r="B30">
        <v>234</v>
      </c>
      <c r="C30">
        <v>54</v>
      </c>
      <c r="D30">
        <f t="shared" ref="D30" si="1">IFERROR(B30/C30, "Деление на 0")</f>
        <v>4.333333333333333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F08C-F77A-4614-B90A-1A12D10EE972}">
  <dimension ref="B2:F25"/>
  <sheetViews>
    <sheetView zoomScale="145" zoomScaleNormal="145" workbookViewId="0">
      <selection activeCell="D19" sqref="D19"/>
    </sheetView>
  </sheetViews>
  <sheetFormatPr defaultRowHeight="15" x14ac:dyDescent="0.25"/>
  <cols>
    <col min="2" max="2" width="16.140625" customWidth="1"/>
    <col min="3" max="3" width="18.140625" customWidth="1"/>
    <col min="4" max="4" width="16.5703125" customWidth="1"/>
  </cols>
  <sheetData>
    <row r="2" spans="2:6" x14ac:dyDescent="0.25">
      <c r="B2" s="61" t="s">
        <v>181</v>
      </c>
      <c r="C2" s="61" t="s">
        <v>182</v>
      </c>
      <c r="D2" s="61" t="s">
        <v>183</v>
      </c>
      <c r="E2" s="61" t="s">
        <v>184</v>
      </c>
      <c r="F2" s="68"/>
    </row>
    <row r="3" spans="2:6" x14ac:dyDescent="0.25">
      <c r="B3" s="69">
        <v>0</v>
      </c>
      <c r="C3" s="69">
        <v>325</v>
      </c>
      <c r="D3" s="69">
        <v>0</v>
      </c>
      <c r="E3" s="70">
        <v>0</v>
      </c>
      <c r="F3" s="10"/>
    </row>
    <row r="4" spans="2:6" x14ac:dyDescent="0.25">
      <c r="B4" s="69">
        <v>325</v>
      </c>
      <c r="C4" s="69">
        <v>1023</v>
      </c>
      <c r="D4" s="69">
        <v>0</v>
      </c>
      <c r="E4" s="70">
        <v>0.1</v>
      </c>
    </row>
    <row r="5" spans="2:6" x14ac:dyDescent="0.25">
      <c r="B5" s="69">
        <v>1023</v>
      </c>
      <c r="C5" s="69">
        <v>3163</v>
      </c>
      <c r="D5" s="71">
        <v>69.8</v>
      </c>
      <c r="E5" s="70">
        <v>0.15</v>
      </c>
    </row>
    <row r="6" spans="2:6" x14ac:dyDescent="0.25">
      <c r="B6" s="69">
        <v>3163</v>
      </c>
      <c r="C6" s="69">
        <v>6050</v>
      </c>
      <c r="D6" s="71">
        <v>390.8</v>
      </c>
      <c r="E6" s="70">
        <v>0.25</v>
      </c>
    </row>
    <row r="7" spans="2:6" x14ac:dyDescent="0.25">
      <c r="B7" s="69">
        <v>6050</v>
      </c>
      <c r="C7" s="69">
        <v>9050</v>
      </c>
      <c r="D7" s="71">
        <v>1112.56</v>
      </c>
      <c r="E7" s="70">
        <v>0.28000000000000003</v>
      </c>
    </row>
    <row r="8" spans="2:6" x14ac:dyDescent="0.25">
      <c r="B8" s="69">
        <v>9050</v>
      </c>
      <c r="C8" s="69">
        <v>15906</v>
      </c>
      <c r="D8" s="71">
        <v>3195.56</v>
      </c>
      <c r="E8" s="70">
        <v>0.33</v>
      </c>
    </row>
    <row r="9" spans="2:6" x14ac:dyDescent="0.25">
      <c r="B9" s="69">
        <v>15906</v>
      </c>
      <c r="C9" s="69">
        <v>17925</v>
      </c>
      <c r="D9" s="71">
        <v>4215.03</v>
      </c>
      <c r="E9" s="70">
        <v>0.35</v>
      </c>
    </row>
    <row r="10" spans="2:6" x14ac:dyDescent="0.25">
      <c r="B10" s="69">
        <v>17925</v>
      </c>
      <c r="C10" s="69"/>
      <c r="D10" s="71">
        <v>4921.68</v>
      </c>
      <c r="E10" s="70">
        <v>0.39600000000000002</v>
      </c>
    </row>
    <row r="11" spans="2:6" x14ac:dyDescent="0.25">
      <c r="B11" s="49"/>
      <c r="C11" s="49"/>
      <c r="D11" s="49"/>
    </row>
    <row r="12" spans="2:6" x14ac:dyDescent="0.25">
      <c r="B12" s="72" t="s">
        <v>185</v>
      </c>
      <c r="C12" s="72"/>
      <c r="D12" s="73">
        <v>186500.45</v>
      </c>
    </row>
    <row r="13" spans="2:6" x14ac:dyDescent="0.25">
      <c r="B13" s="72" t="s">
        <v>188</v>
      </c>
      <c r="C13" s="72"/>
      <c r="D13" s="74">
        <v>2</v>
      </c>
    </row>
    <row r="14" spans="2:6" x14ac:dyDescent="0.25">
      <c r="B14" s="72" t="s">
        <v>187</v>
      </c>
      <c r="C14" s="72"/>
      <c r="D14" s="73">
        <v>305</v>
      </c>
    </row>
    <row r="15" spans="2:6" x14ac:dyDescent="0.25">
      <c r="B15" s="72" t="s">
        <v>186</v>
      </c>
      <c r="C15" s="72"/>
      <c r="D15" s="73">
        <f>D12-D14</f>
        <v>186195.45</v>
      </c>
    </row>
    <row r="16" spans="2:6" x14ac:dyDescent="0.25">
      <c r="B16" s="72" t="s">
        <v>183</v>
      </c>
      <c r="C16" s="72"/>
      <c r="D16" s="74">
        <f>VLOOKUP(D15, B3:E10,3,TRUE)</f>
        <v>4921.68</v>
      </c>
    </row>
    <row r="17" spans="2:4" x14ac:dyDescent="0.25">
      <c r="B17" s="49"/>
      <c r="C17" s="49" t="s">
        <v>190</v>
      </c>
      <c r="D17" s="73">
        <f>D15-VLOOKUP(D15, B3:E10,1,TRUE)</f>
        <v>168270.45</v>
      </c>
    </row>
    <row r="18" spans="2:4" x14ac:dyDescent="0.25">
      <c r="B18" s="49"/>
      <c r="C18" s="49" t="s">
        <v>191</v>
      </c>
      <c r="D18" s="75">
        <f>VLOOKUP(D15,B3:E10,4,TRUE)</f>
        <v>0.39600000000000002</v>
      </c>
    </row>
    <row r="19" spans="2:4" x14ac:dyDescent="0.25">
      <c r="B19" s="49"/>
      <c r="C19" s="49" t="s">
        <v>189</v>
      </c>
      <c r="D19" s="73">
        <f>VLOOKUP(D15, B3:E10,3,TRUE)+(D15-VLOOKUP(D15, B3:E10,1,TRUE))*VLOOKUP(D15,B3:E10,4,TRUE)</f>
        <v>71556.778200000001</v>
      </c>
    </row>
    <row r="20" spans="2:4" x14ac:dyDescent="0.25">
      <c r="B20" s="49"/>
      <c r="C20" s="49"/>
      <c r="D20" s="49"/>
    </row>
    <row r="21" spans="2:4" x14ac:dyDescent="0.25">
      <c r="B21" s="49"/>
      <c r="C21" s="49"/>
      <c r="D21" s="49"/>
    </row>
    <row r="22" spans="2:4" x14ac:dyDescent="0.25">
      <c r="B22" s="49"/>
      <c r="C22" s="49"/>
      <c r="D22" s="49"/>
    </row>
    <row r="23" spans="2:4" x14ac:dyDescent="0.25">
      <c r="B23" s="49"/>
      <c r="C23" s="49"/>
      <c r="D23" s="49"/>
    </row>
    <row r="24" spans="2:4" x14ac:dyDescent="0.25">
      <c r="B24" s="49"/>
      <c r="C24" s="49"/>
      <c r="D24" s="49"/>
    </row>
    <row r="25" spans="2:4" x14ac:dyDescent="0.25">
      <c r="B25" s="49"/>
      <c r="C25" s="49"/>
      <c r="D25" s="49"/>
    </row>
  </sheetData>
  <sortState xmlns:xlrd2="http://schemas.microsoft.com/office/spreadsheetml/2017/richdata2" ref="B3:D25">
    <sortCondition ref="B2:B25"/>
  </sortState>
  <mergeCells count="5"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ВПР база</vt:lpstr>
      <vt:lpstr>Карточка работника</vt:lpstr>
      <vt:lpstr>Поиск в левом столбце</vt:lpstr>
      <vt:lpstr>Поиск по горизонтали</vt:lpstr>
      <vt:lpstr>Сокрытие ошибок</vt:lpstr>
      <vt:lpstr>Поиск ближайшего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2023-06-28T11:11:57Z</dcterms:created>
  <dcterms:modified xsi:type="dcterms:W3CDTF">2023-06-29T12:43:49Z</dcterms:modified>
</cp:coreProperties>
</file>