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esktop\335\08.09\"/>
    </mc:Choice>
  </mc:AlternateContent>
  <xr:revisionPtr revIDLastSave="0" documentId="13_ncr:1_{662E05DC-0FF4-41AA-BAEA-0DFF5F777216}" xr6:coauthVersionLast="47" xr6:coauthVersionMax="47" xr10:uidLastSave="{00000000-0000-0000-0000-000000000000}"/>
  <bookViews>
    <workbookView xWindow="-110" yWindow="-110" windowWidth="19420" windowHeight="10560" firstSheet="17" activeTab="21" xr2:uid="{443925E8-FABF-4DBF-A726-85F519EF78A9}"/>
  </bookViews>
  <sheets>
    <sheet name="Лист1" sheetId="1" r:id="rId1"/>
    <sheet name="Расчет уровня расходов" sheetId="2" r:id="rId2"/>
    <sheet name="Вложенные проверки ЕСЛИ" sheetId="3" r:id="rId3"/>
    <sheet name="Проверка типа авто" sheetId="4" r:id="rId4"/>
    <sheet name="ВПР" sheetId="6" r:id="rId5"/>
    <sheet name="Проверка ВПР" sheetId="5" r:id="rId6"/>
    <sheet name="И" sheetId="7" r:id="rId7"/>
    <sheet name="ИЛИ" sheetId="8" r:id="rId8"/>
    <sheet name="ИЛИ_2" sheetId="9" r:id="rId9"/>
    <sheet name="ИЛИ + И" sheetId="10" r:id="rId10"/>
    <sheet name="СУММЕСЛИ" sheetId="11" r:id="rId11"/>
    <sheet name="СУММЕСЛИ_2" sheetId="12" r:id="rId12"/>
    <sheet name="СУММЕСЛИ_3" sheetId="13" r:id="rId13"/>
    <sheet name="Сумма по регионам" sheetId="14" r:id="rId14"/>
    <sheet name="Сумма за дату" sheetId="15" r:id="rId15"/>
    <sheet name="Расчет ВВП" sheetId="17" r:id="rId16"/>
    <sheet name="Сумма запромежуток дат" sheetId="18" r:id="rId17"/>
    <sheet name="СЧЕТЕСЛИ" sheetId="19" r:id="rId18"/>
    <sheet name="Подстановочные символы" sheetId="21" r:id="rId19"/>
    <sheet name="СЧЕТЕСЛИМН" sheetId="20" r:id="rId20"/>
    <sheet name="СРЗНАЧЕСЛИ" sheetId="22" r:id="rId21"/>
    <sheet name="СРЗНАЧЕСЛИМН" sheetId="23" r:id="rId22"/>
  </sheets>
  <definedNames>
    <definedName name="_xlnm._FilterDatabase" localSheetId="15" hidden="1">'Расчет ВВП'!$B$2:$D$212</definedName>
    <definedName name="_xlnm._FilterDatabase" localSheetId="20" hidden="1">СРЗНАЧЕСЛИ!$B$2:$F$21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23" l="1"/>
  <c r="I11" i="23"/>
  <c r="I10" i="23"/>
  <c r="B29" i="23"/>
  <c r="I7" i="23"/>
  <c r="H9" i="23"/>
  <c r="I6" i="22"/>
  <c r="G21" i="19"/>
  <c r="G18" i="19"/>
  <c r="I5" i="22"/>
  <c r="I8" i="20"/>
  <c r="H5" i="21"/>
  <c r="H4" i="21"/>
  <c r="H3" i="21"/>
  <c r="H2" i="21"/>
  <c r="I6" i="20"/>
  <c r="G15" i="19"/>
  <c r="G11" i="19"/>
  <c r="G13" i="19" s="1"/>
  <c r="G12" i="19"/>
  <c r="G5" i="19"/>
  <c r="G6" i="19"/>
  <c r="G2" i="19"/>
  <c r="F10" i="18"/>
  <c r="F9" i="18"/>
  <c r="F7" i="18"/>
  <c r="B5" i="18"/>
  <c r="B6" i="18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4" i="18"/>
  <c r="G8" i="17"/>
  <c r="F14" i="15"/>
  <c r="F10" i="15"/>
  <c r="F12" i="15"/>
  <c r="F11" i="15"/>
  <c r="G7" i="17"/>
  <c r="B14" i="15"/>
  <c r="B13" i="15"/>
  <c r="C17" i="14"/>
  <c r="C16" i="14"/>
  <c r="C15" i="14"/>
  <c r="D21" i="13"/>
  <c r="D19" i="13"/>
  <c r="D18" i="13"/>
  <c r="D17" i="13"/>
  <c r="E4" i="12"/>
  <c r="G14" i="12" s="1"/>
  <c r="E5" i="12"/>
  <c r="E6" i="12"/>
  <c r="E7" i="12"/>
  <c r="E8" i="12"/>
  <c r="E9" i="12"/>
  <c r="E10" i="12"/>
  <c r="E11" i="12"/>
  <c r="E12" i="12"/>
  <c r="E3" i="12"/>
  <c r="F4" i="12"/>
  <c r="F5" i="12"/>
  <c r="F6" i="12"/>
  <c r="F7" i="12"/>
  <c r="F8" i="12"/>
  <c r="F9" i="12"/>
  <c r="F10" i="12"/>
  <c r="F11" i="12"/>
  <c r="F12" i="12"/>
  <c r="F3" i="12"/>
  <c r="C15" i="12"/>
  <c r="C14" i="12"/>
  <c r="E25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3" i="11"/>
  <c r="E24" i="11"/>
  <c r="E23" i="1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3" i="10"/>
  <c r="I10" i="9"/>
  <c r="I4" i="9"/>
  <c r="I5" i="9"/>
  <c r="I6" i="9"/>
  <c r="I7" i="9"/>
  <c r="I8" i="9"/>
  <c r="I9" i="9"/>
  <c r="I11" i="9"/>
  <c r="I12" i="9"/>
  <c r="I13" i="9"/>
  <c r="I14" i="9"/>
  <c r="I15" i="9"/>
  <c r="I16" i="9"/>
  <c r="I17" i="9"/>
  <c r="I18" i="9"/>
  <c r="I19" i="9"/>
  <c r="I20" i="9"/>
  <c r="I21" i="9"/>
  <c r="I22" i="9"/>
  <c r="I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3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3" i="9"/>
  <c r="E3" i="9"/>
  <c r="E22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3" i="8"/>
  <c r="L9" i="8"/>
  <c r="L8" i="8"/>
  <c r="L7" i="8"/>
  <c r="L6" i="8"/>
  <c r="L5" i="8"/>
  <c r="L4" i="8"/>
  <c r="L3" i="8"/>
  <c r="J7" i="8"/>
  <c r="J9" i="8"/>
  <c r="M9" i="8" s="1"/>
  <c r="J8" i="8"/>
  <c r="M8" i="8" s="1"/>
  <c r="J6" i="8"/>
  <c r="J5" i="8"/>
  <c r="J4" i="8"/>
  <c r="J3" i="8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3" i="7"/>
  <c r="J4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3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3" i="7"/>
  <c r="H2" i="5"/>
  <c r="C15" i="6"/>
  <c r="C14" i="6"/>
  <c r="C13" i="6"/>
  <c r="C12" i="6"/>
  <c r="C11" i="6"/>
  <c r="H2" i="4"/>
  <c r="H2" i="3"/>
  <c r="D12" i="2"/>
  <c r="E12" i="2"/>
  <c r="F12" i="2"/>
  <c r="G12" i="2"/>
  <c r="H12" i="2"/>
  <c r="I12" i="2"/>
  <c r="J12" i="2"/>
  <c r="D13" i="2"/>
  <c r="E13" i="2"/>
  <c r="F13" i="2"/>
  <c r="G13" i="2"/>
  <c r="H13" i="2"/>
  <c r="I13" i="2"/>
  <c r="J13" i="2"/>
  <c r="D14" i="2"/>
  <c r="E14" i="2"/>
  <c r="F14" i="2"/>
  <c r="G14" i="2"/>
  <c r="H14" i="2"/>
  <c r="I14" i="2"/>
  <c r="J14" i="2"/>
  <c r="D15" i="2"/>
  <c r="E15" i="2"/>
  <c r="F15" i="2"/>
  <c r="G15" i="2"/>
  <c r="H15" i="2"/>
  <c r="I15" i="2"/>
  <c r="J15" i="2"/>
  <c r="D16" i="2"/>
  <c r="E16" i="2"/>
  <c r="F16" i="2"/>
  <c r="G16" i="2"/>
  <c r="H16" i="2"/>
  <c r="I16" i="2"/>
  <c r="J16" i="2"/>
  <c r="D17" i="2"/>
  <c r="E17" i="2"/>
  <c r="F17" i="2"/>
  <c r="G17" i="2"/>
  <c r="H17" i="2"/>
  <c r="I17" i="2"/>
  <c r="J17" i="2"/>
  <c r="D18" i="2"/>
  <c r="E18" i="2"/>
  <c r="F18" i="2"/>
  <c r="G18" i="2"/>
  <c r="H18" i="2"/>
  <c r="I18" i="2"/>
  <c r="J18" i="2"/>
  <c r="C13" i="2"/>
  <c r="C14" i="2"/>
  <c r="C15" i="2"/>
  <c r="C16" i="2"/>
  <c r="C17" i="2"/>
  <c r="C18" i="2"/>
  <c r="C12" i="2"/>
  <c r="D10" i="2"/>
  <c r="E10" i="2"/>
  <c r="F10" i="2"/>
  <c r="G10" i="2"/>
  <c r="H10" i="2"/>
  <c r="I10" i="2"/>
  <c r="J10" i="2"/>
  <c r="C10" i="2"/>
  <c r="C4" i="1"/>
  <c r="C3" i="1"/>
  <c r="C18" i="15" l="1"/>
  <c r="C17" i="15"/>
  <c r="C16" i="15"/>
  <c r="N3" i="8"/>
  <c r="M6" i="8"/>
  <c r="M7" i="8"/>
  <c r="M3" i="8"/>
  <c r="N8" i="8"/>
  <c r="M4" i="8"/>
  <c r="M5" i="8"/>
  <c r="N9" i="8"/>
  <c r="N7" i="8"/>
  <c r="N6" i="8"/>
  <c r="N5" i="8"/>
  <c r="N4" i="8"/>
</calcChain>
</file>

<file path=xl/sharedStrings.xml><?xml version="1.0" encoding="utf-8"?>
<sst xmlns="http://schemas.openxmlformats.org/spreadsheetml/2006/main" count="1044" uniqueCount="262">
  <si>
    <t>счет</t>
  </si>
  <si>
    <t>условие</t>
  </si>
  <si>
    <t>Брянск</t>
  </si>
  <si>
    <t>Тула</t>
  </si>
  <si>
    <t>Владимир</t>
  </si>
  <si>
    <t>Ставрополь</t>
  </si>
  <si>
    <t>Город</t>
  </si>
  <si>
    <t>Санкт-Петербург</t>
  </si>
  <si>
    <t>Пермь</t>
  </si>
  <si>
    <t>Владивосток</t>
  </si>
  <si>
    <t>Расходы</t>
  </si>
  <si>
    <t>Среднее значение</t>
  </si>
  <si>
    <t>Рассчитываем уровень расходов города относительно среднего значения за месяц по всем городам</t>
  </si>
  <si>
    <t>Тип автомобиля</t>
  </si>
  <si>
    <t>Особенности</t>
  </si>
  <si>
    <t>Легковой</t>
  </si>
  <si>
    <t>Грузовик</t>
  </si>
  <si>
    <t>2-х дверный</t>
  </si>
  <si>
    <t>4-х дверный</t>
  </si>
  <si>
    <t>Есть кузов</t>
  </si>
  <si>
    <t>Нет кузова</t>
  </si>
  <si>
    <t>Пикап</t>
  </si>
  <si>
    <t>Трейлер</t>
  </si>
  <si>
    <t>Купе</t>
  </si>
  <si>
    <t>Седан</t>
  </si>
  <si>
    <t>Какое авто:</t>
  </si>
  <si>
    <t>Ответ</t>
  </si>
  <si>
    <t>Грузовой</t>
  </si>
  <si>
    <t>Легковой автомобиль</t>
  </si>
  <si>
    <t>Грузовой автомобиль</t>
  </si>
  <si>
    <t>Неизвестный автомобиль</t>
  </si>
  <si>
    <t>Табельный номер</t>
  </si>
  <si>
    <t>Фамилия</t>
  </si>
  <si>
    <t>Имя</t>
  </si>
  <si>
    <t>Отчество</t>
  </si>
  <si>
    <t>Телефон</t>
  </si>
  <si>
    <t>Электронная почта</t>
  </si>
  <si>
    <t>Петров</t>
  </si>
  <si>
    <t>Иван</t>
  </si>
  <si>
    <t>Андреевич</t>
  </si>
  <si>
    <t>Сидорова</t>
  </si>
  <si>
    <t xml:space="preserve">Ирина </t>
  </si>
  <si>
    <t>Петровна</t>
  </si>
  <si>
    <t>Иванов</t>
  </si>
  <si>
    <t>Петр</t>
  </si>
  <si>
    <t>Алексеевич</t>
  </si>
  <si>
    <t>Алексеев</t>
  </si>
  <si>
    <t>Анатольевич</t>
  </si>
  <si>
    <t>Петрова</t>
  </si>
  <si>
    <t>Татьяна</t>
  </si>
  <si>
    <t>Игоревна</t>
  </si>
  <si>
    <t>email1@test.ru</t>
  </si>
  <si>
    <t>email2@test.ru</t>
  </si>
  <si>
    <t>email3@test.ru</t>
  </si>
  <si>
    <t>email4@test.ru</t>
  </si>
  <si>
    <t>email5@test.ru</t>
  </si>
  <si>
    <t>Получение по табельному номеру</t>
  </si>
  <si>
    <t>Фамилия:</t>
  </si>
  <si>
    <t>Имя:</t>
  </si>
  <si>
    <t>Отчество:</t>
  </si>
  <si>
    <t>Телефон:</t>
  </si>
  <si>
    <t>Электронная почта:</t>
  </si>
  <si>
    <t>Код изделия</t>
  </si>
  <si>
    <t>Количество</t>
  </si>
  <si>
    <t>202-PRT-3013</t>
  </si>
  <si>
    <t>201-FIN-1452</t>
  </si>
  <si>
    <t>202-FIN-8206</t>
  </si>
  <si>
    <t>201-FIN-8238</t>
  </si>
  <si>
    <t>203-FIN-8882</t>
  </si>
  <si>
    <t>202-PRT-9587</t>
  </si>
  <si>
    <t>203-FIN-4614</t>
  </si>
  <si>
    <t>201-PRT-2478</t>
  </si>
  <si>
    <t>202-SUB-1955</t>
  </si>
  <si>
    <t>201-SUB-8641</t>
  </si>
  <si>
    <t>202-FIN-9069</t>
  </si>
  <si>
    <t>202-PRT-7937</t>
  </si>
  <si>
    <t>201-SUB-3124</t>
  </si>
  <si>
    <t>203-SUB-4369</t>
  </si>
  <si>
    <t>202-FIN-6273</t>
  </si>
  <si>
    <t>203-SUB-3972</t>
  </si>
  <si>
    <t>203-PRT-3335</t>
  </si>
  <si>
    <t>203-FIN-3507</t>
  </si>
  <si>
    <t>203-SUB-8304</t>
  </si>
  <si>
    <t>Cкидка 10% только если номер производителя 201 и статус FIN</t>
  </si>
  <si>
    <t>Стоимость</t>
  </si>
  <si>
    <t>Стоимость с учетом скидки</t>
  </si>
  <si>
    <t>Статус изделия</t>
  </si>
  <si>
    <t>201-FIN-1022</t>
  </si>
  <si>
    <t>функция И</t>
  </si>
  <si>
    <t>Скидка с пом ЕСЛИ</t>
  </si>
  <si>
    <t>Скидка с пом функции И</t>
  </si>
  <si>
    <t>примените скидку 5% только если номер 203 и статус PRT и кол-во больше 20</t>
  </si>
  <si>
    <t>Первое условие</t>
  </si>
  <si>
    <t>Второе условие</t>
  </si>
  <si>
    <t>Цена изделия</t>
  </si>
  <si>
    <t>Первый аргумент</t>
  </si>
  <si>
    <t>Второй аргумент</t>
  </si>
  <si>
    <t>ИЛИ</t>
  </si>
  <si>
    <t>=4&gt;9</t>
  </si>
  <si>
    <t>=8&lt;0</t>
  </si>
  <si>
    <t>=7&gt;1</t>
  </si>
  <si>
    <t>=5=5</t>
  </si>
  <si>
    <t>=3&lt;&gt;5</t>
  </si>
  <si>
    <t>=5&gt;9</t>
  </si>
  <si>
    <t>=3=6</t>
  </si>
  <si>
    <t>=5&gt;2</t>
  </si>
  <si>
    <t>=9=6</t>
  </si>
  <si>
    <t>=3&gt;3</t>
  </si>
  <si>
    <t>=4=22</t>
  </si>
  <si>
    <t>=4&gt;0</t>
  </si>
  <si>
    <t>=5&lt;6</t>
  </si>
  <si>
    <t>=34=66</t>
  </si>
  <si>
    <t>И</t>
  </si>
  <si>
    <t>Скидка 10% если номер производителя 202 или 203</t>
  </si>
  <si>
    <t>Скидка</t>
  </si>
  <si>
    <t>Добавить наценку 5% если цена изделия меньше 600 И количество менее 20 шт</t>
  </si>
  <si>
    <t>С учетом наценки</t>
  </si>
  <si>
    <r>
      <t xml:space="preserve">Применить скидку 5% </t>
    </r>
    <r>
      <rPr>
        <sz val="36"/>
        <color rgb="FFFF0000"/>
        <rFont val="Calibri"/>
        <family val="2"/>
        <charset val="204"/>
        <scheme val="minor"/>
      </rPr>
      <t>ЕСЛИ</t>
    </r>
    <r>
      <rPr>
        <sz val="36"/>
        <color theme="1"/>
        <rFont val="Calibri"/>
        <family val="2"/>
        <charset val="204"/>
        <scheme val="minor"/>
      </rPr>
      <t xml:space="preserve"> статус изделия FIN </t>
    </r>
    <r>
      <rPr>
        <sz val="36"/>
        <color rgb="FFFF0000"/>
        <rFont val="Calibri"/>
        <family val="2"/>
        <charset val="204"/>
        <scheme val="minor"/>
      </rPr>
      <t>И</t>
    </r>
    <r>
      <rPr>
        <sz val="36"/>
        <color theme="1"/>
        <rFont val="Calibri"/>
        <family val="2"/>
        <charset val="204"/>
        <scheme val="minor"/>
      </rPr>
      <t xml:space="preserve"> производитель 202 </t>
    </r>
    <r>
      <rPr>
        <sz val="36"/>
        <color rgb="FFFF0000"/>
        <rFont val="Calibri"/>
        <family val="2"/>
        <charset val="204"/>
        <scheme val="minor"/>
      </rPr>
      <t>ИЛИ</t>
    </r>
    <r>
      <rPr>
        <sz val="36"/>
        <color theme="1"/>
        <rFont val="Calibri"/>
        <family val="2"/>
        <charset val="204"/>
        <scheme val="minor"/>
      </rPr>
      <t xml:space="preserve"> 203</t>
    </r>
  </si>
  <si>
    <t>Примените наценку 10% если статус изделия PRT и количество менее 30 или цена больее 500</t>
  </si>
  <si>
    <t>сумма значений более 500</t>
  </si>
  <si>
    <t>сумма только за изделия со статусом FIN</t>
  </si>
  <si>
    <t>сумма за изделия, количество которых более 50</t>
  </si>
  <si>
    <t>Счет</t>
  </si>
  <si>
    <t>Баланс</t>
  </si>
  <si>
    <t>1510 Оборудование</t>
  </si>
  <si>
    <t>1540 Накопленная амортизация</t>
  </si>
  <si>
    <t>1690 Земля</t>
  </si>
  <si>
    <t>1915 Прочие активы</t>
  </si>
  <si>
    <t>2320 Заработная плата</t>
  </si>
  <si>
    <t>2420 Текущая часть долгосрочной задолженности</t>
  </si>
  <si>
    <t>5800 Стоимость проданных товаров, другое</t>
  </si>
  <si>
    <t>5900 Возврат покупок и пособия</t>
  </si>
  <si>
    <t>6300 Расходы на благотворительные взносы</t>
  </si>
  <si>
    <t>2440 Депозиты от клиентов</t>
  </si>
  <si>
    <t>Доходы</t>
  </si>
  <si>
    <t>Номер счета</t>
  </si>
  <si>
    <t>Описание счета</t>
  </si>
  <si>
    <t>Сумма за счета с номерами до 2500</t>
  </si>
  <si>
    <t>Сумма за счета с номерами 1510 и 1915</t>
  </si>
  <si>
    <t>Оборудование</t>
  </si>
  <si>
    <t>Накопленная амортизация</t>
  </si>
  <si>
    <t>Земля</t>
  </si>
  <si>
    <t>Прочие активы</t>
  </si>
  <si>
    <t>Заработная плата</t>
  </si>
  <si>
    <t>Текущая часть долгосрочной задолженности</t>
  </si>
  <si>
    <t>Депозиты от клиентов</t>
  </si>
  <si>
    <t>Стоимость проданных товаров, другое</t>
  </si>
  <si>
    <t>Возврат покупок и пособия</t>
  </si>
  <si>
    <t>Расходы на благотворительные взносы</t>
  </si>
  <si>
    <t>Сумма за счета с номерами 1510</t>
  </si>
  <si>
    <t>Сумма за счета с номерами 1915</t>
  </si>
  <si>
    <t>СУММЕСЛИМН</t>
  </si>
  <si>
    <t>Регион</t>
  </si>
  <si>
    <t>Продажи</t>
  </si>
  <si>
    <t>Центр</t>
  </si>
  <si>
    <t>Север</t>
  </si>
  <si>
    <t>Восток</t>
  </si>
  <si>
    <t>Юг</t>
  </si>
  <si>
    <t>Сумма по региону Север</t>
  </si>
  <si>
    <t>Сумма по региону Юг</t>
  </si>
  <si>
    <t>Сумма по значению в ячейке</t>
  </si>
  <si>
    <t>Дата</t>
  </si>
  <si>
    <t>Число</t>
  </si>
  <si>
    <t>Сумма за сегодня</t>
  </si>
  <si>
    <t>Сумма до сегодня</t>
  </si>
  <si>
    <t>Сумма с 01.03.2023 по 31.08.2023</t>
  </si>
  <si>
    <t>Страна</t>
  </si>
  <si>
    <t>Год</t>
  </si>
  <si>
    <t>ВВП</t>
  </si>
  <si>
    <t>Начальный год</t>
  </si>
  <si>
    <t>Конечный год</t>
  </si>
  <si>
    <t>Суммарный ВВП</t>
  </si>
  <si>
    <t>Австралия</t>
  </si>
  <si>
    <t>Бельгия</t>
  </si>
  <si>
    <t>Бразилия</t>
  </si>
  <si>
    <t>Великобритания</t>
  </si>
  <si>
    <t>Германия</t>
  </si>
  <si>
    <t>Индия</t>
  </si>
  <si>
    <t>Индонезия</t>
  </si>
  <si>
    <t>Испания</t>
  </si>
  <si>
    <t>Италия</t>
  </si>
  <si>
    <t>Канада</t>
  </si>
  <si>
    <t>Китай</t>
  </si>
  <si>
    <t>Мексика</t>
  </si>
  <si>
    <t>Нидерланды</t>
  </si>
  <si>
    <t>Польша</t>
  </si>
  <si>
    <t>Россия</t>
  </si>
  <si>
    <t>Соединенные Штаты</t>
  </si>
  <si>
    <t>Турция</t>
  </si>
  <si>
    <t>Франция</t>
  </si>
  <si>
    <t>Швейцария</t>
  </si>
  <si>
    <t>Южная Корея</t>
  </si>
  <si>
    <t>Япония</t>
  </si>
  <si>
    <t>СУММПРОИЗВ</t>
  </si>
  <si>
    <t>Сумма реализации</t>
  </si>
  <si>
    <t>Начальная дата</t>
  </si>
  <si>
    <t>Конечная дата</t>
  </si>
  <si>
    <t>Сумма</t>
  </si>
  <si>
    <t>суммеслимн</t>
  </si>
  <si>
    <t>суммпроизв</t>
  </si>
  <si>
    <t>&gt;5000000</t>
  </si>
  <si>
    <t>Критерий 1</t>
  </si>
  <si>
    <t>Критерий 2</t>
  </si>
  <si>
    <t>Количество 1</t>
  </si>
  <si>
    <t>Количество 2</t>
  </si>
  <si>
    <t>Начальное значение</t>
  </si>
  <si>
    <t>Конечное  значение</t>
  </si>
  <si>
    <t>Количество значений меньше или равно конечному значению</t>
  </si>
  <si>
    <t>Количество значений меньше начального значения</t>
  </si>
  <si>
    <t>Разница</t>
  </si>
  <si>
    <t>счетеслимн</t>
  </si>
  <si>
    <t>Соревнование</t>
  </si>
  <si>
    <t>Спортсмен</t>
  </si>
  <si>
    <t>Результат</t>
  </si>
  <si>
    <t>Медаль</t>
  </si>
  <si>
    <t>Скоростной спуск, мужчины</t>
  </si>
  <si>
    <t>Слалом, мужчины</t>
  </si>
  <si>
    <t>Гигантский слалом, мужчины</t>
  </si>
  <si>
    <t>Скоростной спуск, женщины</t>
  </si>
  <si>
    <t>Слалом, женщины</t>
  </si>
  <si>
    <t>Гигантский слалом, женщины</t>
  </si>
  <si>
    <t>Бернард Русси (Bernhard Russi)</t>
  </si>
  <si>
    <t>Ролан Колломбен (Roland Collombin)</t>
  </si>
  <si>
    <t>Хайни Месснер (Heini Messner)</t>
  </si>
  <si>
    <t>Франсиско Фернандес (Francisco Fernández)</t>
  </si>
  <si>
    <t>Густав Тёни (Gustav Thöni)</t>
  </si>
  <si>
    <t>Роландо Тёни (Roland Thöni)</t>
  </si>
  <si>
    <t>Эдмунд Бруггманн (Edmund Bruggmann)</t>
  </si>
  <si>
    <t>Вернер Маттле (Werner Mattle)</t>
  </si>
  <si>
    <t>Мари-Терез Надиг (Marie-Thérès Nadig)</t>
  </si>
  <si>
    <t>Аннемари Мозер-Прёль (Annemarie Moser-Pröll)</t>
  </si>
  <si>
    <t>Сьюзан Коррок (Susan Corrock)</t>
  </si>
  <si>
    <t>Барбара Кокран (Barbara Cochran)</t>
  </si>
  <si>
    <t>Даниэль Деберна́р (Danièlle Debernard)</t>
  </si>
  <si>
    <t>Флоранс Стёрер (Florence Steurer)</t>
  </si>
  <si>
    <t>Вильтруд Дрексель (Wiltrud Drexel)</t>
  </si>
  <si>
    <t>Австрия</t>
  </si>
  <si>
    <t>США</t>
  </si>
  <si>
    <t>Золото</t>
  </si>
  <si>
    <t>Серебро</t>
  </si>
  <si>
    <t>Бронза</t>
  </si>
  <si>
    <t>Имя содержит</t>
  </si>
  <si>
    <t>Gustav</t>
  </si>
  <si>
    <t>Количество золотых медалей</t>
  </si>
  <si>
    <t>Количество золотых у спортсмена с именем Gustav</t>
  </si>
  <si>
    <t>Сидоров</t>
  </si>
  <si>
    <t>заванчивающиеся на "ов"</t>
  </si>
  <si>
    <t>Месснер</t>
  </si>
  <si>
    <t>Кокран</t>
  </si>
  <si>
    <t>"*" - любое количество произвольных символов</t>
  </si>
  <si>
    <t>Стёрер</t>
  </si>
  <si>
    <t>заванчивающиеся на "ер"</t>
  </si>
  <si>
    <t>содержит букву "о"</t>
  </si>
  <si>
    <t>заканчивающиеся на "ов" и 4 произвольных символа до - "????ов"</t>
  </si>
  <si>
    <t>Средний результат</t>
  </si>
  <si>
    <t>Среднее ВВП</t>
  </si>
  <si>
    <t>суммесли счетесли</t>
  </si>
  <si>
    <t>Пол</t>
  </si>
  <si>
    <t>Средний</t>
  </si>
  <si>
    <t>мужчины</t>
  </si>
  <si>
    <t xml:space="preserve">суммеслимн 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</si>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</sst>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[$-419]mmmm\ yyyy;@"/>
    <numFmt numFmtId="165" formatCode="#,##0.00\ &quot;₽&quot;"/>
    <numFmt numFmtId="167" formatCode="[$$-409]#,##0"/>
    <numFmt numFmtId="169" formatCode="dddd\,\ mmmm\-yyyy\ \/\ hh:mm:ss\ AM/PM"/>
    <numFmt numFmtId="172" formatCode="[$-F400]h:mm:ss\ AM/PM"/>
    <numFmt numFmtId="173" formatCode="[$$-409]#,##0.00"/>
  </numFmts>
  <fonts count="5" x14ac:knownFonts="1">
    <font>
      <sz val="36"/>
      <color theme="1"/>
      <name val="Calibri"/>
      <family val="2"/>
      <charset val="204"/>
      <scheme val="minor"/>
    </font>
    <font>
      <sz val="36"/>
      <color rgb="FFFF0000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u/>
      <sz val="36"/>
      <color theme="10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68">
    <xf numFmtId="0" fontId="0" fillId="0" borderId="0" xfId="0"/>
    <xf numFmtId="0" fontId="0" fillId="3" borderId="2" xfId="0" applyFill="1" applyBorder="1"/>
    <xf numFmtId="0" fontId="0" fillId="0" borderId="2" xfId="0" applyBorder="1"/>
    <xf numFmtId="0" fontId="0" fillId="3" borderId="4" xfId="0" applyFill="1" applyBorder="1"/>
    <xf numFmtId="0" fontId="0" fillId="0" borderId="4" xfId="0" applyBorder="1"/>
    <xf numFmtId="0" fontId="0" fillId="2" borderId="8" xfId="0" applyFill="1" applyBorder="1"/>
    <xf numFmtId="164" fontId="0" fillId="2" borderId="9" xfId="0" applyNumberFormat="1" applyFill="1" applyBorder="1"/>
    <xf numFmtId="164" fontId="0" fillId="2" borderId="10" xfId="0" applyNumberFormat="1" applyFill="1" applyBorder="1"/>
    <xf numFmtId="0" fontId="1" fillId="0" borderId="0" xfId="0" applyFont="1" applyAlignment="1">
      <alignment horizontal="center" vertical="center"/>
    </xf>
    <xf numFmtId="0" fontId="0" fillId="3" borderId="11" xfId="0" applyFill="1" applyBorder="1"/>
    <xf numFmtId="2" fontId="0" fillId="0" borderId="0" xfId="0" applyNumberFormat="1"/>
    <xf numFmtId="0" fontId="0" fillId="4" borderId="12" xfId="0" applyFill="1" applyBorder="1"/>
    <xf numFmtId="0" fontId="0" fillId="6" borderId="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3" borderId="1" xfId="0" applyFill="1" applyBorder="1"/>
    <xf numFmtId="0" fontId="0" fillId="6" borderId="4" xfId="0" applyFill="1" applyBorder="1"/>
    <xf numFmtId="0" fontId="2" fillId="6" borderId="3" xfId="0" applyFont="1" applyFill="1" applyBorder="1"/>
    <xf numFmtId="0" fontId="0" fillId="7" borderId="0" xfId="0" applyFill="1" applyAlignment="1">
      <alignment horizontal="center" vertical="center"/>
    </xf>
    <xf numFmtId="0" fontId="0" fillId="8" borderId="0" xfId="0" applyFill="1"/>
    <xf numFmtId="0" fontId="0" fillId="0" borderId="2" xfId="0" applyBorder="1" applyAlignment="1">
      <alignment horizontal="center" vertical="center"/>
    </xf>
    <xf numFmtId="0" fontId="3" fillId="0" borderId="2" xfId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3" fillId="4" borderId="2" xfId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4" borderId="2" xfId="0" applyFill="1" applyBorder="1" applyAlignment="1">
      <alignment horizontal="center" vertical="center" wrapText="1"/>
    </xf>
    <xf numFmtId="9" fontId="0" fillId="0" borderId="0" xfId="0" applyNumberFormat="1"/>
    <xf numFmtId="1" fontId="0" fillId="0" borderId="0" xfId="0" applyNumberFormat="1"/>
    <xf numFmtId="9" fontId="0" fillId="9" borderId="0" xfId="0" applyNumberFormat="1" applyFill="1"/>
    <xf numFmtId="165" fontId="0" fillId="0" borderId="0" xfId="0" applyNumberFormat="1"/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0" borderId="0" xfId="0" quotePrefix="1"/>
    <xf numFmtId="0" fontId="0" fillId="0" borderId="2" xfId="0" quotePrefix="1" applyBorder="1"/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0" fillId="4" borderId="1" xfId="0" applyFill="1" applyBorder="1"/>
    <xf numFmtId="165" fontId="0" fillId="0" borderId="0" xfId="2" applyNumberFormat="1" applyFont="1"/>
    <xf numFmtId="165" fontId="1" fillId="0" borderId="0" xfId="2" applyNumberFormat="1" applyFont="1"/>
    <xf numFmtId="44" fontId="0" fillId="0" borderId="0" xfId="0" applyNumberFormat="1"/>
    <xf numFmtId="0" fontId="0" fillId="4" borderId="1" xfId="0" applyFill="1" applyBorder="1" applyAlignment="1">
      <alignment horizontal="center" vertical="center"/>
    </xf>
    <xf numFmtId="0" fontId="1" fillId="0" borderId="0" xfId="0" applyFont="1"/>
    <xf numFmtId="14" fontId="0" fillId="0" borderId="0" xfId="0" applyNumberFormat="1"/>
    <xf numFmtId="0" fontId="0" fillId="2" borderId="2" xfId="0" applyFill="1" applyBorder="1"/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center"/>
    </xf>
    <xf numFmtId="167" fontId="0" fillId="0" borderId="0" xfId="0" applyNumberFormat="1"/>
    <xf numFmtId="169" fontId="0" fillId="0" borderId="0" xfId="0" applyNumberFormat="1"/>
    <xf numFmtId="2" fontId="0" fillId="2" borderId="2" xfId="0" applyNumberFormat="1" applyFill="1" applyBorder="1"/>
    <xf numFmtId="0" fontId="0" fillId="4" borderId="0" xfId="0" applyFill="1"/>
    <xf numFmtId="0" fontId="0" fillId="10" borderId="0" xfId="0" applyFill="1"/>
    <xf numFmtId="0" fontId="0" fillId="2" borderId="0" xfId="0" applyFill="1" applyBorder="1"/>
    <xf numFmtId="14" fontId="0" fillId="10" borderId="2" xfId="0" applyNumberFormat="1" applyFill="1" applyBorder="1"/>
    <xf numFmtId="165" fontId="0" fillId="10" borderId="2" xfId="2" applyNumberFormat="1" applyFont="1" applyFill="1" applyBorder="1"/>
    <xf numFmtId="165" fontId="0" fillId="0" borderId="2" xfId="2" applyNumberFormat="1" applyFont="1" applyBorder="1"/>
    <xf numFmtId="0" fontId="0" fillId="0" borderId="0" xfId="0" applyNumberFormat="1"/>
    <xf numFmtId="0" fontId="0" fillId="10" borderId="0" xfId="0" applyFill="1" applyBorder="1" applyAlignment="1">
      <alignment horizontal="left" vertical="center"/>
    </xf>
    <xf numFmtId="47" fontId="0" fillId="0" borderId="0" xfId="0" applyNumberFormat="1" applyAlignment="1">
      <alignment horizontal="right" indent="1"/>
    </xf>
    <xf numFmtId="0" fontId="0" fillId="2" borderId="0" xfId="0" applyFill="1"/>
    <xf numFmtId="0" fontId="2" fillId="11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172" fontId="0" fillId="0" borderId="0" xfId="0" applyNumberFormat="1"/>
    <xf numFmtId="173" fontId="0" fillId="0" borderId="0" xfId="0" applyNumberFormat="1"/>
    <xf numFmtId="47" fontId="0" fillId="10" borderId="0" xfId="0" applyNumberFormat="1" applyFill="1" applyAlignment="1">
      <alignment horizontal="right" indent="1"/>
    </xf>
  </cellXfs>
  <cellStyles count="3">
    <cellStyle name="Гиперссылка" xfId="1" builtinId="8"/>
    <cellStyle name="Обычный" xfId="0" builtinId="0"/>
    <cellStyle name="Финансовый" xfId="2" builtinId="3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2@test.ru" TargetMode="External"/><Relationship Id="rId2" Type="http://schemas.openxmlformats.org/officeDocument/2006/relationships/hyperlink" Target="mailto:email1@test.ru" TargetMode="External"/><Relationship Id="rId1" Type="http://schemas.openxmlformats.org/officeDocument/2006/relationships/hyperlink" Target="mailto:email1@test.ru" TargetMode="External"/><Relationship Id="rId6" Type="http://schemas.openxmlformats.org/officeDocument/2006/relationships/hyperlink" Target="mailto:email5@test.ru" TargetMode="External"/><Relationship Id="rId5" Type="http://schemas.openxmlformats.org/officeDocument/2006/relationships/hyperlink" Target="mailto:email4@test.ru" TargetMode="External"/><Relationship Id="rId4" Type="http://schemas.openxmlformats.org/officeDocument/2006/relationships/hyperlink" Target="mailto:email3@test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FEF84-76DD-46A1-9397-7333BA1FF95C}">
  <dimension ref="B2:C4"/>
  <sheetViews>
    <sheetView zoomScale="40" zoomScaleNormal="40" workbookViewId="0">
      <selection activeCell="C4" sqref="C4"/>
    </sheetView>
  </sheetViews>
  <sheetFormatPr defaultRowHeight="46.5" x14ac:dyDescent="0.7"/>
  <sheetData>
    <row r="2" spans="2:3" x14ac:dyDescent="0.7">
      <c r="B2" t="s">
        <v>0</v>
      </c>
      <c r="C2" t="s">
        <v>1</v>
      </c>
    </row>
    <row r="3" spans="2:3" x14ac:dyDescent="0.7">
      <c r="B3">
        <v>1300</v>
      </c>
      <c r="C3" t="b">
        <f>B3&gt;1000</f>
        <v>1</v>
      </c>
    </row>
    <row r="4" spans="2:3" x14ac:dyDescent="0.7">
      <c r="B4">
        <v>500</v>
      </c>
      <c r="C4" t="b">
        <f>B4&gt;1000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35ADD-B7A3-46B8-95BE-E243CC0B1477}">
  <dimension ref="A1:J24"/>
  <sheetViews>
    <sheetView zoomScale="40" zoomScaleNormal="40" workbookViewId="0">
      <selection activeCell="B2" sqref="B2:D22"/>
    </sheetView>
  </sheetViews>
  <sheetFormatPr defaultRowHeight="46.5" x14ac:dyDescent="0.7"/>
  <cols>
    <col min="2" max="2" width="14.2890625" customWidth="1"/>
    <col min="3" max="3" width="10.58203125" customWidth="1"/>
    <col min="4" max="4" width="12.375" customWidth="1"/>
  </cols>
  <sheetData>
    <row r="1" spans="1:10" x14ac:dyDescent="0.7">
      <c r="A1" s="48" t="s">
        <v>117</v>
      </c>
      <c r="B1" s="48"/>
      <c r="C1" s="48"/>
      <c r="D1" s="48"/>
      <c r="E1" s="48"/>
      <c r="F1" s="48"/>
      <c r="G1" s="48"/>
      <c r="H1" s="48"/>
      <c r="I1" s="48"/>
      <c r="J1" s="48"/>
    </row>
    <row r="2" spans="1:10" ht="93" x14ac:dyDescent="0.7">
      <c r="B2" s="22" t="s">
        <v>62</v>
      </c>
      <c r="C2" s="22" t="s">
        <v>63</v>
      </c>
      <c r="D2" s="25" t="s">
        <v>94</v>
      </c>
      <c r="E2" s="22" t="s">
        <v>114</v>
      </c>
    </row>
    <row r="3" spans="1:10" x14ac:dyDescent="0.7">
      <c r="B3" t="s">
        <v>64</v>
      </c>
      <c r="C3">
        <v>45</v>
      </c>
      <c r="D3" s="29">
        <v>345</v>
      </c>
      <c r="E3" s="26">
        <f>IF(AND(MID(B3,5,3)="FIN", OR(LEFT(B3,3)="202",LEFT(B3,3)="203")), 5%,0%)</f>
        <v>0</v>
      </c>
    </row>
    <row r="4" spans="1:10" x14ac:dyDescent="0.7">
      <c r="B4" t="s">
        <v>65</v>
      </c>
      <c r="C4">
        <v>66</v>
      </c>
      <c r="D4" s="29">
        <v>743</v>
      </c>
      <c r="E4" s="26">
        <f t="shared" ref="E4:E22" si="0">IF(AND(MID(B4,5,3)="FIN", OR(LEFT(B4,3)="202",LEFT(B4,3)="203")), 5%,0%)</f>
        <v>0</v>
      </c>
    </row>
    <row r="5" spans="1:10" x14ac:dyDescent="0.7">
      <c r="B5" t="s">
        <v>66</v>
      </c>
      <c r="C5">
        <v>14</v>
      </c>
      <c r="D5" s="29">
        <v>6546</v>
      </c>
      <c r="E5" s="26">
        <f t="shared" si="0"/>
        <v>0.05</v>
      </c>
    </row>
    <row r="6" spans="1:10" x14ac:dyDescent="0.7">
      <c r="B6" t="s">
        <v>67</v>
      </c>
      <c r="C6">
        <v>23</v>
      </c>
      <c r="D6" s="29">
        <v>566</v>
      </c>
      <c r="E6" s="26">
        <f t="shared" si="0"/>
        <v>0</v>
      </c>
    </row>
    <row r="7" spans="1:10" x14ac:dyDescent="0.7">
      <c r="B7" t="s">
        <v>68</v>
      </c>
      <c r="C7">
        <v>54</v>
      </c>
      <c r="D7" s="29">
        <v>54</v>
      </c>
      <c r="E7" s="26">
        <f t="shared" si="0"/>
        <v>0.05</v>
      </c>
    </row>
    <row r="8" spans="1:10" x14ac:dyDescent="0.7">
      <c r="B8" t="s">
        <v>69</v>
      </c>
      <c r="C8">
        <v>65</v>
      </c>
      <c r="D8" s="29">
        <v>186</v>
      </c>
      <c r="E8" s="26">
        <f t="shared" si="0"/>
        <v>0</v>
      </c>
    </row>
    <row r="9" spans="1:10" x14ac:dyDescent="0.7">
      <c r="B9" t="s">
        <v>70</v>
      </c>
      <c r="C9">
        <v>22</v>
      </c>
      <c r="D9" s="29">
        <v>354</v>
      </c>
      <c r="E9" s="26">
        <f t="shared" si="0"/>
        <v>0.05</v>
      </c>
    </row>
    <row r="10" spans="1:10" x14ac:dyDescent="0.7">
      <c r="B10" t="s">
        <v>71</v>
      </c>
      <c r="C10">
        <v>5</v>
      </c>
      <c r="D10" s="29">
        <v>548</v>
      </c>
      <c r="E10" s="26">
        <f t="shared" si="0"/>
        <v>0</v>
      </c>
    </row>
    <row r="11" spans="1:10" x14ac:dyDescent="0.7">
      <c r="B11" t="s">
        <v>72</v>
      </c>
      <c r="C11">
        <v>65</v>
      </c>
      <c r="D11" s="29">
        <v>654</v>
      </c>
      <c r="E11" s="26">
        <f t="shared" si="0"/>
        <v>0</v>
      </c>
    </row>
    <row r="12" spans="1:10" x14ac:dyDescent="0.7">
      <c r="B12" t="s">
        <v>73</v>
      </c>
      <c r="C12">
        <v>3</v>
      </c>
      <c r="D12" s="29">
        <v>58</v>
      </c>
      <c r="E12" s="26">
        <f t="shared" si="0"/>
        <v>0</v>
      </c>
    </row>
    <row r="13" spans="1:10" x14ac:dyDescent="0.7">
      <c r="B13" t="s">
        <v>74</v>
      </c>
      <c r="C13">
        <v>65</v>
      </c>
      <c r="D13" s="29">
        <v>846</v>
      </c>
      <c r="E13" s="26">
        <f t="shared" si="0"/>
        <v>0.05</v>
      </c>
    </row>
    <row r="14" spans="1:10" x14ac:dyDescent="0.7">
      <c r="B14" t="s">
        <v>75</v>
      </c>
      <c r="C14">
        <v>3</v>
      </c>
      <c r="D14" s="29">
        <v>548</v>
      </c>
      <c r="E14" s="26">
        <f t="shared" si="0"/>
        <v>0</v>
      </c>
    </row>
    <row r="15" spans="1:10" x14ac:dyDescent="0.7">
      <c r="B15" t="s">
        <v>76</v>
      </c>
      <c r="C15">
        <v>45</v>
      </c>
      <c r="D15" s="29">
        <v>984</v>
      </c>
      <c r="E15" s="26">
        <f t="shared" si="0"/>
        <v>0</v>
      </c>
    </row>
    <row r="16" spans="1:10" x14ac:dyDescent="0.7">
      <c r="B16" t="s">
        <v>77</v>
      </c>
      <c r="C16">
        <v>344</v>
      </c>
      <c r="D16" s="29">
        <v>587</v>
      </c>
      <c r="E16" s="26">
        <f t="shared" si="0"/>
        <v>0</v>
      </c>
    </row>
    <row r="17" spans="2:10" x14ac:dyDescent="0.7">
      <c r="B17" t="s">
        <v>78</v>
      </c>
      <c r="C17">
        <v>87</v>
      </c>
      <c r="D17" s="29">
        <v>98</v>
      </c>
      <c r="E17" s="26">
        <f t="shared" si="0"/>
        <v>0.05</v>
      </c>
    </row>
    <row r="18" spans="2:10" x14ac:dyDescent="0.7">
      <c r="B18" t="s">
        <v>79</v>
      </c>
      <c r="C18">
        <v>44</v>
      </c>
      <c r="D18" s="29">
        <v>654</v>
      </c>
      <c r="E18" s="26">
        <f t="shared" si="0"/>
        <v>0</v>
      </c>
    </row>
    <row r="19" spans="2:10" x14ac:dyDescent="0.7">
      <c r="B19" t="s">
        <v>80</v>
      </c>
      <c r="C19">
        <v>2</v>
      </c>
      <c r="D19" s="29">
        <v>89</v>
      </c>
      <c r="E19" s="26">
        <f t="shared" si="0"/>
        <v>0</v>
      </c>
    </row>
    <row r="20" spans="2:10" x14ac:dyDescent="0.7">
      <c r="B20" t="s">
        <v>87</v>
      </c>
      <c r="C20">
        <v>50</v>
      </c>
      <c r="D20" s="29">
        <v>846</v>
      </c>
      <c r="E20" s="26">
        <f t="shared" si="0"/>
        <v>0</v>
      </c>
    </row>
    <row r="21" spans="2:10" x14ac:dyDescent="0.7">
      <c r="B21" t="s">
        <v>81</v>
      </c>
      <c r="C21">
        <v>14</v>
      </c>
      <c r="D21" s="29">
        <v>548</v>
      </c>
      <c r="E21" s="26">
        <f t="shared" si="0"/>
        <v>0.05</v>
      </c>
    </row>
    <row r="22" spans="2:10" x14ac:dyDescent="0.7">
      <c r="B22" t="s">
        <v>82</v>
      </c>
      <c r="C22">
        <v>67</v>
      </c>
      <c r="D22" s="29">
        <v>600</v>
      </c>
      <c r="E22" s="26">
        <f t="shared" si="0"/>
        <v>0</v>
      </c>
    </row>
    <row r="24" spans="2:10" x14ac:dyDescent="0.7">
      <c r="B24" s="48" t="s">
        <v>118</v>
      </c>
      <c r="C24" s="48"/>
      <c r="D24" s="48"/>
      <c r="E24" s="48"/>
      <c r="F24" s="48"/>
      <c r="G24" s="48"/>
      <c r="H24" s="48"/>
      <c r="I24" s="48"/>
      <c r="J24" s="48"/>
    </row>
  </sheetData>
  <mergeCells count="2">
    <mergeCell ref="A1:J1"/>
    <mergeCell ref="B24:J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5AB7B-B2CB-4083-AE2F-9D12C1088831}">
  <dimension ref="B2:F25"/>
  <sheetViews>
    <sheetView zoomScale="40" zoomScaleNormal="40" workbookViewId="0">
      <selection activeCell="G7" sqref="G7"/>
    </sheetView>
  </sheetViews>
  <sheetFormatPr defaultRowHeight="46.5" x14ac:dyDescent="0.7"/>
  <cols>
    <col min="2" max="3" width="16.33203125" customWidth="1"/>
    <col min="4" max="4" width="11.875" customWidth="1"/>
    <col min="5" max="5" width="12.70703125" customWidth="1"/>
  </cols>
  <sheetData>
    <row r="2" spans="2:5" x14ac:dyDescent="0.7">
      <c r="B2" s="22" t="s">
        <v>62</v>
      </c>
      <c r="C2" s="22" t="s">
        <v>86</v>
      </c>
      <c r="D2" s="22" t="s">
        <v>63</v>
      </c>
      <c r="E2" s="25" t="s">
        <v>94</v>
      </c>
    </row>
    <row r="3" spans="2:5" x14ac:dyDescent="0.7">
      <c r="B3" t="s">
        <v>64</v>
      </c>
      <c r="C3" t="str">
        <f>MID(B3,5,3)</f>
        <v>PRT</v>
      </c>
      <c r="D3">
        <v>45</v>
      </c>
      <c r="E3" s="29">
        <v>345</v>
      </c>
    </row>
    <row r="4" spans="2:5" x14ac:dyDescent="0.7">
      <c r="B4" t="s">
        <v>65</v>
      </c>
      <c r="C4" t="str">
        <f t="shared" ref="C4:C22" si="0">MID(B4,5,3)</f>
        <v>FIN</v>
      </c>
      <c r="D4">
        <v>66</v>
      </c>
      <c r="E4" s="29">
        <v>743</v>
      </c>
    </row>
    <row r="5" spans="2:5" x14ac:dyDescent="0.7">
      <c r="B5" t="s">
        <v>66</v>
      </c>
      <c r="C5" t="str">
        <f t="shared" si="0"/>
        <v>FIN</v>
      </c>
      <c r="D5">
        <v>14</v>
      </c>
      <c r="E5" s="29">
        <v>6546</v>
      </c>
    </row>
    <row r="6" spans="2:5" x14ac:dyDescent="0.7">
      <c r="B6" t="s">
        <v>67</v>
      </c>
      <c r="C6" t="str">
        <f t="shared" si="0"/>
        <v>FIN</v>
      </c>
      <c r="D6">
        <v>23</v>
      </c>
      <c r="E6" s="29">
        <v>566</v>
      </c>
    </row>
    <row r="7" spans="2:5" x14ac:dyDescent="0.7">
      <c r="B7" t="s">
        <v>68</v>
      </c>
      <c r="C7" t="str">
        <f t="shared" si="0"/>
        <v>FIN</v>
      </c>
      <c r="D7">
        <v>54</v>
      </c>
      <c r="E7" s="29">
        <v>54</v>
      </c>
    </row>
    <row r="8" spans="2:5" x14ac:dyDescent="0.7">
      <c r="B8" t="s">
        <v>69</v>
      </c>
      <c r="C8" t="str">
        <f t="shared" si="0"/>
        <v>PRT</v>
      </c>
      <c r="D8">
        <v>65</v>
      </c>
      <c r="E8" s="29">
        <v>186</v>
      </c>
    </row>
    <row r="9" spans="2:5" x14ac:dyDescent="0.7">
      <c r="B9" t="s">
        <v>70</v>
      </c>
      <c r="C9" t="str">
        <f t="shared" si="0"/>
        <v>FIN</v>
      </c>
      <c r="D9">
        <v>22</v>
      </c>
      <c r="E9" s="29">
        <v>354</v>
      </c>
    </row>
    <row r="10" spans="2:5" x14ac:dyDescent="0.7">
      <c r="B10" t="s">
        <v>71</v>
      </c>
      <c r="C10" t="str">
        <f t="shared" si="0"/>
        <v>PRT</v>
      </c>
      <c r="D10">
        <v>5</v>
      </c>
      <c r="E10" s="29">
        <v>548</v>
      </c>
    </row>
    <row r="11" spans="2:5" x14ac:dyDescent="0.7">
      <c r="B11" t="s">
        <v>72</v>
      </c>
      <c r="C11" t="str">
        <f t="shared" si="0"/>
        <v>SUB</v>
      </c>
      <c r="D11">
        <v>65</v>
      </c>
      <c r="E11" s="29">
        <v>654</v>
      </c>
    </row>
    <row r="12" spans="2:5" x14ac:dyDescent="0.7">
      <c r="B12" t="s">
        <v>73</v>
      </c>
      <c r="C12" t="str">
        <f t="shared" si="0"/>
        <v>SUB</v>
      </c>
      <c r="D12">
        <v>3</v>
      </c>
      <c r="E12" s="29">
        <v>58</v>
      </c>
    </row>
    <row r="13" spans="2:5" x14ac:dyDescent="0.7">
      <c r="B13" t="s">
        <v>74</v>
      </c>
      <c r="C13" t="str">
        <f t="shared" si="0"/>
        <v>FIN</v>
      </c>
      <c r="D13">
        <v>65</v>
      </c>
      <c r="E13" s="29">
        <v>846</v>
      </c>
    </row>
    <row r="14" spans="2:5" x14ac:dyDescent="0.7">
      <c r="B14" t="s">
        <v>75</v>
      </c>
      <c r="C14" t="str">
        <f t="shared" si="0"/>
        <v>PRT</v>
      </c>
      <c r="D14">
        <v>3</v>
      </c>
      <c r="E14" s="29">
        <v>548</v>
      </c>
    </row>
    <row r="15" spans="2:5" x14ac:dyDescent="0.7">
      <c r="B15" t="s">
        <v>76</v>
      </c>
      <c r="C15" t="str">
        <f t="shared" si="0"/>
        <v>SUB</v>
      </c>
      <c r="D15">
        <v>45</v>
      </c>
      <c r="E15" s="29">
        <v>984</v>
      </c>
    </row>
    <row r="16" spans="2:5" x14ac:dyDescent="0.7">
      <c r="B16" t="s">
        <v>77</v>
      </c>
      <c r="C16" t="str">
        <f t="shared" si="0"/>
        <v>SUB</v>
      </c>
      <c r="D16">
        <v>344</v>
      </c>
      <c r="E16" s="29">
        <v>587</v>
      </c>
    </row>
    <row r="17" spans="2:6" x14ac:dyDescent="0.7">
      <c r="B17" t="s">
        <v>78</v>
      </c>
      <c r="C17" t="str">
        <f t="shared" si="0"/>
        <v>FIN</v>
      </c>
      <c r="D17">
        <v>87</v>
      </c>
      <c r="E17" s="29">
        <v>98</v>
      </c>
    </row>
    <row r="18" spans="2:6" x14ac:dyDescent="0.7">
      <c r="B18" t="s">
        <v>79</v>
      </c>
      <c r="C18" t="str">
        <f t="shared" si="0"/>
        <v>SUB</v>
      </c>
      <c r="D18">
        <v>44</v>
      </c>
      <c r="E18" s="29">
        <v>654</v>
      </c>
    </row>
    <row r="19" spans="2:6" x14ac:dyDescent="0.7">
      <c r="B19" t="s">
        <v>80</v>
      </c>
      <c r="C19" t="str">
        <f t="shared" si="0"/>
        <v>PRT</v>
      </c>
      <c r="D19">
        <v>2</v>
      </c>
      <c r="E19" s="29">
        <v>89</v>
      </c>
    </row>
    <row r="20" spans="2:6" x14ac:dyDescent="0.7">
      <c r="B20" t="s">
        <v>87</v>
      </c>
      <c r="C20" t="str">
        <f t="shared" si="0"/>
        <v>FIN</v>
      </c>
      <c r="D20">
        <v>50</v>
      </c>
      <c r="E20" s="29">
        <v>846</v>
      </c>
    </row>
    <row r="21" spans="2:6" x14ac:dyDescent="0.7">
      <c r="B21" t="s">
        <v>81</v>
      </c>
      <c r="C21" t="str">
        <f t="shared" si="0"/>
        <v>FIN</v>
      </c>
      <c r="D21">
        <v>14</v>
      </c>
      <c r="E21" s="29">
        <v>548</v>
      </c>
    </row>
    <row r="22" spans="2:6" x14ac:dyDescent="0.7">
      <c r="B22" t="s">
        <v>82</v>
      </c>
      <c r="C22" t="str">
        <f t="shared" si="0"/>
        <v>SUB</v>
      </c>
      <c r="D22">
        <v>67</v>
      </c>
      <c r="E22" s="29">
        <v>600</v>
      </c>
    </row>
    <row r="23" spans="2:6" x14ac:dyDescent="0.7">
      <c r="E23" s="29">
        <f>SUMIF(E3:E22,"&gt;500")</f>
        <v>14670</v>
      </c>
      <c r="F23" t="s">
        <v>119</v>
      </c>
    </row>
    <row r="24" spans="2:6" x14ac:dyDescent="0.7">
      <c r="E24" s="29">
        <f>SUMIF(D3:D22,"&gt;50",E3:E22)</f>
        <v>3768</v>
      </c>
      <c r="F24" t="s">
        <v>121</v>
      </c>
    </row>
    <row r="25" spans="2:6" x14ac:dyDescent="0.7">
      <c r="E25">
        <f>SUMIF(C3:C22, "FIN", E3:E22)</f>
        <v>10601</v>
      </c>
      <c r="F25" t="s">
        <v>120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7E5D-FD6A-4F57-962D-233FACEEF4E9}">
  <dimension ref="B2:H15"/>
  <sheetViews>
    <sheetView topLeftCell="C5" zoomScale="40" zoomScaleNormal="40" workbookViewId="0">
      <selection activeCell="F15" sqref="F15"/>
    </sheetView>
  </sheetViews>
  <sheetFormatPr defaultRowHeight="46.5" x14ac:dyDescent="0.7"/>
  <cols>
    <col min="2" max="2" width="46.33203125" customWidth="1"/>
    <col min="3" max="3" width="13.95703125" customWidth="1"/>
    <col min="5" max="5" width="11.375" customWidth="1"/>
    <col min="6" max="6" width="40.9140625" customWidth="1"/>
    <col min="7" max="7" width="13.75" customWidth="1"/>
    <col min="8" max="8" width="10.125" bestFit="1" customWidth="1"/>
  </cols>
  <sheetData>
    <row r="2" spans="2:8" ht="47.25" thickBot="1" x14ac:dyDescent="0.75">
      <c r="B2" s="36" t="s">
        <v>122</v>
      </c>
      <c r="C2" s="36" t="s">
        <v>123</v>
      </c>
      <c r="E2" s="36" t="s">
        <v>135</v>
      </c>
      <c r="F2" s="36" t="s">
        <v>136</v>
      </c>
      <c r="G2" s="36" t="s">
        <v>123</v>
      </c>
    </row>
    <row r="3" spans="2:8" x14ac:dyDescent="0.7">
      <c r="B3" t="s">
        <v>124</v>
      </c>
      <c r="C3" s="37">
        <v>9863</v>
      </c>
      <c r="E3" s="27">
        <f>LEFT(B3,4)*1</f>
        <v>1510</v>
      </c>
      <c r="F3" t="str">
        <f>MID(B3,6,10000)</f>
        <v>Оборудование</v>
      </c>
      <c r="G3" s="37">
        <v>9863</v>
      </c>
    </row>
    <row r="4" spans="2:8" x14ac:dyDescent="0.7">
      <c r="B4" t="s">
        <v>125</v>
      </c>
      <c r="C4" s="38">
        <v>-9502</v>
      </c>
      <c r="E4" s="27">
        <f t="shared" ref="E4:E12" si="0">LEFT(B4,4)*1</f>
        <v>1540</v>
      </c>
      <c r="F4" t="str">
        <f t="shared" ref="F4:F12" si="1">MID(B4,6,10000)</f>
        <v>Накопленная амортизация</v>
      </c>
      <c r="G4" s="38">
        <v>-9502</v>
      </c>
    </row>
    <row r="5" spans="2:8" x14ac:dyDescent="0.7">
      <c r="B5" t="s">
        <v>126</v>
      </c>
      <c r="C5" s="37">
        <v>5613</v>
      </c>
      <c r="E5" s="27">
        <f t="shared" si="0"/>
        <v>1690</v>
      </c>
      <c r="F5" t="str">
        <f t="shared" si="1"/>
        <v>Земля</v>
      </c>
      <c r="G5" s="37">
        <v>5613</v>
      </c>
    </row>
    <row r="6" spans="2:8" x14ac:dyDescent="0.7">
      <c r="B6" t="s">
        <v>127</v>
      </c>
      <c r="C6" s="37">
        <v>8653</v>
      </c>
      <c r="E6" s="27">
        <f t="shared" si="0"/>
        <v>1915</v>
      </c>
      <c r="F6" t="str">
        <f t="shared" si="1"/>
        <v>Прочие активы</v>
      </c>
      <c r="G6" s="37">
        <v>8653</v>
      </c>
    </row>
    <row r="7" spans="2:8" x14ac:dyDescent="0.7">
      <c r="B7" t="s">
        <v>128</v>
      </c>
      <c r="C7" s="38">
        <v>-6937</v>
      </c>
      <c r="E7" s="27">
        <f t="shared" si="0"/>
        <v>2320</v>
      </c>
      <c r="F7" t="str">
        <f t="shared" si="1"/>
        <v>Заработная плата</v>
      </c>
      <c r="G7" s="38">
        <v>-6937</v>
      </c>
    </row>
    <row r="8" spans="2:8" x14ac:dyDescent="0.7">
      <c r="B8" t="s">
        <v>129</v>
      </c>
      <c r="C8" s="38">
        <v>-6826</v>
      </c>
      <c r="E8" s="27">
        <f t="shared" si="0"/>
        <v>2420</v>
      </c>
      <c r="F8" t="str">
        <f t="shared" si="1"/>
        <v>Текущая часть долгосрочной задолженности</v>
      </c>
      <c r="G8" s="38">
        <v>-6826</v>
      </c>
    </row>
    <row r="9" spans="2:8" x14ac:dyDescent="0.7">
      <c r="B9" t="s">
        <v>133</v>
      </c>
      <c r="C9" s="38">
        <v>-3717</v>
      </c>
      <c r="E9" s="27">
        <f t="shared" si="0"/>
        <v>2440</v>
      </c>
      <c r="F9" t="str">
        <f t="shared" si="1"/>
        <v>Депозиты от клиентов</v>
      </c>
      <c r="G9" s="38">
        <v>-3717</v>
      </c>
      <c r="H9" s="29"/>
    </row>
    <row r="10" spans="2:8" x14ac:dyDescent="0.7">
      <c r="B10" t="s">
        <v>130</v>
      </c>
      <c r="C10" s="37">
        <v>73</v>
      </c>
      <c r="E10" s="27">
        <f t="shared" si="0"/>
        <v>5800</v>
      </c>
      <c r="F10" t="str">
        <f t="shared" si="1"/>
        <v>Стоимость проданных товаров, другое</v>
      </c>
      <c r="G10" s="37">
        <v>73</v>
      </c>
    </row>
    <row r="11" spans="2:8" x14ac:dyDescent="0.7">
      <c r="B11" t="s">
        <v>131</v>
      </c>
      <c r="C11" s="38">
        <v>-4443</v>
      </c>
      <c r="E11" s="27">
        <f t="shared" si="0"/>
        <v>5900</v>
      </c>
      <c r="F11" t="str">
        <f t="shared" si="1"/>
        <v>Возврат покупок и пособия</v>
      </c>
      <c r="G11" s="38">
        <v>-4443</v>
      </c>
    </row>
    <row r="12" spans="2:8" x14ac:dyDescent="0.7">
      <c r="B12" t="s">
        <v>132</v>
      </c>
      <c r="C12" s="37">
        <v>7223</v>
      </c>
      <c r="E12" s="27">
        <f t="shared" si="0"/>
        <v>6300</v>
      </c>
      <c r="F12" t="str">
        <f t="shared" si="1"/>
        <v>Расходы на благотворительные взносы</v>
      </c>
      <c r="G12" s="37">
        <v>7223</v>
      </c>
    </row>
    <row r="14" spans="2:8" x14ac:dyDescent="0.7">
      <c r="B14" t="s">
        <v>134</v>
      </c>
      <c r="C14" s="29">
        <f>SUMIF(C3:C12,"&gt;0")</f>
        <v>31425</v>
      </c>
      <c r="F14" t="s">
        <v>137</v>
      </c>
      <c r="G14" s="39">
        <f>SUMIF(E3:E12,"&lt;2500",G3:G12)</f>
        <v>-2853</v>
      </c>
    </row>
    <row r="15" spans="2:8" x14ac:dyDescent="0.7">
      <c r="B15" t="s">
        <v>10</v>
      </c>
      <c r="C15" s="29">
        <f>ABS(SUMIF(C3:C12, "&lt;0"))</f>
        <v>31425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41242-5D76-4FBB-AF7B-198AF960BC34}">
  <dimension ref="B2:D21"/>
  <sheetViews>
    <sheetView zoomScale="40" zoomScaleNormal="40" workbookViewId="0">
      <selection activeCell="C11" sqref="C11"/>
    </sheetView>
  </sheetViews>
  <sheetFormatPr defaultRowHeight="46.5" x14ac:dyDescent="0.7"/>
  <cols>
    <col min="2" max="2" width="13.375" customWidth="1"/>
    <col min="3" max="3" width="40.7890625" customWidth="1"/>
    <col min="4" max="4" width="15.625" customWidth="1"/>
  </cols>
  <sheetData>
    <row r="2" spans="2:4" ht="73.5" customHeight="1" thickBot="1" x14ac:dyDescent="0.75">
      <c r="B2" s="40" t="s">
        <v>135</v>
      </c>
      <c r="C2" s="40" t="s">
        <v>136</v>
      </c>
      <c r="D2" s="40" t="s">
        <v>123</v>
      </c>
    </row>
    <row r="3" spans="2:4" x14ac:dyDescent="0.7">
      <c r="B3">
        <v>1510</v>
      </c>
      <c r="C3" t="s">
        <v>139</v>
      </c>
      <c r="D3">
        <v>9863</v>
      </c>
    </row>
    <row r="4" spans="2:4" x14ac:dyDescent="0.7">
      <c r="B4">
        <v>1540</v>
      </c>
      <c r="C4" t="s">
        <v>140</v>
      </c>
      <c r="D4" s="41">
        <v>-9502</v>
      </c>
    </row>
    <row r="5" spans="2:4" x14ac:dyDescent="0.7">
      <c r="B5">
        <v>1690</v>
      </c>
      <c r="C5" t="s">
        <v>141</v>
      </c>
      <c r="D5">
        <v>5613</v>
      </c>
    </row>
    <row r="6" spans="2:4" x14ac:dyDescent="0.7">
      <c r="B6">
        <v>1915</v>
      </c>
      <c r="C6" t="s">
        <v>142</v>
      </c>
      <c r="D6">
        <v>8653</v>
      </c>
    </row>
    <row r="7" spans="2:4" x14ac:dyDescent="0.7">
      <c r="B7">
        <v>2320</v>
      </c>
      <c r="C7" t="s">
        <v>143</v>
      </c>
      <c r="D7" s="41">
        <v>-6937</v>
      </c>
    </row>
    <row r="8" spans="2:4" x14ac:dyDescent="0.7">
      <c r="B8">
        <v>2420</v>
      </c>
      <c r="C8" t="s">
        <v>144</v>
      </c>
      <c r="D8" s="41">
        <v>-6826</v>
      </c>
    </row>
    <row r="9" spans="2:4" x14ac:dyDescent="0.7">
      <c r="B9">
        <v>2440</v>
      </c>
      <c r="C9" t="s">
        <v>145</v>
      </c>
      <c r="D9" s="41">
        <v>-3717</v>
      </c>
    </row>
    <row r="10" spans="2:4" x14ac:dyDescent="0.7">
      <c r="B10">
        <v>5800</v>
      </c>
      <c r="C10" t="s">
        <v>146</v>
      </c>
      <c r="D10">
        <v>73</v>
      </c>
    </row>
    <row r="11" spans="2:4" x14ac:dyDescent="0.7">
      <c r="B11">
        <v>5900</v>
      </c>
      <c r="C11" t="s">
        <v>147</v>
      </c>
      <c r="D11" s="41">
        <v>-4443</v>
      </c>
    </row>
    <row r="12" spans="2:4" x14ac:dyDescent="0.7">
      <c r="B12">
        <v>6300</v>
      </c>
      <c r="C12" t="s">
        <v>148</v>
      </c>
      <c r="D12">
        <v>7223</v>
      </c>
    </row>
    <row r="13" spans="2:4" x14ac:dyDescent="0.7">
      <c r="B13">
        <v>1510</v>
      </c>
      <c r="C13" t="s">
        <v>139</v>
      </c>
      <c r="D13">
        <v>5863</v>
      </c>
    </row>
    <row r="14" spans="2:4" x14ac:dyDescent="0.7">
      <c r="B14">
        <v>1915</v>
      </c>
      <c r="C14" t="s">
        <v>142</v>
      </c>
      <c r="D14">
        <v>3574</v>
      </c>
    </row>
    <row r="17" spans="3:4" x14ac:dyDescent="0.7">
      <c r="C17" t="s">
        <v>149</v>
      </c>
      <c r="D17">
        <f>SUMIF(B3:B14,1510,D3:D14)</f>
        <v>15726</v>
      </c>
    </row>
    <row r="18" spans="3:4" x14ac:dyDescent="0.7">
      <c r="C18" t="s">
        <v>150</v>
      </c>
      <c r="D18">
        <f>SUMIF(B3:B14,1915,D3:D14)</f>
        <v>12227</v>
      </c>
    </row>
    <row r="19" spans="3:4" x14ac:dyDescent="0.7">
      <c r="C19" t="s">
        <v>138</v>
      </c>
      <c r="D19">
        <f>SUMIF(B3:B14,1510,D3:D14)+SUMIF(B3:B14,1915,D3:D14)</f>
        <v>27953</v>
      </c>
    </row>
    <row r="21" spans="3:4" x14ac:dyDescent="0.7">
      <c r="C21" t="s">
        <v>151</v>
      </c>
      <c r="D21">
        <f>SUMIFS(D3:D14,B3:B14,1510,B3:B14,1915)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EAA28-985D-4327-9A17-0CC8A6A13BF8}">
  <dimension ref="A1:C17"/>
  <sheetViews>
    <sheetView topLeftCell="A7" zoomScale="40" zoomScaleNormal="40" workbookViewId="0">
      <selection activeCell="E11" sqref="E11"/>
    </sheetView>
  </sheetViews>
  <sheetFormatPr defaultRowHeight="46.5" x14ac:dyDescent="0.7"/>
  <cols>
    <col min="2" max="2" width="27.9140625" customWidth="1"/>
    <col min="3" max="3" width="17.375" customWidth="1"/>
  </cols>
  <sheetData>
    <row r="1" spans="2:3" ht="93.75" customHeight="1" thickBot="1" x14ac:dyDescent="0.75">
      <c r="B1" s="36" t="s">
        <v>152</v>
      </c>
      <c r="C1" s="36" t="s">
        <v>153</v>
      </c>
    </row>
    <row r="2" spans="2:3" x14ac:dyDescent="0.7">
      <c r="B2" t="s">
        <v>154</v>
      </c>
      <c r="C2" s="37">
        <v>2714745.31</v>
      </c>
    </row>
    <row r="3" spans="2:3" x14ac:dyDescent="0.7">
      <c r="B3" t="s">
        <v>154</v>
      </c>
      <c r="C3" s="37">
        <v>1434322.83</v>
      </c>
    </row>
    <row r="4" spans="2:3" x14ac:dyDescent="0.7">
      <c r="B4" t="s">
        <v>155</v>
      </c>
      <c r="C4" s="37">
        <v>1983811.7</v>
      </c>
    </row>
    <row r="5" spans="2:3" x14ac:dyDescent="0.7">
      <c r="B5" t="s">
        <v>156</v>
      </c>
      <c r="C5" s="37">
        <v>929430.78</v>
      </c>
    </row>
    <row r="6" spans="2:3" x14ac:dyDescent="0.7">
      <c r="B6" t="s">
        <v>157</v>
      </c>
      <c r="C6" s="37">
        <v>3154066.47</v>
      </c>
    </row>
    <row r="7" spans="2:3" x14ac:dyDescent="0.7">
      <c r="B7" t="s">
        <v>156</v>
      </c>
      <c r="C7" s="37">
        <v>1264430.6399999999</v>
      </c>
    </row>
    <row r="8" spans="2:3" x14ac:dyDescent="0.7">
      <c r="B8" t="s">
        <v>154</v>
      </c>
      <c r="C8" s="37">
        <v>4674274.42</v>
      </c>
    </row>
    <row r="9" spans="2:3" x14ac:dyDescent="0.7">
      <c r="B9" t="s">
        <v>155</v>
      </c>
      <c r="C9" s="37">
        <v>940684.25</v>
      </c>
    </row>
    <row r="10" spans="2:3" x14ac:dyDescent="0.7">
      <c r="B10" t="s">
        <v>156</v>
      </c>
      <c r="C10" s="37">
        <v>2497381.2400000002</v>
      </c>
    </row>
    <row r="11" spans="2:3" x14ac:dyDescent="0.7">
      <c r="B11" t="s">
        <v>154</v>
      </c>
      <c r="C11" s="37">
        <v>1728260.75</v>
      </c>
    </row>
    <row r="12" spans="2:3" x14ac:dyDescent="0.7">
      <c r="B12" t="s">
        <v>154</v>
      </c>
      <c r="C12" s="37">
        <v>2345722</v>
      </c>
    </row>
    <row r="13" spans="2:3" x14ac:dyDescent="0.7">
      <c r="B13" t="s">
        <v>157</v>
      </c>
      <c r="C13" s="37">
        <v>5223565</v>
      </c>
    </row>
    <row r="15" spans="2:3" x14ac:dyDescent="0.7">
      <c r="B15" t="s">
        <v>158</v>
      </c>
      <c r="C15" s="29">
        <f>SUMIF(B2:B13, "Север",C2:C13)</f>
        <v>2924495.95</v>
      </c>
    </row>
    <row r="16" spans="2:3" x14ac:dyDescent="0.7">
      <c r="B16" t="s">
        <v>159</v>
      </c>
      <c r="C16" s="29">
        <f>SUMIF(B2:B13,"Юг",C2:C13)</f>
        <v>8377631.4700000007</v>
      </c>
    </row>
    <row r="17" spans="1:3" x14ac:dyDescent="0.7">
      <c r="A17" t="s">
        <v>156</v>
      </c>
      <c r="B17" t="s">
        <v>160</v>
      </c>
      <c r="C17" s="29">
        <f>SUMIF(B2:B13, A17, C2:C13)</f>
        <v>4691242.66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6606B-C68F-4F7D-A52E-AE094654C7DA}">
  <dimension ref="B2:F18"/>
  <sheetViews>
    <sheetView topLeftCell="A9" zoomScale="40" zoomScaleNormal="40" workbookViewId="0">
      <selection activeCell="E15" sqref="E15"/>
    </sheetView>
  </sheetViews>
  <sheetFormatPr defaultRowHeight="46.5" x14ac:dyDescent="0.7"/>
  <cols>
    <col min="2" max="2" width="30.33203125" customWidth="1"/>
    <col min="3" max="3" width="12.5" customWidth="1"/>
    <col min="4" max="4" width="9.20703125" bestFit="1" customWidth="1"/>
    <col min="5" max="5" width="33.20703125" customWidth="1"/>
    <col min="6" max="6" width="45.6640625" customWidth="1"/>
  </cols>
  <sheetData>
    <row r="2" spans="2:6" ht="47.25" thickBot="1" x14ac:dyDescent="0.75">
      <c r="B2" s="36" t="s">
        <v>161</v>
      </c>
      <c r="C2" s="36" t="s">
        <v>162</v>
      </c>
    </row>
    <row r="3" spans="2:6" x14ac:dyDescent="0.7">
      <c r="B3" s="42">
        <v>45064</v>
      </c>
      <c r="C3" s="39">
        <v>34</v>
      </c>
    </row>
    <row r="4" spans="2:6" x14ac:dyDescent="0.7">
      <c r="B4" s="42">
        <v>45109</v>
      </c>
      <c r="C4" s="39">
        <v>54</v>
      </c>
    </row>
    <row r="5" spans="2:6" x14ac:dyDescent="0.7">
      <c r="B5" s="42">
        <v>44951</v>
      </c>
      <c r="C5" s="39">
        <v>67</v>
      </c>
    </row>
    <row r="6" spans="2:6" x14ac:dyDescent="0.7">
      <c r="B6" s="42">
        <v>45149</v>
      </c>
      <c r="C6" s="39">
        <v>21</v>
      </c>
    </row>
    <row r="7" spans="2:6" x14ac:dyDescent="0.7">
      <c r="B7" s="42">
        <v>44999</v>
      </c>
      <c r="C7" s="39">
        <v>54</v>
      </c>
    </row>
    <row r="8" spans="2:6" x14ac:dyDescent="0.7">
      <c r="B8" s="42">
        <v>45064</v>
      </c>
      <c r="C8" s="39">
        <v>67</v>
      </c>
    </row>
    <row r="9" spans="2:6" x14ac:dyDescent="0.7">
      <c r="B9" s="42">
        <v>45109</v>
      </c>
      <c r="C9" s="39">
        <v>32</v>
      </c>
    </row>
    <row r="10" spans="2:6" x14ac:dyDescent="0.7">
      <c r="B10" s="42">
        <v>44951</v>
      </c>
      <c r="C10" s="39">
        <v>45</v>
      </c>
      <c r="D10" t="s">
        <v>38</v>
      </c>
      <c r="E10" t="s">
        <v>43</v>
      </c>
      <c r="F10" t="str">
        <f ca="1">D10&amp;E10&amp;TODAY()</f>
        <v>ИванИванов45177</v>
      </c>
    </row>
    <row r="11" spans="2:6" x14ac:dyDescent="0.7">
      <c r="B11" s="42">
        <v>45149</v>
      </c>
      <c r="C11" s="39">
        <v>76</v>
      </c>
      <c r="F11" s="42" t="str">
        <f>"СЕГОДНЯ()"</f>
        <v>СЕГОДНЯ()</v>
      </c>
    </row>
    <row r="12" spans="2:6" x14ac:dyDescent="0.7">
      <c r="B12" s="42">
        <v>44999</v>
      </c>
      <c r="C12" s="39">
        <v>33</v>
      </c>
      <c r="D12" s="39"/>
      <c r="F12" s="42">
        <f ca="1">TODAY()</f>
        <v>45177</v>
      </c>
    </row>
    <row r="13" spans="2:6" x14ac:dyDescent="0.7">
      <c r="B13" s="42">
        <f ca="1">TODAY()</f>
        <v>45177</v>
      </c>
      <c r="C13" s="39">
        <v>86</v>
      </c>
    </row>
    <row r="14" spans="2:6" x14ac:dyDescent="0.7">
      <c r="B14" s="42">
        <f ca="1">TODAY()</f>
        <v>45177</v>
      </c>
      <c r="C14" s="39">
        <v>23</v>
      </c>
      <c r="E14" s="42">
        <v>44951</v>
      </c>
      <c r="F14" t="b">
        <f ca="1">E14&gt;=TODAY()</f>
        <v>0</v>
      </c>
    </row>
    <row r="15" spans="2:6" x14ac:dyDescent="0.7">
      <c r="B15" s="42"/>
      <c r="C15" s="39"/>
      <c r="E15" s="50">
        <v>44951</v>
      </c>
      <c r="F15" s="50">
        <v>45177.456842</v>
      </c>
    </row>
    <row r="16" spans="2:6" x14ac:dyDescent="0.7">
      <c r="B16" t="s">
        <v>163</v>
      </c>
      <c r="C16">
        <f ca="1">SUMIF(B3:B14,TODAY(),C3:C14)</f>
        <v>109</v>
      </c>
    </row>
    <row r="17" spans="2:3" x14ac:dyDescent="0.7">
      <c r="B17" t="s">
        <v>164</v>
      </c>
      <c r="C17">
        <f ca="1">SUMIF(B3:B14,"&lt;"&amp;TODAY(),C3:C14)</f>
        <v>483</v>
      </c>
    </row>
    <row r="18" spans="2:3" x14ac:dyDescent="0.7">
      <c r="B18" t="s">
        <v>165</v>
      </c>
      <c r="C18">
        <f ca="1">SUMIFS(C3:C14, B3:B14,"&gt;=01.03.2023", B3:B14, "&lt;=31.08.2023")</f>
        <v>371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3380-0D33-4EAF-AC0C-A2E1E2EE067D}">
  <dimension ref="B2:G235"/>
  <sheetViews>
    <sheetView zoomScale="40" zoomScaleNormal="40" workbookViewId="0">
      <selection activeCell="D6" sqref="D6"/>
    </sheetView>
  </sheetViews>
  <sheetFormatPr defaultRowHeight="46.5" x14ac:dyDescent="0.7"/>
  <cols>
    <col min="2" max="2" width="12.20703125" customWidth="1"/>
    <col min="4" max="4" width="15.75" customWidth="1"/>
    <col min="6" max="6" width="15.5390625" customWidth="1"/>
    <col min="7" max="7" width="11.0390625" customWidth="1"/>
  </cols>
  <sheetData>
    <row r="2" spans="2:7" ht="106.5" customHeight="1" x14ac:dyDescent="0.7">
      <c r="B2" s="22" t="s">
        <v>166</v>
      </c>
      <c r="C2" s="22" t="s">
        <v>167</v>
      </c>
      <c r="D2" s="22" t="s">
        <v>168</v>
      </c>
    </row>
    <row r="3" spans="2:7" x14ac:dyDescent="0.7">
      <c r="B3" t="s">
        <v>172</v>
      </c>
      <c r="C3">
        <v>2000</v>
      </c>
      <c r="D3" s="49">
        <v>399594</v>
      </c>
      <c r="F3" t="s">
        <v>166</v>
      </c>
      <c r="G3" s="43" t="s">
        <v>177</v>
      </c>
    </row>
    <row r="4" spans="2:7" x14ac:dyDescent="0.7">
      <c r="B4" t="s">
        <v>172</v>
      </c>
      <c r="C4">
        <v>2001</v>
      </c>
      <c r="D4" s="49">
        <v>377207</v>
      </c>
      <c r="F4" t="s">
        <v>169</v>
      </c>
      <c r="G4" s="51">
        <v>2004</v>
      </c>
    </row>
    <row r="5" spans="2:7" x14ac:dyDescent="0.7">
      <c r="B5" t="s">
        <v>172</v>
      </c>
      <c r="C5">
        <v>2002</v>
      </c>
      <c r="D5" s="49">
        <v>423676</v>
      </c>
      <c r="F5" t="s">
        <v>170</v>
      </c>
      <c r="G5" s="51">
        <v>2006</v>
      </c>
    </row>
    <row r="6" spans="2:7" x14ac:dyDescent="0.7">
      <c r="B6" t="s">
        <v>172</v>
      </c>
      <c r="C6">
        <v>2003</v>
      </c>
      <c r="D6" s="49">
        <v>539162</v>
      </c>
    </row>
    <row r="7" spans="2:7" x14ac:dyDescent="0.7">
      <c r="B7" t="s">
        <v>172</v>
      </c>
      <c r="C7">
        <v>2004</v>
      </c>
      <c r="D7" s="49">
        <v>654968</v>
      </c>
      <c r="F7" t="s">
        <v>171</v>
      </c>
      <c r="G7">
        <f>SUMIFS(D3:D212, B3:B212, G3, C3:C212, "&gt;="&amp;G4, C3:C212, "&lt;="&amp;G5)</f>
        <v>2504924</v>
      </c>
    </row>
    <row r="8" spans="2:7" x14ac:dyDescent="0.7">
      <c r="B8" t="s">
        <v>172</v>
      </c>
      <c r="C8">
        <v>2005</v>
      </c>
      <c r="D8" s="49">
        <v>730729</v>
      </c>
      <c r="F8" t="s">
        <v>193</v>
      </c>
      <c r="G8">
        <f>SUMPRODUCT((D3:D212)*(B3:B212=G3)*(C3:C212&gt;=G4)*(C3:C212&lt;=G5))</f>
        <v>2504924</v>
      </c>
    </row>
    <row r="9" spans="2:7" x14ac:dyDescent="0.7">
      <c r="B9" t="s">
        <v>172</v>
      </c>
      <c r="C9">
        <v>2006</v>
      </c>
      <c r="D9" s="49">
        <v>777933</v>
      </c>
    </row>
    <row r="10" spans="2:7" x14ac:dyDescent="0.7">
      <c r="B10" t="s">
        <v>172</v>
      </c>
      <c r="C10">
        <v>2007</v>
      </c>
      <c r="D10" s="49">
        <v>945364</v>
      </c>
    </row>
    <row r="11" spans="2:7" x14ac:dyDescent="0.7">
      <c r="B11" t="s">
        <v>172</v>
      </c>
      <c r="C11">
        <v>2008</v>
      </c>
      <c r="D11" s="49">
        <v>1051261</v>
      </c>
    </row>
    <row r="12" spans="2:7" x14ac:dyDescent="0.7">
      <c r="B12" t="s">
        <v>172</v>
      </c>
      <c r="C12">
        <v>2009</v>
      </c>
      <c r="D12" s="49">
        <v>993349</v>
      </c>
    </row>
    <row r="13" spans="2:7" x14ac:dyDescent="0.7">
      <c r="B13" t="s">
        <v>173</v>
      </c>
      <c r="C13">
        <v>2000</v>
      </c>
      <c r="D13" s="49">
        <v>233354</v>
      </c>
    </row>
    <row r="14" spans="2:7" x14ac:dyDescent="0.7">
      <c r="B14" t="s">
        <v>173</v>
      </c>
      <c r="C14">
        <v>2001</v>
      </c>
      <c r="D14" s="49">
        <v>232686</v>
      </c>
    </row>
    <row r="15" spans="2:7" x14ac:dyDescent="0.7">
      <c r="B15" t="s">
        <v>173</v>
      </c>
      <c r="C15">
        <v>2002</v>
      </c>
      <c r="D15" s="49">
        <v>253689</v>
      </c>
    </row>
    <row r="16" spans="2:7" x14ac:dyDescent="0.7">
      <c r="B16" t="s">
        <v>173</v>
      </c>
      <c r="C16">
        <v>2003</v>
      </c>
      <c r="D16" s="49">
        <v>312285</v>
      </c>
    </row>
    <row r="17" spans="2:5" x14ac:dyDescent="0.7">
      <c r="B17" t="s">
        <v>173</v>
      </c>
      <c r="C17">
        <v>2004</v>
      </c>
      <c r="D17" s="49">
        <v>362160</v>
      </c>
    </row>
    <row r="18" spans="2:5" x14ac:dyDescent="0.7">
      <c r="B18" t="s">
        <v>173</v>
      </c>
      <c r="C18">
        <v>2005</v>
      </c>
      <c r="D18" s="49">
        <v>378006</v>
      </c>
    </row>
    <row r="19" spans="2:5" x14ac:dyDescent="0.7">
      <c r="B19" t="s">
        <v>173</v>
      </c>
      <c r="C19">
        <v>2006</v>
      </c>
      <c r="D19" s="49">
        <v>400337</v>
      </c>
      <c r="E19" s="27"/>
    </row>
    <row r="20" spans="2:5" x14ac:dyDescent="0.7">
      <c r="B20" t="s">
        <v>173</v>
      </c>
      <c r="C20">
        <v>2007</v>
      </c>
      <c r="D20" s="49">
        <v>460280</v>
      </c>
    </row>
    <row r="21" spans="2:5" x14ac:dyDescent="0.7">
      <c r="B21" t="s">
        <v>173</v>
      </c>
      <c r="C21">
        <v>2008</v>
      </c>
      <c r="D21" s="49">
        <v>509765</v>
      </c>
    </row>
    <row r="22" spans="2:5" x14ac:dyDescent="0.7">
      <c r="B22" t="s">
        <v>173</v>
      </c>
      <c r="C22">
        <v>2009</v>
      </c>
      <c r="D22" s="49">
        <v>474580</v>
      </c>
    </row>
    <row r="23" spans="2:5" x14ac:dyDescent="0.7">
      <c r="B23" t="s">
        <v>174</v>
      </c>
      <c r="C23">
        <v>2000</v>
      </c>
      <c r="D23" s="49">
        <v>644734</v>
      </c>
    </row>
    <row r="24" spans="2:5" x14ac:dyDescent="0.7">
      <c r="B24" t="s">
        <v>174</v>
      </c>
      <c r="C24">
        <v>2001</v>
      </c>
      <c r="D24" s="49">
        <v>554185</v>
      </c>
    </row>
    <row r="25" spans="2:5" x14ac:dyDescent="0.7">
      <c r="B25" t="s">
        <v>174</v>
      </c>
      <c r="C25">
        <v>2002</v>
      </c>
      <c r="D25" s="49">
        <v>506043</v>
      </c>
    </row>
    <row r="26" spans="2:5" x14ac:dyDescent="0.7">
      <c r="B26" t="s">
        <v>174</v>
      </c>
      <c r="C26">
        <v>2003</v>
      </c>
      <c r="D26" s="49">
        <v>552383</v>
      </c>
    </row>
    <row r="27" spans="2:5" x14ac:dyDescent="0.7">
      <c r="B27" t="s">
        <v>174</v>
      </c>
      <c r="C27">
        <v>2004</v>
      </c>
      <c r="D27" s="49">
        <v>663734</v>
      </c>
    </row>
    <row r="28" spans="2:5" x14ac:dyDescent="0.7">
      <c r="B28" t="s">
        <v>174</v>
      </c>
      <c r="C28">
        <v>2005</v>
      </c>
      <c r="D28" s="49">
        <v>882043</v>
      </c>
    </row>
    <row r="29" spans="2:5" x14ac:dyDescent="0.7">
      <c r="B29" t="s">
        <v>174</v>
      </c>
      <c r="C29">
        <v>2006</v>
      </c>
      <c r="D29" s="49">
        <v>1089255</v>
      </c>
    </row>
    <row r="30" spans="2:5" x14ac:dyDescent="0.7">
      <c r="B30" t="s">
        <v>174</v>
      </c>
      <c r="C30">
        <v>2007</v>
      </c>
      <c r="D30" s="49">
        <v>1366854</v>
      </c>
    </row>
    <row r="31" spans="2:5" x14ac:dyDescent="0.7">
      <c r="B31" t="s">
        <v>174</v>
      </c>
      <c r="C31">
        <v>2008</v>
      </c>
      <c r="D31" s="49">
        <v>1653538</v>
      </c>
    </row>
    <row r="32" spans="2:5" x14ac:dyDescent="0.7">
      <c r="B32" t="s">
        <v>174</v>
      </c>
      <c r="C32">
        <v>2009</v>
      </c>
      <c r="D32" s="49">
        <v>1622311</v>
      </c>
    </row>
    <row r="33" spans="2:4" x14ac:dyDescent="0.7">
      <c r="B33" t="s">
        <v>175</v>
      </c>
      <c r="C33">
        <v>2000</v>
      </c>
      <c r="D33" s="49">
        <v>1496606</v>
      </c>
    </row>
    <row r="34" spans="2:4" x14ac:dyDescent="0.7">
      <c r="B34" t="s">
        <v>175</v>
      </c>
      <c r="C34">
        <v>2001</v>
      </c>
      <c r="D34" s="49">
        <v>1485657</v>
      </c>
    </row>
    <row r="35" spans="2:4" x14ac:dyDescent="0.7">
      <c r="B35" t="s">
        <v>175</v>
      </c>
      <c r="C35">
        <v>2002</v>
      </c>
      <c r="D35" s="49">
        <v>1623558</v>
      </c>
    </row>
    <row r="36" spans="2:4" x14ac:dyDescent="0.7">
      <c r="B36" t="s">
        <v>175</v>
      </c>
      <c r="C36">
        <v>2003</v>
      </c>
      <c r="D36" s="49">
        <v>1877117</v>
      </c>
    </row>
    <row r="37" spans="2:4" x14ac:dyDescent="0.7">
      <c r="B37" t="s">
        <v>175</v>
      </c>
      <c r="C37">
        <v>2004</v>
      </c>
      <c r="D37" s="49">
        <v>2221915</v>
      </c>
    </row>
    <row r="38" spans="2:4" x14ac:dyDescent="0.7">
      <c r="B38" t="s">
        <v>175</v>
      </c>
      <c r="C38">
        <v>2005</v>
      </c>
      <c r="D38" s="49">
        <v>2324184</v>
      </c>
    </row>
    <row r="39" spans="2:4" x14ac:dyDescent="0.7">
      <c r="B39" t="s">
        <v>175</v>
      </c>
      <c r="C39">
        <v>2006</v>
      </c>
      <c r="D39" s="49">
        <v>2486598</v>
      </c>
    </row>
    <row r="40" spans="2:4" x14ac:dyDescent="0.7">
      <c r="B40" t="s">
        <v>175</v>
      </c>
      <c r="C40">
        <v>2007</v>
      </c>
      <c r="D40" s="49">
        <v>2858176</v>
      </c>
    </row>
    <row r="41" spans="2:4" x14ac:dyDescent="0.7">
      <c r="B41" t="s">
        <v>175</v>
      </c>
      <c r="C41">
        <v>2008</v>
      </c>
      <c r="D41" s="49">
        <v>2709573</v>
      </c>
    </row>
    <row r="42" spans="2:4" x14ac:dyDescent="0.7">
      <c r="B42" t="s">
        <v>175</v>
      </c>
      <c r="C42">
        <v>2009</v>
      </c>
      <c r="D42" s="49">
        <v>2217427</v>
      </c>
    </row>
    <row r="43" spans="2:4" x14ac:dyDescent="0.7">
      <c r="B43" t="s">
        <v>176</v>
      </c>
      <c r="C43">
        <v>2000</v>
      </c>
      <c r="D43" s="49">
        <v>1891934</v>
      </c>
    </row>
    <row r="44" spans="2:4" x14ac:dyDescent="0.7">
      <c r="B44" t="s">
        <v>176</v>
      </c>
      <c r="C44">
        <v>2001</v>
      </c>
      <c r="D44" s="49">
        <v>1882511</v>
      </c>
    </row>
    <row r="45" spans="2:4" x14ac:dyDescent="0.7">
      <c r="B45" t="s">
        <v>176</v>
      </c>
      <c r="C45">
        <v>2002</v>
      </c>
      <c r="D45" s="49">
        <v>2013691</v>
      </c>
    </row>
    <row r="46" spans="2:4" x14ac:dyDescent="0.7">
      <c r="B46" t="s">
        <v>176</v>
      </c>
      <c r="C46">
        <v>2003</v>
      </c>
      <c r="D46" s="49">
        <v>2428452</v>
      </c>
    </row>
    <row r="47" spans="2:4" x14ac:dyDescent="0.7">
      <c r="B47" t="s">
        <v>176</v>
      </c>
      <c r="C47">
        <v>2004</v>
      </c>
      <c r="D47" s="49">
        <v>2729923</v>
      </c>
    </row>
    <row r="48" spans="2:4" x14ac:dyDescent="0.7">
      <c r="B48" t="s">
        <v>176</v>
      </c>
      <c r="C48">
        <v>2005</v>
      </c>
      <c r="D48" s="49">
        <v>2771057</v>
      </c>
    </row>
    <row r="49" spans="2:4" x14ac:dyDescent="0.7">
      <c r="B49" t="s">
        <v>176</v>
      </c>
      <c r="C49">
        <v>2006</v>
      </c>
      <c r="D49" s="49">
        <v>2905445</v>
      </c>
    </row>
    <row r="50" spans="2:4" x14ac:dyDescent="0.7">
      <c r="B50" t="s">
        <v>176</v>
      </c>
      <c r="C50">
        <v>2007</v>
      </c>
      <c r="D50" s="49">
        <v>3328589</v>
      </c>
    </row>
    <row r="51" spans="2:4" x14ac:dyDescent="0.7">
      <c r="B51" t="s">
        <v>176</v>
      </c>
      <c r="C51">
        <v>2008</v>
      </c>
      <c r="D51" s="49">
        <v>3640727</v>
      </c>
    </row>
    <row r="52" spans="2:4" x14ac:dyDescent="0.7">
      <c r="B52" t="s">
        <v>176</v>
      </c>
      <c r="C52">
        <v>2009</v>
      </c>
      <c r="D52" s="49">
        <v>3306780</v>
      </c>
    </row>
    <row r="53" spans="2:4" x14ac:dyDescent="0.7">
      <c r="B53" t="s">
        <v>177</v>
      </c>
      <c r="C53">
        <v>2000</v>
      </c>
      <c r="D53" s="49">
        <v>474570</v>
      </c>
    </row>
    <row r="54" spans="2:4" x14ac:dyDescent="0.7">
      <c r="B54" t="s">
        <v>177</v>
      </c>
      <c r="C54">
        <v>2001</v>
      </c>
      <c r="D54" s="49">
        <v>492736</v>
      </c>
    </row>
    <row r="55" spans="2:4" x14ac:dyDescent="0.7">
      <c r="B55" t="s">
        <v>177</v>
      </c>
      <c r="C55">
        <v>2002</v>
      </c>
      <c r="D55" s="49">
        <v>522715</v>
      </c>
    </row>
    <row r="56" spans="2:4" x14ac:dyDescent="0.7">
      <c r="B56" t="s">
        <v>177</v>
      </c>
      <c r="C56">
        <v>2003</v>
      </c>
      <c r="D56" s="49">
        <v>618186</v>
      </c>
    </row>
    <row r="57" spans="2:4" x14ac:dyDescent="0.7">
      <c r="B57" t="s">
        <v>177</v>
      </c>
      <c r="C57">
        <v>2004</v>
      </c>
      <c r="D57" s="49">
        <v>721589</v>
      </c>
    </row>
    <row r="58" spans="2:4" x14ac:dyDescent="0.7">
      <c r="B58" t="s">
        <v>177</v>
      </c>
      <c r="C58">
        <v>2005</v>
      </c>
      <c r="D58" s="49">
        <v>834218</v>
      </c>
    </row>
    <row r="59" spans="2:4" x14ac:dyDescent="0.7">
      <c r="B59" t="s">
        <v>177</v>
      </c>
      <c r="C59">
        <v>2006</v>
      </c>
      <c r="D59" s="49">
        <v>949117</v>
      </c>
    </row>
    <row r="60" spans="2:4" x14ac:dyDescent="0.7">
      <c r="B60" t="s">
        <v>177</v>
      </c>
      <c r="C60">
        <v>2007</v>
      </c>
      <c r="D60" s="49">
        <v>1238478</v>
      </c>
    </row>
    <row r="61" spans="2:4" x14ac:dyDescent="0.7">
      <c r="B61" t="s">
        <v>177</v>
      </c>
      <c r="C61">
        <v>2008</v>
      </c>
      <c r="D61" s="49">
        <v>1223206</v>
      </c>
    </row>
    <row r="62" spans="2:4" x14ac:dyDescent="0.7">
      <c r="B62" t="s">
        <v>177</v>
      </c>
      <c r="C62">
        <v>2009</v>
      </c>
      <c r="D62" s="49">
        <v>1365343</v>
      </c>
    </row>
    <row r="63" spans="2:4" x14ac:dyDescent="0.7">
      <c r="B63" t="s">
        <v>178</v>
      </c>
      <c r="C63">
        <v>2000</v>
      </c>
      <c r="D63" s="49">
        <v>165021</v>
      </c>
    </row>
    <row r="64" spans="2:4" x14ac:dyDescent="0.7">
      <c r="B64" t="s">
        <v>178</v>
      </c>
      <c r="C64">
        <v>2001</v>
      </c>
      <c r="D64" s="49">
        <v>160447</v>
      </c>
    </row>
    <row r="65" spans="2:4" x14ac:dyDescent="0.7">
      <c r="B65" t="s">
        <v>178</v>
      </c>
      <c r="C65">
        <v>2002</v>
      </c>
      <c r="D65" s="49">
        <v>195661</v>
      </c>
    </row>
    <row r="66" spans="2:4" x14ac:dyDescent="0.7">
      <c r="B66" t="s">
        <v>178</v>
      </c>
      <c r="C66">
        <v>2003</v>
      </c>
      <c r="D66" s="49">
        <v>234848</v>
      </c>
    </row>
    <row r="67" spans="2:4" x14ac:dyDescent="0.7">
      <c r="B67" t="s">
        <v>178</v>
      </c>
      <c r="C67">
        <v>2004</v>
      </c>
      <c r="D67" s="49">
        <v>257032</v>
      </c>
    </row>
    <row r="68" spans="2:4" x14ac:dyDescent="0.7">
      <c r="B68" t="s">
        <v>178</v>
      </c>
      <c r="C68">
        <v>2005</v>
      </c>
      <c r="D68" s="49">
        <v>285773</v>
      </c>
    </row>
    <row r="69" spans="2:4" x14ac:dyDescent="0.7">
      <c r="B69" t="s">
        <v>178</v>
      </c>
      <c r="C69">
        <v>2006</v>
      </c>
      <c r="D69" s="49">
        <v>364362</v>
      </c>
    </row>
    <row r="70" spans="2:4" x14ac:dyDescent="0.7">
      <c r="B70" t="s">
        <v>178</v>
      </c>
      <c r="C70">
        <v>2007</v>
      </c>
      <c r="D70" s="49">
        <v>432183</v>
      </c>
    </row>
    <row r="71" spans="2:4" x14ac:dyDescent="0.7">
      <c r="B71" t="s">
        <v>178</v>
      </c>
      <c r="C71">
        <v>2008</v>
      </c>
      <c r="D71" s="49">
        <v>510839</v>
      </c>
    </row>
    <row r="72" spans="2:4" x14ac:dyDescent="0.7">
      <c r="B72" t="s">
        <v>178</v>
      </c>
      <c r="C72">
        <v>2009</v>
      </c>
      <c r="D72" s="49">
        <v>538803</v>
      </c>
    </row>
    <row r="73" spans="2:4" x14ac:dyDescent="0.7">
      <c r="B73" t="s">
        <v>179</v>
      </c>
      <c r="C73">
        <v>2000</v>
      </c>
      <c r="D73" s="49">
        <v>582048</v>
      </c>
    </row>
    <row r="74" spans="2:4" x14ac:dyDescent="0.7">
      <c r="B74" t="s">
        <v>179</v>
      </c>
      <c r="C74">
        <v>2001</v>
      </c>
      <c r="D74" s="49">
        <v>609379</v>
      </c>
    </row>
    <row r="75" spans="2:4" x14ac:dyDescent="0.7">
      <c r="B75" t="s">
        <v>179</v>
      </c>
      <c r="C75">
        <v>2002</v>
      </c>
      <c r="D75" s="49">
        <v>688725</v>
      </c>
    </row>
    <row r="76" spans="2:4" x14ac:dyDescent="0.7">
      <c r="B76" t="s">
        <v>179</v>
      </c>
      <c r="C76">
        <v>2003</v>
      </c>
      <c r="D76" s="49">
        <v>885531</v>
      </c>
    </row>
    <row r="77" spans="2:4" x14ac:dyDescent="0.7">
      <c r="B77" t="s">
        <v>179</v>
      </c>
      <c r="C77">
        <v>2004</v>
      </c>
      <c r="D77" s="49">
        <v>1045984</v>
      </c>
    </row>
    <row r="78" spans="2:4" x14ac:dyDescent="0.7">
      <c r="B78" t="s">
        <v>179</v>
      </c>
      <c r="C78">
        <v>2005</v>
      </c>
      <c r="D78" s="49">
        <v>1132763</v>
      </c>
    </row>
    <row r="79" spans="2:4" x14ac:dyDescent="0.7">
      <c r="B79" t="s">
        <v>179</v>
      </c>
      <c r="C79">
        <v>2006</v>
      </c>
      <c r="D79" s="49">
        <v>1237501</v>
      </c>
    </row>
    <row r="80" spans="2:4" x14ac:dyDescent="0.7">
      <c r="B80" t="s">
        <v>179</v>
      </c>
      <c r="C80">
        <v>2007</v>
      </c>
      <c r="D80" s="49">
        <v>1443500</v>
      </c>
    </row>
    <row r="81" spans="2:4" x14ac:dyDescent="0.7">
      <c r="B81" t="s">
        <v>179</v>
      </c>
      <c r="C81">
        <v>2008</v>
      </c>
      <c r="D81" s="49">
        <v>1600913</v>
      </c>
    </row>
    <row r="82" spans="2:4" x14ac:dyDescent="0.7">
      <c r="B82" t="s">
        <v>179</v>
      </c>
      <c r="C82">
        <v>2009</v>
      </c>
      <c r="D82" s="49">
        <v>1458111</v>
      </c>
    </row>
    <row r="83" spans="2:4" x14ac:dyDescent="0.7">
      <c r="B83" t="s">
        <v>180</v>
      </c>
      <c r="C83">
        <v>2000</v>
      </c>
      <c r="D83" s="49">
        <v>1107248</v>
      </c>
    </row>
    <row r="84" spans="2:4" x14ac:dyDescent="0.7">
      <c r="B84" t="s">
        <v>180</v>
      </c>
      <c r="C84">
        <v>2001</v>
      </c>
      <c r="D84" s="49">
        <v>1124668</v>
      </c>
    </row>
    <row r="85" spans="2:4" x14ac:dyDescent="0.7">
      <c r="B85" t="s">
        <v>180</v>
      </c>
      <c r="C85">
        <v>2002</v>
      </c>
      <c r="D85" s="49">
        <v>1229515</v>
      </c>
    </row>
    <row r="86" spans="2:4" x14ac:dyDescent="0.7">
      <c r="B86" t="s">
        <v>180</v>
      </c>
      <c r="C86">
        <v>2003</v>
      </c>
      <c r="D86" s="49">
        <v>1517402</v>
      </c>
    </row>
    <row r="87" spans="2:4" x14ac:dyDescent="0.7">
      <c r="B87" t="s">
        <v>180</v>
      </c>
      <c r="C87">
        <v>2004</v>
      </c>
      <c r="D87" s="49">
        <v>1737800</v>
      </c>
    </row>
    <row r="88" spans="2:4" x14ac:dyDescent="0.7">
      <c r="B88" t="s">
        <v>180</v>
      </c>
      <c r="C88">
        <v>2005</v>
      </c>
      <c r="D88" s="49">
        <v>1789378</v>
      </c>
    </row>
    <row r="89" spans="2:4" x14ac:dyDescent="0.7">
      <c r="B89" t="s">
        <v>180</v>
      </c>
      <c r="C89">
        <v>2006</v>
      </c>
      <c r="D89" s="49">
        <v>1874722</v>
      </c>
    </row>
    <row r="90" spans="2:4" x14ac:dyDescent="0.7">
      <c r="B90" t="s">
        <v>180</v>
      </c>
      <c r="C90">
        <v>2007</v>
      </c>
      <c r="D90" s="49">
        <v>2130241</v>
      </c>
    </row>
    <row r="91" spans="2:4" x14ac:dyDescent="0.7">
      <c r="B91" t="s">
        <v>180</v>
      </c>
      <c r="C91">
        <v>2008</v>
      </c>
      <c r="D91" s="49">
        <v>2318162</v>
      </c>
    </row>
    <row r="92" spans="2:4" x14ac:dyDescent="0.7">
      <c r="B92" t="s">
        <v>180</v>
      </c>
      <c r="C92">
        <v>2009</v>
      </c>
      <c r="D92" s="49">
        <v>2116627</v>
      </c>
    </row>
    <row r="93" spans="2:4" x14ac:dyDescent="0.7">
      <c r="B93" t="s">
        <v>181</v>
      </c>
      <c r="C93">
        <v>2000</v>
      </c>
      <c r="D93" s="49">
        <v>739451</v>
      </c>
    </row>
    <row r="94" spans="2:4" x14ac:dyDescent="0.7">
      <c r="B94" t="s">
        <v>181</v>
      </c>
      <c r="C94">
        <v>2001</v>
      </c>
      <c r="D94" s="49">
        <v>732735</v>
      </c>
    </row>
    <row r="95" spans="2:4" x14ac:dyDescent="0.7">
      <c r="B95" t="s">
        <v>181</v>
      </c>
      <c r="C95">
        <v>2002</v>
      </c>
      <c r="D95" s="49">
        <v>752523</v>
      </c>
    </row>
    <row r="96" spans="2:4" x14ac:dyDescent="0.7">
      <c r="B96" t="s">
        <v>181</v>
      </c>
      <c r="C96">
        <v>2003</v>
      </c>
      <c r="D96" s="49">
        <v>887782</v>
      </c>
    </row>
    <row r="97" spans="2:4" x14ac:dyDescent="0.7">
      <c r="B97" t="s">
        <v>181</v>
      </c>
      <c r="C97">
        <v>2004</v>
      </c>
      <c r="D97" s="49">
        <v>1018386</v>
      </c>
    </row>
    <row r="98" spans="2:4" x14ac:dyDescent="0.7">
      <c r="B98" t="s">
        <v>181</v>
      </c>
      <c r="C98">
        <v>2005</v>
      </c>
      <c r="D98" s="49">
        <v>1164179</v>
      </c>
    </row>
    <row r="99" spans="2:4" x14ac:dyDescent="0.7">
      <c r="B99" t="s">
        <v>181</v>
      </c>
      <c r="C99">
        <v>2006</v>
      </c>
      <c r="D99" s="49">
        <v>1310795</v>
      </c>
    </row>
    <row r="100" spans="2:4" x14ac:dyDescent="0.7">
      <c r="B100" t="s">
        <v>181</v>
      </c>
      <c r="C100">
        <v>2007</v>
      </c>
      <c r="D100" s="49">
        <v>1457873</v>
      </c>
    </row>
    <row r="101" spans="2:4" x14ac:dyDescent="0.7">
      <c r="B101" t="s">
        <v>181</v>
      </c>
      <c r="C101">
        <v>2008</v>
      </c>
      <c r="D101" s="49">
        <v>1542561</v>
      </c>
    </row>
    <row r="102" spans="2:4" x14ac:dyDescent="0.7">
      <c r="B102" t="s">
        <v>181</v>
      </c>
      <c r="C102">
        <v>2009</v>
      </c>
      <c r="D102" s="49">
        <v>1370839</v>
      </c>
    </row>
    <row r="103" spans="2:4" x14ac:dyDescent="0.7">
      <c r="B103" t="s">
        <v>182</v>
      </c>
      <c r="C103">
        <v>2000</v>
      </c>
      <c r="D103" s="49">
        <v>1198477</v>
      </c>
    </row>
    <row r="104" spans="2:4" x14ac:dyDescent="0.7">
      <c r="B104" t="s">
        <v>182</v>
      </c>
      <c r="C104">
        <v>2001</v>
      </c>
      <c r="D104" s="49">
        <v>1324814</v>
      </c>
    </row>
    <row r="105" spans="2:4" x14ac:dyDescent="0.7">
      <c r="B105" t="s">
        <v>182</v>
      </c>
      <c r="C105">
        <v>2002</v>
      </c>
      <c r="D105" s="49">
        <v>1453833</v>
      </c>
    </row>
    <row r="106" spans="2:4" x14ac:dyDescent="0.7">
      <c r="B106" t="s">
        <v>182</v>
      </c>
      <c r="C106">
        <v>2003</v>
      </c>
      <c r="D106" s="49">
        <v>1640961</v>
      </c>
    </row>
    <row r="107" spans="2:4" x14ac:dyDescent="0.7">
      <c r="B107" t="s">
        <v>182</v>
      </c>
      <c r="C107">
        <v>2004</v>
      </c>
      <c r="D107" s="49">
        <v>1931646</v>
      </c>
    </row>
    <row r="108" spans="2:4" x14ac:dyDescent="0.7">
      <c r="B108" t="s">
        <v>182</v>
      </c>
      <c r="C108">
        <v>2005</v>
      </c>
      <c r="D108" s="49">
        <v>2256919</v>
      </c>
    </row>
    <row r="109" spans="2:4" x14ac:dyDescent="0.7">
      <c r="B109" t="s">
        <v>182</v>
      </c>
      <c r="C109">
        <v>2006</v>
      </c>
      <c r="D109" s="49">
        <v>2712917</v>
      </c>
    </row>
    <row r="110" spans="2:4" x14ac:dyDescent="0.7">
      <c r="B110" t="s">
        <v>182</v>
      </c>
      <c r="C110">
        <v>2007</v>
      </c>
      <c r="D110" s="49">
        <v>3494235</v>
      </c>
    </row>
    <row r="111" spans="2:4" x14ac:dyDescent="0.7">
      <c r="B111" t="s">
        <v>182</v>
      </c>
      <c r="C111">
        <v>2008</v>
      </c>
      <c r="D111" s="49">
        <v>4519951</v>
      </c>
    </row>
    <row r="112" spans="2:4" x14ac:dyDescent="0.7">
      <c r="B112" t="s">
        <v>182</v>
      </c>
      <c r="C112">
        <v>2009</v>
      </c>
      <c r="D112" s="49">
        <v>4990526</v>
      </c>
    </row>
    <row r="113" spans="2:4" x14ac:dyDescent="0.7">
      <c r="B113" t="s">
        <v>183</v>
      </c>
      <c r="C113">
        <v>2000</v>
      </c>
      <c r="D113" s="49">
        <v>692029</v>
      </c>
    </row>
    <row r="114" spans="2:4" x14ac:dyDescent="0.7">
      <c r="B114" t="s">
        <v>183</v>
      </c>
      <c r="C114">
        <v>2001</v>
      </c>
      <c r="D114" s="49">
        <v>733453</v>
      </c>
    </row>
    <row r="115" spans="2:4" x14ac:dyDescent="0.7">
      <c r="B115" t="s">
        <v>183</v>
      </c>
      <c r="C115">
        <v>2002</v>
      </c>
      <c r="D115" s="49">
        <v>750450</v>
      </c>
    </row>
    <row r="116" spans="2:4" x14ac:dyDescent="0.7">
      <c r="B116" t="s">
        <v>183</v>
      </c>
      <c r="C116">
        <v>2003</v>
      </c>
      <c r="D116" s="49">
        <v>722182</v>
      </c>
    </row>
    <row r="117" spans="2:4" x14ac:dyDescent="0.7">
      <c r="B117" t="s">
        <v>183</v>
      </c>
      <c r="C117">
        <v>2004</v>
      </c>
      <c r="D117" s="49">
        <v>774591</v>
      </c>
    </row>
    <row r="118" spans="2:4" x14ac:dyDescent="0.7">
      <c r="B118" t="s">
        <v>183</v>
      </c>
      <c r="C118">
        <v>2005</v>
      </c>
      <c r="D118" s="49">
        <v>869718</v>
      </c>
    </row>
    <row r="119" spans="2:4" x14ac:dyDescent="0.7">
      <c r="B119" t="s">
        <v>183</v>
      </c>
      <c r="C119">
        <v>2006</v>
      </c>
      <c r="D119" s="49">
        <v>965774</v>
      </c>
    </row>
    <row r="120" spans="2:4" x14ac:dyDescent="0.7">
      <c r="B120" t="s">
        <v>183</v>
      </c>
      <c r="C120">
        <v>2007</v>
      </c>
      <c r="D120" s="49">
        <v>1042687</v>
      </c>
    </row>
    <row r="121" spans="2:4" x14ac:dyDescent="0.7">
      <c r="B121" t="s">
        <v>183</v>
      </c>
      <c r="C121">
        <v>2008</v>
      </c>
      <c r="D121" s="49">
        <v>1100673</v>
      </c>
    </row>
    <row r="122" spans="2:4" x14ac:dyDescent="0.7">
      <c r="B122" t="s">
        <v>183</v>
      </c>
      <c r="C122">
        <v>2009</v>
      </c>
      <c r="D122" s="49">
        <v>894566</v>
      </c>
    </row>
    <row r="123" spans="2:4" x14ac:dyDescent="0.7">
      <c r="B123" t="s">
        <v>184</v>
      </c>
      <c r="C123">
        <v>2000</v>
      </c>
      <c r="D123" s="49">
        <v>386204</v>
      </c>
    </row>
    <row r="124" spans="2:4" x14ac:dyDescent="0.7">
      <c r="B124" t="s">
        <v>184</v>
      </c>
      <c r="C124">
        <v>2001</v>
      </c>
      <c r="D124" s="49">
        <v>400998</v>
      </c>
    </row>
    <row r="125" spans="2:4" x14ac:dyDescent="0.7">
      <c r="B125" t="s">
        <v>184</v>
      </c>
      <c r="C125">
        <v>2002</v>
      </c>
      <c r="D125" s="49">
        <v>439357</v>
      </c>
    </row>
    <row r="126" spans="2:4" x14ac:dyDescent="0.7">
      <c r="B126" t="s">
        <v>184</v>
      </c>
      <c r="C126">
        <v>2003</v>
      </c>
      <c r="D126" s="49">
        <v>539343</v>
      </c>
    </row>
    <row r="127" spans="2:4" x14ac:dyDescent="0.7">
      <c r="B127" t="s">
        <v>184</v>
      </c>
      <c r="C127">
        <v>2004</v>
      </c>
      <c r="D127" s="49">
        <v>610691</v>
      </c>
    </row>
    <row r="128" spans="2:4" x14ac:dyDescent="0.7">
      <c r="B128" t="s">
        <v>184</v>
      </c>
      <c r="C128">
        <v>2005</v>
      </c>
      <c r="D128" s="49">
        <v>639579</v>
      </c>
    </row>
    <row r="129" spans="2:4" x14ac:dyDescent="0.7">
      <c r="B129" t="s">
        <v>184</v>
      </c>
      <c r="C129">
        <v>2006</v>
      </c>
      <c r="D129" s="49">
        <v>678321</v>
      </c>
    </row>
    <row r="130" spans="2:4" x14ac:dyDescent="0.7">
      <c r="B130" t="s">
        <v>184</v>
      </c>
      <c r="C130">
        <v>2007</v>
      </c>
      <c r="D130" s="49">
        <v>783692</v>
      </c>
    </row>
    <row r="131" spans="2:4" x14ac:dyDescent="0.7">
      <c r="B131" t="s">
        <v>184</v>
      </c>
      <c r="C131">
        <v>2008</v>
      </c>
      <c r="D131" s="49">
        <v>874906</v>
      </c>
    </row>
    <row r="132" spans="2:4" x14ac:dyDescent="0.7">
      <c r="B132" t="s">
        <v>184</v>
      </c>
      <c r="C132">
        <v>2009</v>
      </c>
      <c r="D132" s="49">
        <v>798400</v>
      </c>
    </row>
    <row r="133" spans="2:4" x14ac:dyDescent="0.7">
      <c r="B133" t="s">
        <v>185</v>
      </c>
      <c r="C133">
        <v>2000</v>
      </c>
      <c r="D133" s="49">
        <v>171263</v>
      </c>
    </row>
    <row r="134" spans="2:4" x14ac:dyDescent="0.7">
      <c r="B134" t="s">
        <v>185</v>
      </c>
      <c r="C134">
        <v>2001</v>
      </c>
      <c r="D134" s="49">
        <v>190421</v>
      </c>
    </row>
    <row r="135" spans="2:4" x14ac:dyDescent="0.7">
      <c r="B135" t="s">
        <v>185</v>
      </c>
      <c r="C135">
        <v>2002</v>
      </c>
      <c r="D135" s="49">
        <v>198205</v>
      </c>
    </row>
    <row r="136" spans="2:4" x14ac:dyDescent="0.7">
      <c r="B136" t="s">
        <v>185</v>
      </c>
      <c r="C136">
        <v>2003</v>
      </c>
      <c r="D136" s="49">
        <v>216811</v>
      </c>
    </row>
    <row r="137" spans="2:4" x14ac:dyDescent="0.7">
      <c r="B137" t="s">
        <v>185</v>
      </c>
      <c r="C137">
        <v>2004</v>
      </c>
      <c r="D137" s="49">
        <v>253021</v>
      </c>
    </row>
    <row r="138" spans="2:4" x14ac:dyDescent="0.7">
      <c r="B138" t="s">
        <v>185</v>
      </c>
      <c r="C138">
        <v>2005</v>
      </c>
      <c r="D138" s="49">
        <v>303976</v>
      </c>
    </row>
    <row r="139" spans="2:4" x14ac:dyDescent="0.7">
      <c r="B139" t="s">
        <v>185</v>
      </c>
      <c r="C139">
        <v>2006</v>
      </c>
      <c r="D139" s="49">
        <v>341670</v>
      </c>
    </row>
    <row r="140" spans="2:4" x14ac:dyDescent="0.7">
      <c r="B140" t="s">
        <v>185</v>
      </c>
      <c r="C140">
        <v>2007</v>
      </c>
      <c r="D140" s="49">
        <v>425321</v>
      </c>
    </row>
    <row r="141" spans="2:4" x14ac:dyDescent="0.7">
      <c r="B141" t="s">
        <v>185</v>
      </c>
      <c r="C141">
        <v>2008</v>
      </c>
      <c r="D141" s="49">
        <v>529432</v>
      </c>
    </row>
    <row r="142" spans="2:4" x14ac:dyDescent="0.7">
      <c r="B142" t="s">
        <v>185</v>
      </c>
      <c r="C142">
        <v>2009</v>
      </c>
      <c r="D142" s="49">
        <v>431457</v>
      </c>
    </row>
    <row r="143" spans="2:4" x14ac:dyDescent="0.7">
      <c r="B143" t="s">
        <v>186</v>
      </c>
      <c r="C143">
        <v>2000</v>
      </c>
      <c r="D143" s="49">
        <v>259702</v>
      </c>
    </row>
    <row r="144" spans="2:4" x14ac:dyDescent="0.7">
      <c r="B144" t="s">
        <v>186</v>
      </c>
      <c r="C144">
        <v>2001</v>
      </c>
      <c r="D144" s="49">
        <v>306583</v>
      </c>
    </row>
    <row r="145" spans="2:4" x14ac:dyDescent="0.7">
      <c r="B145" t="s">
        <v>186</v>
      </c>
      <c r="C145">
        <v>2002</v>
      </c>
      <c r="D145" s="49">
        <v>345125</v>
      </c>
    </row>
    <row r="146" spans="2:4" x14ac:dyDescent="0.7">
      <c r="B146" t="s">
        <v>186</v>
      </c>
      <c r="C146">
        <v>2003</v>
      </c>
      <c r="D146" s="49">
        <v>430289</v>
      </c>
    </row>
    <row r="147" spans="2:4" x14ac:dyDescent="0.7">
      <c r="B147" t="s">
        <v>186</v>
      </c>
      <c r="C147">
        <v>2004</v>
      </c>
      <c r="D147" s="49">
        <v>591177</v>
      </c>
    </row>
    <row r="148" spans="2:4" x14ac:dyDescent="0.7">
      <c r="B148" t="s">
        <v>186</v>
      </c>
      <c r="C148">
        <v>2005</v>
      </c>
      <c r="D148" s="49">
        <v>763704</v>
      </c>
    </row>
    <row r="149" spans="2:4" x14ac:dyDescent="0.7">
      <c r="B149" t="s">
        <v>186</v>
      </c>
      <c r="C149">
        <v>2006</v>
      </c>
      <c r="D149" s="49">
        <v>989932</v>
      </c>
    </row>
    <row r="150" spans="2:4" x14ac:dyDescent="0.7">
      <c r="B150" t="s">
        <v>186</v>
      </c>
      <c r="C150">
        <v>2007</v>
      </c>
      <c r="D150" s="49">
        <v>1299703</v>
      </c>
    </row>
    <row r="151" spans="2:4" x14ac:dyDescent="0.7">
      <c r="B151" t="s">
        <v>186</v>
      </c>
      <c r="C151">
        <v>2008</v>
      </c>
      <c r="D151" s="49">
        <v>1660846</v>
      </c>
    </row>
    <row r="152" spans="2:4" x14ac:dyDescent="0.7">
      <c r="B152" t="s">
        <v>186</v>
      </c>
      <c r="C152">
        <v>2009</v>
      </c>
      <c r="D152" s="49">
        <v>1222645</v>
      </c>
    </row>
    <row r="153" spans="2:4" x14ac:dyDescent="0.7">
      <c r="B153" t="s">
        <v>187</v>
      </c>
      <c r="C153">
        <v>2000</v>
      </c>
      <c r="D153" s="49">
        <v>10289725</v>
      </c>
    </row>
    <row r="154" spans="2:4" x14ac:dyDescent="0.7">
      <c r="B154" t="s">
        <v>187</v>
      </c>
      <c r="C154">
        <v>2001</v>
      </c>
      <c r="D154" s="49">
        <v>10625275</v>
      </c>
    </row>
    <row r="155" spans="2:4" x14ac:dyDescent="0.7">
      <c r="B155" t="s">
        <v>187</v>
      </c>
      <c r="C155">
        <v>2002</v>
      </c>
      <c r="D155" s="49">
        <v>10980200</v>
      </c>
    </row>
    <row r="156" spans="2:4" x14ac:dyDescent="0.7">
      <c r="B156" t="s">
        <v>187</v>
      </c>
      <c r="C156">
        <v>2003</v>
      </c>
      <c r="D156" s="49">
        <v>11512275</v>
      </c>
    </row>
    <row r="157" spans="2:4" x14ac:dyDescent="0.7">
      <c r="B157" t="s">
        <v>187</v>
      </c>
      <c r="C157">
        <v>2004</v>
      </c>
      <c r="D157" s="49">
        <v>12277025</v>
      </c>
    </row>
    <row r="158" spans="2:4" x14ac:dyDescent="0.7">
      <c r="B158" t="s">
        <v>187</v>
      </c>
      <c r="C158">
        <v>2005</v>
      </c>
      <c r="D158" s="49">
        <v>13095425</v>
      </c>
    </row>
    <row r="159" spans="2:4" x14ac:dyDescent="0.7">
      <c r="B159" t="s">
        <v>187</v>
      </c>
      <c r="C159">
        <v>2006</v>
      </c>
      <c r="D159" s="49">
        <v>13857900</v>
      </c>
    </row>
    <row r="160" spans="2:4" x14ac:dyDescent="0.7">
      <c r="B160" t="s">
        <v>187</v>
      </c>
      <c r="C160">
        <v>2007</v>
      </c>
      <c r="D160" s="49">
        <v>14480350</v>
      </c>
    </row>
    <row r="161" spans="2:4" x14ac:dyDescent="0.7">
      <c r="B161" t="s">
        <v>187</v>
      </c>
      <c r="C161">
        <v>2008</v>
      </c>
      <c r="D161" s="49">
        <v>14720250</v>
      </c>
    </row>
    <row r="162" spans="2:4" x14ac:dyDescent="0.7">
      <c r="B162" t="s">
        <v>187</v>
      </c>
      <c r="C162">
        <v>2009</v>
      </c>
      <c r="D162" s="49">
        <v>14417950</v>
      </c>
    </row>
    <row r="163" spans="2:4" x14ac:dyDescent="0.7">
      <c r="B163" t="s">
        <v>188</v>
      </c>
      <c r="C163">
        <v>2000</v>
      </c>
      <c r="D163" s="49">
        <v>266560</v>
      </c>
    </row>
    <row r="164" spans="2:4" x14ac:dyDescent="0.7">
      <c r="B164" t="s">
        <v>188</v>
      </c>
      <c r="C164">
        <v>2001</v>
      </c>
      <c r="D164" s="49">
        <v>196007</v>
      </c>
    </row>
    <row r="165" spans="2:4" x14ac:dyDescent="0.7">
      <c r="B165" t="s">
        <v>188</v>
      </c>
      <c r="C165">
        <v>2002</v>
      </c>
      <c r="D165" s="49">
        <v>232530</v>
      </c>
    </row>
    <row r="166" spans="2:4" x14ac:dyDescent="0.7">
      <c r="B166" t="s">
        <v>188</v>
      </c>
      <c r="C166">
        <v>2003</v>
      </c>
      <c r="D166" s="49">
        <v>303008</v>
      </c>
    </row>
    <row r="167" spans="2:4" x14ac:dyDescent="0.7">
      <c r="B167" t="s">
        <v>188</v>
      </c>
      <c r="C167">
        <v>2004</v>
      </c>
      <c r="D167" s="49">
        <v>392156</v>
      </c>
    </row>
    <row r="168" spans="2:4" x14ac:dyDescent="0.7">
      <c r="B168" t="s">
        <v>188</v>
      </c>
      <c r="C168">
        <v>2005</v>
      </c>
      <c r="D168" s="49">
        <v>482986</v>
      </c>
    </row>
    <row r="169" spans="2:4" x14ac:dyDescent="0.7">
      <c r="B169" t="s">
        <v>188</v>
      </c>
      <c r="C169">
        <v>2006</v>
      </c>
      <c r="D169" s="49">
        <v>530917</v>
      </c>
    </row>
    <row r="170" spans="2:4" x14ac:dyDescent="0.7">
      <c r="B170" t="s">
        <v>188</v>
      </c>
      <c r="C170">
        <v>2007</v>
      </c>
      <c r="D170" s="49">
        <v>647140</v>
      </c>
    </row>
    <row r="171" spans="2:4" x14ac:dyDescent="0.7">
      <c r="B171" t="s">
        <v>188</v>
      </c>
      <c r="C171">
        <v>2008</v>
      </c>
      <c r="D171" s="49">
        <v>730325</v>
      </c>
    </row>
    <row r="172" spans="2:4" x14ac:dyDescent="0.7">
      <c r="B172" t="s">
        <v>188</v>
      </c>
      <c r="C172">
        <v>2009</v>
      </c>
      <c r="D172" s="49">
        <v>614570</v>
      </c>
    </row>
    <row r="173" spans="2:4" x14ac:dyDescent="0.7">
      <c r="B173" t="s">
        <v>189</v>
      </c>
      <c r="C173">
        <v>2000</v>
      </c>
      <c r="D173" s="49">
        <v>1330224</v>
      </c>
    </row>
    <row r="174" spans="2:4" x14ac:dyDescent="0.7">
      <c r="B174" t="s">
        <v>189</v>
      </c>
      <c r="C174">
        <v>2001</v>
      </c>
      <c r="D174" s="49">
        <v>1339453</v>
      </c>
    </row>
    <row r="175" spans="2:4" x14ac:dyDescent="0.7">
      <c r="B175" t="s">
        <v>189</v>
      </c>
      <c r="C175">
        <v>2002</v>
      </c>
      <c r="D175" s="49">
        <v>1457171</v>
      </c>
    </row>
    <row r="176" spans="2:4" x14ac:dyDescent="0.7">
      <c r="B176" t="s">
        <v>189</v>
      </c>
      <c r="C176">
        <v>2003</v>
      </c>
      <c r="D176" s="49">
        <v>1795644</v>
      </c>
    </row>
    <row r="177" spans="2:4" x14ac:dyDescent="0.7">
      <c r="B177" t="s">
        <v>189</v>
      </c>
      <c r="C177">
        <v>2004</v>
      </c>
      <c r="D177" s="49">
        <v>2058380</v>
      </c>
    </row>
    <row r="178" spans="2:4" x14ac:dyDescent="0.7">
      <c r="B178" t="s">
        <v>189</v>
      </c>
      <c r="C178">
        <v>2005</v>
      </c>
      <c r="D178" s="49">
        <v>2140266</v>
      </c>
    </row>
    <row r="179" spans="2:4" x14ac:dyDescent="0.7">
      <c r="B179" t="s">
        <v>189</v>
      </c>
      <c r="C179">
        <v>2006</v>
      </c>
      <c r="D179" s="49">
        <v>2257802</v>
      </c>
    </row>
    <row r="180" spans="2:4" x14ac:dyDescent="0.7">
      <c r="B180" t="s">
        <v>189</v>
      </c>
      <c r="C180">
        <v>2007</v>
      </c>
      <c r="D180" s="49">
        <v>2586104</v>
      </c>
    </row>
    <row r="181" spans="2:4" x14ac:dyDescent="0.7">
      <c r="B181" t="s">
        <v>189</v>
      </c>
      <c r="C181">
        <v>2008</v>
      </c>
      <c r="D181" s="49">
        <v>2845111</v>
      </c>
    </row>
    <row r="182" spans="2:4" x14ac:dyDescent="0.7">
      <c r="B182" t="s">
        <v>189</v>
      </c>
      <c r="C182">
        <v>2009</v>
      </c>
      <c r="D182" s="49">
        <v>2626486</v>
      </c>
    </row>
    <row r="183" spans="2:4" x14ac:dyDescent="0.7">
      <c r="B183" t="s">
        <v>190</v>
      </c>
      <c r="C183">
        <v>2000</v>
      </c>
      <c r="D183" s="49">
        <v>256036</v>
      </c>
    </row>
    <row r="184" spans="2:4" x14ac:dyDescent="0.7">
      <c r="B184" t="s">
        <v>190</v>
      </c>
      <c r="C184">
        <v>2001</v>
      </c>
      <c r="D184" s="49">
        <v>262645</v>
      </c>
    </row>
    <row r="185" spans="2:4" x14ac:dyDescent="0.7">
      <c r="B185" t="s">
        <v>190</v>
      </c>
      <c r="C185">
        <v>2002</v>
      </c>
      <c r="D185" s="49">
        <v>286657</v>
      </c>
    </row>
    <row r="186" spans="2:4" x14ac:dyDescent="0.7">
      <c r="B186" t="s">
        <v>190</v>
      </c>
      <c r="C186">
        <v>2003</v>
      </c>
      <c r="D186" s="49">
        <v>334587</v>
      </c>
    </row>
    <row r="187" spans="2:4" x14ac:dyDescent="0.7">
      <c r="B187" t="s">
        <v>190</v>
      </c>
      <c r="C187">
        <v>2004</v>
      </c>
      <c r="D187" s="49">
        <v>374226</v>
      </c>
    </row>
    <row r="188" spans="2:4" x14ac:dyDescent="0.7">
      <c r="B188" t="s">
        <v>190</v>
      </c>
      <c r="C188">
        <v>2005</v>
      </c>
      <c r="D188" s="49">
        <v>384755</v>
      </c>
    </row>
    <row r="189" spans="2:4" x14ac:dyDescent="0.7">
      <c r="B189" t="s">
        <v>190</v>
      </c>
      <c r="C189">
        <v>2006</v>
      </c>
      <c r="D189" s="49">
        <v>405183</v>
      </c>
    </row>
    <row r="190" spans="2:4" x14ac:dyDescent="0.7">
      <c r="B190" t="s">
        <v>190</v>
      </c>
      <c r="C190">
        <v>2007</v>
      </c>
      <c r="D190" s="49">
        <v>450530</v>
      </c>
    </row>
    <row r="191" spans="2:4" x14ac:dyDescent="0.7">
      <c r="B191" t="s">
        <v>190</v>
      </c>
      <c r="C191">
        <v>2008</v>
      </c>
      <c r="D191" s="49">
        <v>524289</v>
      </c>
    </row>
    <row r="192" spans="2:4" x14ac:dyDescent="0.7">
      <c r="B192" t="s">
        <v>190</v>
      </c>
      <c r="C192">
        <v>2009</v>
      </c>
      <c r="D192" s="49">
        <v>509466</v>
      </c>
    </row>
    <row r="193" spans="2:4" x14ac:dyDescent="0.7">
      <c r="B193" t="s">
        <v>191</v>
      </c>
      <c r="C193">
        <v>2000</v>
      </c>
      <c r="D193" s="49">
        <v>533385</v>
      </c>
    </row>
    <row r="194" spans="2:4" x14ac:dyDescent="0.7">
      <c r="B194" t="s">
        <v>191</v>
      </c>
      <c r="C194">
        <v>2001</v>
      </c>
      <c r="D194" s="49">
        <v>504584</v>
      </c>
    </row>
    <row r="195" spans="2:4" x14ac:dyDescent="0.7">
      <c r="B195" t="s">
        <v>191</v>
      </c>
      <c r="C195">
        <v>2002</v>
      </c>
      <c r="D195" s="49">
        <v>575930</v>
      </c>
    </row>
    <row r="196" spans="2:4" x14ac:dyDescent="0.7">
      <c r="B196" t="s">
        <v>191</v>
      </c>
      <c r="C196">
        <v>2003</v>
      </c>
      <c r="D196" s="49">
        <v>643760</v>
      </c>
    </row>
    <row r="197" spans="2:4" x14ac:dyDescent="0.7">
      <c r="B197" t="s">
        <v>191</v>
      </c>
      <c r="C197">
        <v>2004</v>
      </c>
      <c r="D197" s="49">
        <v>721976</v>
      </c>
    </row>
    <row r="198" spans="2:4" x14ac:dyDescent="0.7">
      <c r="B198" t="s">
        <v>191</v>
      </c>
      <c r="C198">
        <v>2005</v>
      </c>
      <c r="D198" s="49">
        <v>844866</v>
      </c>
    </row>
    <row r="199" spans="2:4" x14ac:dyDescent="0.7">
      <c r="B199" t="s">
        <v>191</v>
      </c>
      <c r="C199">
        <v>2006</v>
      </c>
      <c r="D199" s="49">
        <v>951773</v>
      </c>
    </row>
    <row r="200" spans="2:4" x14ac:dyDescent="0.7">
      <c r="B200" t="s">
        <v>191</v>
      </c>
      <c r="C200">
        <v>2007</v>
      </c>
      <c r="D200" s="49">
        <v>1049239</v>
      </c>
    </row>
    <row r="201" spans="2:4" x14ac:dyDescent="0.7">
      <c r="B201" t="s">
        <v>191</v>
      </c>
      <c r="C201">
        <v>2008</v>
      </c>
      <c r="D201" s="49">
        <v>931405</v>
      </c>
    </row>
    <row r="202" spans="2:4" x14ac:dyDescent="0.7">
      <c r="B202" t="s">
        <v>191</v>
      </c>
      <c r="C202">
        <v>2009</v>
      </c>
      <c r="D202" s="49">
        <v>834060</v>
      </c>
    </row>
    <row r="203" spans="2:4" x14ac:dyDescent="0.7">
      <c r="B203" t="s">
        <v>192</v>
      </c>
      <c r="C203">
        <v>2000</v>
      </c>
      <c r="D203" s="49">
        <v>4731199</v>
      </c>
    </row>
    <row r="204" spans="2:4" x14ac:dyDescent="0.7">
      <c r="B204" t="s">
        <v>192</v>
      </c>
      <c r="C204">
        <v>2001</v>
      </c>
      <c r="D204" s="49">
        <v>4159859</v>
      </c>
    </row>
    <row r="205" spans="2:4" x14ac:dyDescent="0.7">
      <c r="B205" t="s">
        <v>192</v>
      </c>
      <c r="C205">
        <v>2002</v>
      </c>
      <c r="D205" s="49">
        <v>3980819</v>
      </c>
    </row>
    <row r="206" spans="2:4" x14ac:dyDescent="0.7">
      <c r="B206" t="s">
        <v>192</v>
      </c>
      <c r="C206">
        <v>2003</v>
      </c>
      <c r="D206" s="49">
        <v>4302940</v>
      </c>
    </row>
    <row r="207" spans="2:4" x14ac:dyDescent="0.7">
      <c r="B207" t="s">
        <v>192</v>
      </c>
      <c r="C207">
        <v>2004</v>
      </c>
      <c r="D207" s="49">
        <v>4655823</v>
      </c>
    </row>
    <row r="208" spans="2:4" x14ac:dyDescent="0.7">
      <c r="B208" t="s">
        <v>192</v>
      </c>
      <c r="C208">
        <v>2005</v>
      </c>
      <c r="D208" s="49">
        <v>4571867</v>
      </c>
    </row>
    <row r="209" spans="2:4" x14ac:dyDescent="0.7">
      <c r="B209" t="s">
        <v>192</v>
      </c>
      <c r="C209">
        <v>2006</v>
      </c>
      <c r="D209" s="49">
        <v>4356750</v>
      </c>
    </row>
    <row r="210" spans="2:4" x14ac:dyDescent="0.7">
      <c r="B210" t="s">
        <v>192</v>
      </c>
      <c r="C210">
        <v>2007</v>
      </c>
      <c r="D210" s="49">
        <v>4356347</v>
      </c>
    </row>
    <row r="211" spans="2:4" x14ac:dyDescent="0.7">
      <c r="B211" t="s">
        <v>192</v>
      </c>
      <c r="C211">
        <v>2008</v>
      </c>
      <c r="D211" s="49">
        <v>4849185</v>
      </c>
    </row>
    <row r="212" spans="2:4" x14ac:dyDescent="0.7">
      <c r="B212" t="s">
        <v>192</v>
      </c>
      <c r="C212">
        <v>2009</v>
      </c>
      <c r="D212" s="49">
        <v>5035141</v>
      </c>
    </row>
    <row r="213" spans="2:4" x14ac:dyDescent="0.7">
      <c r="D213" s="27"/>
    </row>
    <row r="214" spans="2:4" x14ac:dyDescent="0.7">
      <c r="D214" s="27"/>
    </row>
    <row r="215" spans="2:4" x14ac:dyDescent="0.7">
      <c r="D215" s="27"/>
    </row>
    <row r="216" spans="2:4" x14ac:dyDescent="0.7">
      <c r="D216" s="27"/>
    </row>
    <row r="217" spans="2:4" x14ac:dyDescent="0.7">
      <c r="D217" s="27"/>
    </row>
    <row r="218" spans="2:4" x14ac:dyDescent="0.7">
      <c r="D218" s="27"/>
    </row>
    <row r="219" spans="2:4" x14ac:dyDescent="0.7">
      <c r="D219" s="27"/>
    </row>
    <row r="220" spans="2:4" x14ac:dyDescent="0.7">
      <c r="D220" s="27"/>
    </row>
    <row r="221" spans="2:4" x14ac:dyDescent="0.7">
      <c r="D221" s="27"/>
    </row>
    <row r="222" spans="2:4" x14ac:dyDescent="0.7">
      <c r="D222" s="27"/>
    </row>
    <row r="223" spans="2:4" x14ac:dyDescent="0.7">
      <c r="D223" s="27"/>
    </row>
    <row r="224" spans="2:4" x14ac:dyDescent="0.7">
      <c r="D224" s="27"/>
    </row>
    <row r="225" spans="4:4" x14ac:dyDescent="0.7">
      <c r="D225" s="27"/>
    </row>
    <row r="226" spans="4:4" x14ac:dyDescent="0.7">
      <c r="D226" s="27"/>
    </row>
    <row r="227" spans="4:4" x14ac:dyDescent="0.7">
      <c r="D227" s="27"/>
    </row>
    <row r="228" spans="4:4" x14ac:dyDescent="0.7">
      <c r="D228" s="27"/>
    </row>
    <row r="229" spans="4:4" x14ac:dyDescent="0.7">
      <c r="D229" s="27"/>
    </row>
    <row r="230" spans="4:4" x14ac:dyDescent="0.7">
      <c r="D230" s="27"/>
    </row>
    <row r="231" spans="4:4" x14ac:dyDescent="0.7">
      <c r="D231" s="27"/>
    </row>
    <row r="232" spans="4:4" x14ac:dyDescent="0.7">
      <c r="D232" s="27"/>
    </row>
    <row r="233" spans="4:4" x14ac:dyDescent="0.7">
      <c r="D233" s="27"/>
    </row>
    <row r="234" spans="4:4" x14ac:dyDescent="0.7">
      <c r="D234" s="27"/>
    </row>
    <row r="235" spans="4:4" x14ac:dyDescent="0.7">
      <c r="D235" s="27"/>
    </row>
  </sheetData>
  <autoFilter ref="B2:D212" xr:uid="{FECA3380-0D33-4EAF-AC0C-A2E1E2EE067D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69C5-5C71-45B7-BBCF-730450A62970}">
  <dimension ref="B2:F20"/>
  <sheetViews>
    <sheetView zoomScale="40" zoomScaleNormal="40" workbookViewId="0">
      <selection activeCell="F7" sqref="F7"/>
    </sheetView>
  </sheetViews>
  <sheetFormatPr defaultRowHeight="46.5" x14ac:dyDescent="0.7"/>
  <cols>
    <col min="2" max="2" width="10.95703125" customWidth="1"/>
    <col min="3" max="3" width="18.25" customWidth="1"/>
    <col min="5" max="5" width="14.45703125" customWidth="1"/>
    <col min="6" max="6" width="13.9140625" customWidth="1"/>
  </cols>
  <sheetData>
    <row r="2" spans="2:6" x14ac:dyDescent="0.7">
      <c r="B2" s="54" t="s">
        <v>161</v>
      </c>
      <c r="C2" s="54" t="s">
        <v>194</v>
      </c>
    </row>
    <row r="3" spans="2:6" x14ac:dyDescent="0.7">
      <c r="B3" s="55">
        <v>45097</v>
      </c>
      <c r="C3" s="56">
        <v>843.77</v>
      </c>
    </row>
    <row r="4" spans="2:6" x14ac:dyDescent="0.7">
      <c r="B4" s="55">
        <f>B3+1</f>
        <v>45098</v>
      </c>
      <c r="C4" s="56">
        <v>400.6</v>
      </c>
      <c r="E4" t="s">
        <v>195</v>
      </c>
      <c r="F4" s="42">
        <v>45102</v>
      </c>
    </row>
    <row r="5" spans="2:6" x14ac:dyDescent="0.7">
      <c r="B5" s="55">
        <f t="shared" ref="B5:B20" si="0">B4+1</f>
        <v>45099</v>
      </c>
      <c r="C5" s="56">
        <v>396.54</v>
      </c>
      <c r="E5" t="s">
        <v>196</v>
      </c>
      <c r="F5" s="42">
        <v>45113</v>
      </c>
    </row>
    <row r="6" spans="2:6" x14ac:dyDescent="0.7">
      <c r="B6" s="55">
        <f t="shared" si="0"/>
        <v>45100</v>
      </c>
      <c r="C6" s="56">
        <v>656.56</v>
      </c>
    </row>
    <row r="7" spans="2:6" x14ac:dyDescent="0.7">
      <c r="B7" s="55">
        <f t="shared" si="0"/>
        <v>45101</v>
      </c>
      <c r="C7" s="56">
        <v>249.77</v>
      </c>
      <c r="E7" t="s">
        <v>197</v>
      </c>
      <c r="F7" s="53">
        <f>SUMIF(B3:B20, "&lt;="&amp;F5, C3:C20)-SUMIF(B3:B20, "&lt;"&amp;F4, C3:C20)</f>
        <v>7400.6099999999988</v>
      </c>
    </row>
    <row r="8" spans="2:6" x14ac:dyDescent="0.7">
      <c r="B8" s="55">
        <f t="shared" si="0"/>
        <v>45102</v>
      </c>
      <c r="C8" s="56">
        <v>318.04000000000002</v>
      </c>
    </row>
    <row r="9" spans="2:6" x14ac:dyDescent="0.7">
      <c r="B9" s="55">
        <f t="shared" si="0"/>
        <v>45103</v>
      </c>
      <c r="C9" s="56">
        <v>935.37</v>
      </c>
      <c r="E9" t="s">
        <v>198</v>
      </c>
      <c r="F9">
        <f>SUMIFS(C3:C20,B3:B20,"&gt;="&amp;F4, B3:B20,"&lt;="&amp;F5)</f>
        <v>7400.6100000000015</v>
      </c>
    </row>
    <row r="10" spans="2:6" x14ac:dyDescent="0.7">
      <c r="B10" s="55">
        <f t="shared" si="0"/>
        <v>45104</v>
      </c>
      <c r="C10" s="56">
        <v>828.11</v>
      </c>
      <c r="E10" t="s">
        <v>199</v>
      </c>
      <c r="F10">
        <f>SUMPRODUCT((C3:C20)*(B3:B20&gt;=F4)*(B3:B20&lt;=F5))</f>
        <v>7400.6100000000015</v>
      </c>
    </row>
    <row r="11" spans="2:6" x14ac:dyDescent="0.7">
      <c r="B11" s="55">
        <f t="shared" si="0"/>
        <v>45105</v>
      </c>
      <c r="C11" s="56">
        <v>686.07</v>
      </c>
    </row>
    <row r="12" spans="2:6" x14ac:dyDescent="0.7">
      <c r="B12" s="55">
        <f t="shared" si="0"/>
        <v>45106</v>
      </c>
      <c r="C12" s="56">
        <v>647.5</v>
      </c>
    </row>
    <row r="13" spans="2:6" x14ac:dyDescent="0.7">
      <c r="B13" s="55">
        <f t="shared" si="0"/>
        <v>45107</v>
      </c>
      <c r="C13" s="56">
        <v>375</v>
      </c>
    </row>
    <row r="14" spans="2:6" x14ac:dyDescent="0.7">
      <c r="B14" s="55">
        <f t="shared" si="0"/>
        <v>45108</v>
      </c>
      <c r="C14" s="56">
        <v>991.02</v>
      </c>
    </row>
    <row r="15" spans="2:6" x14ac:dyDescent="0.7">
      <c r="B15" s="55">
        <f t="shared" si="0"/>
        <v>45109</v>
      </c>
      <c r="C15" s="56">
        <v>344.75</v>
      </c>
    </row>
    <row r="16" spans="2:6" x14ac:dyDescent="0.7">
      <c r="B16" s="55">
        <f t="shared" si="0"/>
        <v>45110</v>
      </c>
      <c r="C16" s="57">
        <v>485.97</v>
      </c>
    </row>
    <row r="17" spans="2:3" x14ac:dyDescent="0.7">
      <c r="B17" s="55">
        <f t="shared" si="0"/>
        <v>45111</v>
      </c>
      <c r="C17" s="57">
        <v>580.79999999999995</v>
      </c>
    </row>
    <row r="18" spans="2:3" x14ac:dyDescent="0.7">
      <c r="B18" s="55">
        <f t="shared" si="0"/>
        <v>45112</v>
      </c>
      <c r="C18" s="57">
        <v>703.13</v>
      </c>
    </row>
    <row r="19" spans="2:3" x14ac:dyDescent="0.7">
      <c r="B19" s="55">
        <f t="shared" si="0"/>
        <v>45113</v>
      </c>
      <c r="C19" s="57">
        <v>504.85</v>
      </c>
    </row>
    <row r="20" spans="2:3" x14ac:dyDescent="0.7">
      <c r="B20" s="55">
        <f t="shared" si="0"/>
        <v>45114</v>
      </c>
      <c r="C20" s="57">
        <v>596.05999999999995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2088-0D0F-4FF8-8F04-5281FA0DD1EF}">
  <dimension ref="B2:G212"/>
  <sheetViews>
    <sheetView topLeftCell="A10" zoomScale="40" zoomScaleNormal="40" workbookViewId="0">
      <selection activeCell="I21" sqref="I21"/>
    </sheetView>
  </sheetViews>
  <sheetFormatPr defaultRowHeight="46.5" x14ac:dyDescent="0.7"/>
  <cols>
    <col min="2" max="2" width="11.9140625" customWidth="1"/>
    <col min="3" max="3" width="10.70703125" customWidth="1"/>
    <col min="4" max="4" width="14.875" customWidth="1"/>
    <col min="6" max="6" width="18.75" customWidth="1"/>
    <col min="7" max="7" width="14.4140625" customWidth="1"/>
  </cols>
  <sheetData>
    <row r="2" spans="2:7" x14ac:dyDescent="0.7">
      <c r="B2" s="22" t="s">
        <v>166</v>
      </c>
      <c r="C2" s="22" t="s">
        <v>167</v>
      </c>
      <c r="D2" s="22" t="s">
        <v>168</v>
      </c>
      <c r="F2" s="59" t="s">
        <v>201</v>
      </c>
      <c r="G2" t="str">
        <f>"&gt;5000000"</f>
        <v>&gt;5000000</v>
      </c>
    </row>
    <row r="3" spans="2:7" x14ac:dyDescent="0.7">
      <c r="B3" t="s">
        <v>172</v>
      </c>
      <c r="C3">
        <v>2000</v>
      </c>
      <c r="D3" s="49">
        <v>399594</v>
      </c>
      <c r="F3" t="s">
        <v>202</v>
      </c>
      <c r="G3" s="58" t="s">
        <v>200</v>
      </c>
    </row>
    <row r="4" spans="2:7" x14ac:dyDescent="0.7">
      <c r="B4" t="s">
        <v>172</v>
      </c>
      <c r="C4">
        <v>2001</v>
      </c>
      <c r="D4" s="49">
        <v>377207</v>
      </c>
    </row>
    <row r="5" spans="2:7" x14ac:dyDescent="0.7">
      <c r="B5" t="s">
        <v>172</v>
      </c>
      <c r="C5">
        <v>2002</v>
      </c>
      <c r="D5" s="49">
        <v>423676</v>
      </c>
      <c r="F5" t="s">
        <v>203</v>
      </c>
      <c r="G5">
        <f>COUNTIF(D3:D212,G2)</f>
        <v>11</v>
      </c>
    </row>
    <row r="6" spans="2:7" x14ac:dyDescent="0.7">
      <c r="B6" t="s">
        <v>172</v>
      </c>
      <c r="C6">
        <v>2003</v>
      </c>
      <c r="D6" s="49">
        <v>539162</v>
      </c>
      <c r="F6" t="s">
        <v>204</v>
      </c>
      <c r="G6">
        <f>COUNTIF(D3:D212,G3)</f>
        <v>11</v>
      </c>
    </row>
    <row r="7" spans="2:7" x14ac:dyDescent="0.7">
      <c r="B7" t="s">
        <v>172</v>
      </c>
      <c r="C7">
        <v>2004</v>
      </c>
      <c r="D7" s="49">
        <v>654968</v>
      </c>
    </row>
    <row r="8" spans="2:7" x14ac:dyDescent="0.7">
      <c r="B8" t="s">
        <v>172</v>
      </c>
      <c r="C8">
        <v>2005</v>
      </c>
      <c r="D8" s="49">
        <v>730729</v>
      </c>
      <c r="F8" t="s">
        <v>205</v>
      </c>
      <c r="G8">
        <v>500000</v>
      </c>
    </row>
    <row r="9" spans="2:7" x14ac:dyDescent="0.7">
      <c r="B9" t="s">
        <v>172</v>
      </c>
      <c r="C9">
        <v>2006</v>
      </c>
      <c r="D9" s="49">
        <v>777933</v>
      </c>
      <c r="F9" t="s">
        <v>206</v>
      </c>
      <c r="G9">
        <v>1000000</v>
      </c>
    </row>
    <row r="10" spans="2:7" x14ac:dyDescent="0.7">
      <c r="B10" t="s">
        <v>172</v>
      </c>
      <c r="C10">
        <v>2007</v>
      </c>
      <c r="D10" s="49">
        <v>945364</v>
      </c>
    </row>
    <row r="11" spans="2:7" x14ac:dyDescent="0.7">
      <c r="B11" t="s">
        <v>172</v>
      </c>
      <c r="C11">
        <v>2008</v>
      </c>
      <c r="D11" s="49">
        <v>1051261</v>
      </c>
      <c r="F11" t="s">
        <v>207</v>
      </c>
      <c r="G11">
        <f>COUNTIF(D3:D212,"&lt;="&amp;G9)</f>
        <v>114</v>
      </c>
    </row>
    <row r="12" spans="2:7" x14ac:dyDescent="0.7">
      <c r="B12" t="s">
        <v>172</v>
      </c>
      <c r="C12">
        <v>2009</v>
      </c>
      <c r="D12" s="49">
        <v>993349</v>
      </c>
      <c r="F12" t="s">
        <v>208</v>
      </c>
      <c r="G12">
        <f>COUNTIF(D3:D212, "&lt;"&amp;G8)</f>
        <v>52</v>
      </c>
    </row>
    <row r="13" spans="2:7" x14ac:dyDescent="0.7">
      <c r="B13" t="s">
        <v>173</v>
      </c>
      <c r="C13">
        <v>2000</v>
      </c>
      <c r="D13" s="49">
        <v>233354</v>
      </c>
      <c r="F13" t="s">
        <v>209</v>
      </c>
      <c r="G13">
        <f>G11-G12</f>
        <v>62</v>
      </c>
    </row>
    <row r="14" spans="2:7" x14ac:dyDescent="0.7">
      <c r="B14" t="s">
        <v>173</v>
      </c>
      <c r="C14">
        <v>2001</v>
      </c>
      <c r="D14" s="49">
        <v>232686</v>
      </c>
    </row>
    <row r="15" spans="2:7" x14ac:dyDescent="0.7">
      <c r="B15" t="s">
        <v>173</v>
      </c>
      <c r="C15">
        <v>2002</v>
      </c>
      <c r="D15" s="49">
        <v>253689</v>
      </c>
      <c r="F15" t="s">
        <v>210</v>
      </c>
      <c r="G15">
        <f>COUNTIFS(D3:D212, "&gt;="&amp;G8, D3:D212, "&lt;="&amp;G9)</f>
        <v>62</v>
      </c>
    </row>
    <row r="16" spans="2:7" x14ac:dyDescent="0.7">
      <c r="B16" t="s">
        <v>173</v>
      </c>
      <c r="C16">
        <v>2003</v>
      </c>
      <c r="D16" s="49">
        <v>312285</v>
      </c>
    </row>
    <row r="17" spans="2:7" x14ac:dyDescent="0.7">
      <c r="B17" t="s">
        <v>173</v>
      </c>
      <c r="C17">
        <v>2004</v>
      </c>
      <c r="D17" s="49">
        <v>362160</v>
      </c>
      <c r="F17" t="s">
        <v>166</v>
      </c>
      <c r="G17" s="61" t="s">
        <v>179</v>
      </c>
    </row>
    <row r="18" spans="2:7" x14ac:dyDescent="0.7">
      <c r="B18" t="s">
        <v>173</v>
      </c>
      <c r="C18">
        <v>2005</v>
      </c>
      <c r="D18" s="49">
        <v>378006</v>
      </c>
      <c r="F18" t="s">
        <v>255</v>
      </c>
      <c r="G18" s="66">
        <f>AVERAGEIF(B3:B212,G17,D3:D212)</f>
        <v>1068445.5</v>
      </c>
    </row>
    <row r="19" spans="2:7" x14ac:dyDescent="0.7">
      <c r="B19" t="s">
        <v>173</v>
      </c>
      <c r="C19">
        <v>2006</v>
      </c>
      <c r="D19" s="49">
        <v>400337</v>
      </c>
    </row>
    <row r="20" spans="2:7" x14ac:dyDescent="0.7">
      <c r="B20" t="s">
        <v>173</v>
      </c>
      <c r="C20">
        <v>2007</v>
      </c>
      <c r="D20" s="49">
        <v>460280</v>
      </c>
      <c r="F20" t="s">
        <v>167</v>
      </c>
      <c r="G20" s="61">
        <v>2004</v>
      </c>
    </row>
    <row r="21" spans="2:7" x14ac:dyDescent="0.7">
      <c r="B21" t="s">
        <v>173</v>
      </c>
      <c r="C21">
        <v>2008</v>
      </c>
      <c r="D21" s="49">
        <v>509765</v>
      </c>
      <c r="F21" t="s">
        <v>255</v>
      </c>
      <c r="G21" s="66">
        <f>AVERAGEIF(C3:C212, G20,D3:D212)</f>
        <v>1716866.8095238095</v>
      </c>
    </row>
    <row r="22" spans="2:7" x14ac:dyDescent="0.7">
      <c r="B22" t="s">
        <v>173</v>
      </c>
      <c r="C22">
        <v>2009</v>
      </c>
      <c r="D22" s="49">
        <v>474580</v>
      </c>
    </row>
    <row r="23" spans="2:7" x14ac:dyDescent="0.7">
      <c r="B23" t="s">
        <v>174</v>
      </c>
      <c r="C23">
        <v>2000</v>
      </c>
      <c r="D23" s="49">
        <v>644734</v>
      </c>
    </row>
    <row r="24" spans="2:7" x14ac:dyDescent="0.7">
      <c r="B24" t="s">
        <v>174</v>
      </c>
      <c r="C24">
        <v>2001</v>
      </c>
      <c r="D24" s="49">
        <v>554185</v>
      </c>
    </row>
    <row r="25" spans="2:7" x14ac:dyDescent="0.7">
      <c r="B25" t="s">
        <v>174</v>
      </c>
      <c r="C25">
        <v>2002</v>
      </c>
      <c r="D25" s="49">
        <v>506043</v>
      </c>
    </row>
    <row r="26" spans="2:7" x14ac:dyDescent="0.7">
      <c r="B26" t="s">
        <v>174</v>
      </c>
      <c r="C26">
        <v>2003</v>
      </c>
      <c r="D26" s="49">
        <v>552383</v>
      </c>
    </row>
    <row r="27" spans="2:7" x14ac:dyDescent="0.7">
      <c r="B27" t="s">
        <v>174</v>
      </c>
      <c r="C27">
        <v>2004</v>
      </c>
      <c r="D27" s="49">
        <v>663734</v>
      </c>
    </row>
    <row r="28" spans="2:7" x14ac:dyDescent="0.7">
      <c r="B28" t="s">
        <v>174</v>
      </c>
      <c r="C28">
        <v>2005</v>
      </c>
      <c r="D28" s="49">
        <v>882043</v>
      </c>
    </row>
    <row r="29" spans="2:7" x14ac:dyDescent="0.7">
      <c r="B29" t="s">
        <v>174</v>
      </c>
      <c r="C29">
        <v>2006</v>
      </c>
      <c r="D29" s="49">
        <v>1089255</v>
      </c>
    </row>
    <row r="30" spans="2:7" x14ac:dyDescent="0.7">
      <c r="B30" t="s">
        <v>174</v>
      </c>
      <c r="C30">
        <v>2007</v>
      </c>
      <c r="D30" s="49">
        <v>1366854</v>
      </c>
    </row>
    <row r="31" spans="2:7" x14ac:dyDescent="0.7">
      <c r="B31" t="s">
        <v>174</v>
      </c>
      <c r="C31">
        <v>2008</v>
      </c>
      <c r="D31" s="49">
        <v>1653538</v>
      </c>
    </row>
    <row r="32" spans="2:7" x14ac:dyDescent="0.7">
      <c r="B32" t="s">
        <v>174</v>
      </c>
      <c r="C32">
        <v>2009</v>
      </c>
      <c r="D32" s="49">
        <v>1622311</v>
      </c>
    </row>
    <row r="33" spans="2:4" x14ac:dyDescent="0.7">
      <c r="B33" t="s">
        <v>175</v>
      </c>
      <c r="C33">
        <v>2000</v>
      </c>
      <c r="D33" s="49">
        <v>1496606</v>
      </c>
    </row>
    <row r="34" spans="2:4" x14ac:dyDescent="0.7">
      <c r="B34" t="s">
        <v>175</v>
      </c>
      <c r="C34">
        <v>2001</v>
      </c>
      <c r="D34" s="49">
        <v>1485657</v>
      </c>
    </row>
    <row r="35" spans="2:4" x14ac:dyDescent="0.7">
      <c r="B35" t="s">
        <v>175</v>
      </c>
      <c r="C35">
        <v>2002</v>
      </c>
      <c r="D35" s="49">
        <v>1623558</v>
      </c>
    </row>
    <row r="36" spans="2:4" x14ac:dyDescent="0.7">
      <c r="B36" t="s">
        <v>175</v>
      </c>
      <c r="C36">
        <v>2003</v>
      </c>
      <c r="D36" s="49">
        <v>1877117</v>
      </c>
    </row>
    <row r="37" spans="2:4" x14ac:dyDescent="0.7">
      <c r="B37" t="s">
        <v>175</v>
      </c>
      <c r="C37">
        <v>2004</v>
      </c>
      <c r="D37" s="49">
        <v>2221915</v>
      </c>
    </row>
    <row r="38" spans="2:4" x14ac:dyDescent="0.7">
      <c r="B38" t="s">
        <v>175</v>
      </c>
      <c r="C38">
        <v>2005</v>
      </c>
      <c r="D38" s="49">
        <v>2324184</v>
      </c>
    </row>
    <row r="39" spans="2:4" x14ac:dyDescent="0.7">
      <c r="B39" t="s">
        <v>175</v>
      </c>
      <c r="C39">
        <v>2006</v>
      </c>
      <c r="D39" s="49">
        <v>2486598</v>
      </c>
    </row>
    <row r="40" spans="2:4" x14ac:dyDescent="0.7">
      <c r="B40" t="s">
        <v>175</v>
      </c>
      <c r="C40">
        <v>2007</v>
      </c>
      <c r="D40" s="49">
        <v>2858176</v>
      </c>
    </row>
    <row r="41" spans="2:4" x14ac:dyDescent="0.7">
      <c r="B41" t="s">
        <v>175</v>
      </c>
      <c r="C41">
        <v>2008</v>
      </c>
      <c r="D41" s="49">
        <v>2709573</v>
      </c>
    </row>
    <row r="42" spans="2:4" x14ac:dyDescent="0.7">
      <c r="B42" t="s">
        <v>175</v>
      </c>
      <c r="C42">
        <v>2009</v>
      </c>
      <c r="D42" s="49">
        <v>2217427</v>
      </c>
    </row>
    <row r="43" spans="2:4" x14ac:dyDescent="0.7">
      <c r="B43" t="s">
        <v>176</v>
      </c>
      <c r="C43">
        <v>2000</v>
      </c>
      <c r="D43" s="49">
        <v>1891934</v>
      </c>
    </row>
    <row r="44" spans="2:4" x14ac:dyDescent="0.7">
      <c r="B44" t="s">
        <v>176</v>
      </c>
      <c r="C44">
        <v>2001</v>
      </c>
      <c r="D44" s="49">
        <v>1882511</v>
      </c>
    </row>
    <row r="45" spans="2:4" x14ac:dyDescent="0.7">
      <c r="B45" t="s">
        <v>176</v>
      </c>
      <c r="C45">
        <v>2002</v>
      </c>
      <c r="D45" s="49">
        <v>2013691</v>
      </c>
    </row>
    <row r="46" spans="2:4" x14ac:dyDescent="0.7">
      <c r="B46" t="s">
        <v>176</v>
      </c>
      <c r="C46">
        <v>2003</v>
      </c>
      <c r="D46" s="49">
        <v>2428452</v>
      </c>
    </row>
    <row r="47" spans="2:4" x14ac:dyDescent="0.7">
      <c r="B47" t="s">
        <v>176</v>
      </c>
      <c r="C47">
        <v>2004</v>
      </c>
      <c r="D47" s="49">
        <v>2729923</v>
      </c>
    </row>
    <row r="48" spans="2:4" x14ac:dyDescent="0.7">
      <c r="B48" t="s">
        <v>176</v>
      </c>
      <c r="C48">
        <v>2005</v>
      </c>
      <c r="D48" s="49">
        <v>2771057</v>
      </c>
    </row>
    <row r="49" spans="2:4" x14ac:dyDescent="0.7">
      <c r="B49" t="s">
        <v>176</v>
      </c>
      <c r="C49">
        <v>2006</v>
      </c>
      <c r="D49" s="49">
        <v>2905445</v>
      </c>
    </row>
    <row r="50" spans="2:4" x14ac:dyDescent="0.7">
      <c r="B50" t="s">
        <v>176</v>
      </c>
      <c r="C50">
        <v>2007</v>
      </c>
      <c r="D50" s="49">
        <v>3328589</v>
      </c>
    </row>
    <row r="51" spans="2:4" x14ac:dyDescent="0.7">
      <c r="B51" t="s">
        <v>176</v>
      </c>
      <c r="C51">
        <v>2008</v>
      </c>
      <c r="D51" s="49">
        <v>3640727</v>
      </c>
    </row>
    <row r="52" spans="2:4" x14ac:dyDescent="0.7">
      <c r="B52" t="s">
        <v>176</v>
      </c>
      <c r="C52">
        <v>2009</v>
      </c>
      <c r="D52" s="49">
        <v>3306780</v>
      </c>
    </row>
    <row r="53" spans="2:4" x14ac:dyDescent="0.7">
      <c r="B53" t="s">
        <v>177</v>
      </c>
      <c r="C53">
        <v>2000</v>
      </c>
      <c r="D53" s="49">
        <v>474570</v>
      </c>
    </row>
    <row r="54" spans="2:4" x14ac:dyDescent="0.7">
      <c r="B54" t="s">
        <v>177</v>
      </c>
      <c r="C54">
        <v>2001</v>
      </c>
      <c r="D54" s="49">
        <v>492736</v>
      </c>
    </row>
    <row r="55" spans="2:4" x14ac:dyDescent="0.7">
      <c r="B55" t="s">
        <v>177</v>
      </c>
      <c r="C55">
        <v>2002</v>
      </c>
      <c r="D55" s="49">
        <v>522715</v>
      </c>
    </row>
    <row r="56" spans="2:4" x14ac:dyDescent="0.7">
      <c r="B56" t="s">
        <v>177</v>
      </c>
      <c r="C56">
        <v>2003</v>
      </c>
      <c r="D56" s="49">
        <v>618186</v>
      </c>
    </row>
    <row r="57" spans="2:4" x14ac:dyDescent="0.7">
      <c r="B57" t="s">
        <v>177</v>
      </c>
      <c r="C57">
        <v>2004</v>
      </c>
      <c r="D57" s="49">
        <v>721589</v>
      </c>
    </row>
    <row r="58" spans="2:4" x14ac:dyDescent="0.7">
      <c r="B58" t="s">
        <v>177</v>
      </c>
      <c r="C58">
        <v>2005</v>
      </c>
      <c r="D58" s="49">
        <v>834218</v>
      </c>
    </row>
    <row r="59" spans="2:4" x14ac:dyDescent="0.7">
      <c r="B59" t="s">
        <v>177</v>
      </c>
      <c r="C59">
        <v>2006</v>
      </c>
      <c r="D59" s="49">
        <v>949117</v>
      </c>
    </row>
    <row r="60" spans="2:4" x14ac:dyDescent="0.7">
      <c r="B60" t="s">
        <v>177</v>
      </c>
      <c r="C60">
        <v>2007</v>
      </c>
      <c r="D60" s="49">
        <v>1238478</v>
      </c>
    </row>
    <row r="61" spans="2:4" x14ac:dyDescent="0.7">
      <c r="B61" t="s">
        <v>177</v>
      </c>
      <c r="C61">
        <v>2008</v>
      </c>
      <c r="D61" s="49">
        <v>1223206</v>
      </c>
    </row>
    <row r="62" spans="2:4" x14ac:dyDescent="0.7">
      <c r="B62" t="s">
        <v>177</v>
      </c>
      <c r="C62">
        <v>2009</v>
      </c>
      <c r="D62" s="49">
        <v>1365343</v>
      </c>
    </row>
    <row r="63" spans="2:4" x14ac:dyDescent="0.7">
      <c r="B63" t="s">
        <v>178</v>
      </c>
      <c r="C63">
        <v>2000</v>
      </c>
      <c r="D63" s="49">
        <v>165021</v>
      </c>
    </row>
    <row r="64" spans="2:4" x14ac:dyDescent="0.7">
      <c r="B64" t="s">
        <v>178</v>
      </c>
      <c r="C64">
        <v>2001</v>
      </c>
      <c r="D64" s="49">
        <v>160447</v>
      </c>
    </row>
    <row r="65" spans="2:4" x14ac:dyDescent="0.7">
      <c r="B65" t="s">
        <v>178</v>
      </c>
      <c r="C65">
        <v>2002</v>
      </c>
      <c r="D65" s="49">
        <v>195661</v>
      </c>
    </row>
    <row r="66" spans="2:4" x14ac:dyDescent="0.7">
      <c r="B66" t="s">
        <v>178</v>
      </c>
      <c r="C66">
        <v>2003</v>
      </c>
      <c r="D66" s="49">
        <v>234848</v>
      </c>
    </row>
    <row r="67" spans="2:4" x14ac:dyDescent="0.7">
      <c r="B67" t="s">
        <v>178</v>
      </c>
      <c r="C67">
        <v>2004</v>
      </c>
      <c r="D67" s="49">
        <v>257032</v>
      </c>
    </row>
    <row r="68" spans="2:4" x14ac:dyDescent="0.7">
      <c r="B68" t="s">
        <v>178</v>
      </c>
      <c r="C68">
        <v>2005</v>
      </c>
      <c r="D68" s="49">
        <v>285773</v>
      </c>
    </row>
    <row r="69" spans="2:4" x14ac:dyDescent="0.7">
      <c r="B69" t="s">
        <v>178</v>
      </c>
      <c r="C69">
        <v>2006</v>
      </c>
      <c r="D69" s="49">
        <v>364362</v>
      </c>
    </row>
    <row r="70" spans="2:4" x14ac:dyDescent="0.7">
      <c r="B70" t="s">
        <v>178</v>
      </c>
      <c r="C70">
        <v>2007</v>
      </c>
      <c r="D70" s="49">
        <v>432183</v>
      </c>
    </row>
    <row r="71" spans="2:4" x14ac:dyDescent="0.7">
      <c r="B71" t="s">
        <v>178</v>
      </c>
      <c r="C71">
        <v>2008</v>
      </c>
      <c r="D71" s="49">
        <v>510839</v>
      </c>
    </row>
    <row r="72" spans="2:4" x14ac:dyDescent="0.7">
      <c r="B72" t="s">
        <v>178</v>
      </c>
      <c r="C72">
        <v>2009</v>
      </c>
      <c r="D72" s="49">
        <v>538803</v>
      </c>
    </row>
    <row r="73" spans="2:4" x14ac:dyDescent="0.7">
      <c r="B73" t="s">
        <v>179</v>
      </c>
      <c r="C73">
        <v>2000</v>
      </c>
      <c r="D73" s="49">
        <v>582048</v>
      </c>
    </row>
    <row r="74" spans="2:4" x14ac:dyDescent="0.7">
      <c r="B74" t="s">
        <v>179</v>
      </c>
      <c r="C74">
        <v>2001</v>
      </c>
      <c r="D74" s="49">
        <v>609379</v>
      </c>
    </row>
    <row r="75" spans="2:4" x14ac:dyDescent="0.7">
      <c r="B75" t="s">
        <v>179</v>
      </c>
      <c r="C75">
        <v>2002</v>
      </c>
      <c r="D75" s="49">
        <v>688725</v>
      </c>
    </row>
    <row r="76" spans="2:4" x14ac:dyDescent="0.7">
      <c r="B76" t="s">
        <v>179</v>
      </c>
      <c r="C76">
        <v>2003</v>
      </c>
      <c r="D76" s="49">
        <v>885531</v>
      </c>
    </row>
    <row r="77" spans="2:4" x14ac:dyDescent="0.7">
      <c r="B77" t="s">
        <v>179</v>
      </c>
      <c r="C77">
        <v>2004</v>
      </c>
      <c r="D77" s="49">
        <v>1045984</v>
      </c>
    </row>
    <row r="78" spans="2:4" x14ac:dyDescent="0.7">
      <c r="B78" t="s">
        <v>179</v>
      </c>
      <c r="C78">
        <v>2005</v>
      </c>
      <c r="D78" s="49">
        <v>1132763</v>
      </c>
    </row>
    <row r="79" spans="2:4" x14ac:dyDescent="0.7">
      <c r="B79" t="s">
        <v>179</v>
      </c>
      <c r="C79">
        <v>2006</v>
      </c>
      <c r="D79" s="49">
        <v>1237501</v>
      </c>
    </row>
    <row r="80" spans="2:4" x14ac:dyDescent="0.7">
      <c r="B80" t="s">
        <v>179</v>
      </c>
      <c r="C80">
        <v>2007</v>
      </c>
      <c r="D80" s="49">
        <v>1443500</v>
      </c>
    </row>
    <row r="81" spans="2:4" x14ac:dyDescent="0.7">
      <c r="B81" t="s">
        <v>179</v>
      </c>
      <c r="C81">
        <v>2008</v>
      </c>
      <c r="D81" s="49">
        <v>1600913</v>
      </c>
    </row>
    <row r="82" spans="2:4" x14ac:dyDescent="0.7">
      <c r="B82" t="s">
        <v>179</v>
      </c>
      <c r="C82">
        <v>2009</v>
      </c>
      <c r="D82" s="49">
        <v>1458111</v>
      </c>
    </row>
    <row r="83" spans="2:4" x14ac:dyDescent="0.7">
      <c r="B83" t="s">
        <v>180</v>
      </c>
      <c r="C83">
        <v>2000</v>
      </c>
      <c r="D83" s="49">
        <v>1107248</v>
      </c>
    </row>
    <row r="84" spans="2:4" x14ac:dyDescent="0.7">
      <c r="B84" t="s">
        <v>180</v>
      </c>
      <c r="C84">
        <v>2001</v>
      </c>
      <c r="D84" s="49">
        <v>1124668</v>
      </c>
    </row>
    <row r="85" spans="2:4" x14ac:dyDescent="0.7">
      <c r="B85" t="s">
        <v>180</v>
      </c>
      <c r="C85">
        <v>2002</v>
      </c>
      <c r="D85" s="49">
        <v>1229515</v>
      </c>
    </row>
    <row r="86" spans="2:4" x14ac:dyDescent="0.7">
      <c r="B86" t="s">
        <v>180</v>
      </c>
      <c r="C86">
        <v>2003</v>
      </c>
      <c r="D86" s="49">
        <v>1517402</v>
      </c>
    </row>
    <row r="87" spans="2:4" x14ac:dyDescent="0.7">
      <c r="B87" t="s">
        <v>180</v>
      </c>
      <c r="C87">
        <v>2004</v>
      </c>
      <c r="D87" s="49">
        <v>1737800</v>
      </c>
    </row>
    <row r="88" spans="2:4" x14ac:dyDescent="0.7">
      <c r="B88" t="s">
        <v>180</v>
      </c>
      <c r="C88">
        <v>2005</v>
      </c>
      <c r="D88" s="49">
        <v>1789378</v>
      </c>
    </row>
    <row r="89" spans="2:4" x14ac:dyDescent="0.7">
      <c r="B89" t="s">
        <v>180</v>
      </c>
      <c r="C89">
        <v>2006</v>
      </c>
      <c r="D89" s="49">
        <v>1874722</v>
      </c>
    </row>
    <row r="90" spans="2:4" x14ac:dyDescent="0.7">
      <c r="B90" t="s">
        <v>180</v>
      </c>
      <c r="C90">
        <v>2007</v>
      </c>
      <c r="D90" s="49">
        <v>2130241</v>
      </c>
    </row>
    <row r="91" spans="2:4" x14ac:dyDescent="0.7">
      <c r="B91" t="s">
        <v>180</v>
      </c>
      <c r="C91">
        <v>2008</v>
      </c>
      <c r="D91" s="49">
        <v>2318162</v>
      </c>
    </row>
    <row r="92" spans="2:4" x14ac:dyDescent="0.7">
      <c r="B92" t="s">
        <v>180</v>
      </c>
      <c r="C92">
        <v>2009</v>
      </c>
      <c r="D92" s="49">
        <v>2116627</v>
      </c>
    </row>
    <row r="93" spans="2:4" x14ac:dyDescent="0.7">
      <c r="B93" t="s">
        <v>181</v>
      </c>
      <c r="C93">
        <v>2000</v>
      </c>
      <c r="D93" s="49">
        <v>739451</v>
      </c>
    </row>
    <row r="94" spans="2:4" x14ac:dyDescent="0.7">
      <c r="B94" t="s">
        <v>181</v>
      </c>
      <c r="C94">
        <v>2001</v>
      </c>
      <c r="D94" s="49">
        <v>732735</v>
      </c>
    </row>
    <row r="95" spans="2:4" x14ac:dyDescent="0.7">
      <c r="B95" t="s">
        <v>181</v>
      </c>
      <c r="C95">
        <v>2002</v>
      </c>
      <c r="D95" s="49">
        <v>752523</v>
      </c>
    </row>
    <row r="96" spans="2:4" x14ac:dyDescent="0.7">
      <c r="B96" t="s">
        <v>181</v>
      </c>
      <c r="C96">
        <v>2003</v>
      </c>
      <c r="D96" s="49">
        <v>887782</v>
      </c>
    </row>
    <row r="97" spans="2:4" x14ac:dyDescent="0.7">
      <c r="B97" t="s">
        <v>181</v>
      </c>
      <c r="C97">
        <v>2004</v>
      </c>
      <c r="D97" s="49">
        <v>1018386</v>
      </c>
    </row>
    <row r="98" spans="2:4" x14ac:dyDescent="0.7">
      <c r="B98" t="s">
        <v>181</v>
      </c>
      <c r="C98">
        <v>2005</v>
      </c>
      <c r="D98" s="49">
        <v>1164179</v>
      </c>
    </row>
    <row r="99" spans="2:4" x14ac:dyDescent="0.7">
      <c r="B99" t="s">
        <v>181</v>
      </c>
      <c r="C99">
        <v>2006</v>
      </c>
      <c r="D99" s="49">
        <v>1310795</v>
      </c>
    </row>
    <row r="100" spans="2:4" x14ac:dyDescent="0.7">
      <c r="B100" t="s">
        <v>181</v>
      </c>
      <c r="C100">
        <v>2007</v>
      </c>
      <c r="D100" s="49">
        <v>1457873</v>
      </c>
    </row>
    <row r="101" spans="2:4" x14ac:dyDescent="0.7">
      <c r="B101" t="s">
        <v>181</v>
      </c>
      <c r="C101">
        <v>2008</v>
      </c>
      <c r="D101" s="49">
        <v>1542561</v>
      </c>
    </row>
    <row r="102" spans="2:4" x14ac:dyDescent="0.7">
      <c r="B102" t="s">
        <v>181</v>
      </c>
      <c r="C102">
        <v>2009</v>
      </c>
      <c r="D102" s="49">
        <v>1370839</v>
      </c>
    </row>
    <row r="103" spans="2:4" x14ac:dyDescent="0.7">
      <c r="B103" t="s">
        <v>182</v>
      </c>
      <c r="C103">
        <v>2000</v>
      </c>
      <c r="D103" s="49">
        <v>1198477</v>
      </c>
    </row>
    <row r="104" spans="2:4" x14ac:dyDescent="0.7">
      <c r="B104" t="s">
        <v>182</v>
      </c>
      <c r="C104">
        <v>2001</v>
      </c>
      <c r="D104" s="49">
        <v>1324814</v>
      </c>
    </row>
    <row r="105" spans="2:4" x14ac:dyDescent="0.7">
      <c r="B105" t="s">
        <v>182</v>
      </c>
      <c r="C105">
        <v>2002</v>
      </c>
      <c r="D105" s="49">
        <v>1453833</v>
      </c>
    </row>
    <row r="106" spans="2:4" x14ac:dyDescent="0.7">
      <c r="B106" t="s">
        <v>182</v>
      </c>
      <c r="C106">
        <v>2003</v>
      </c>
      <c r="D106" s="49">
        <v>1640961</v>
      </c>
    </row>
    <row r="107" spans="2:4" x14ac:dyDescent="0.7">
      <c r="B107" t="s">
        <v>182</v>
      </c>
      <c r="C107">
        <v>2004</v>
      </c>
      <c r="D107" s="49">
        <v>1931646</v>
      </c>
    </row>
    <row r="108" spans="2:4" x14ac:dyDescent="0.7">
      <c r="B108" t="s">
        <v>182</v>
      </c>
      <c r="C108">
        <v>2005</v>
      </c>
      <c r="D108" s="49">
        <v>2256919</v>
      </c>
    </row>
    <row r="109" spans="2:4" x14ac:dyDescent="0.7">
      <c r="B109" t="s">
        <v>182</v>
      </c>
      <c r="C109">
        <v>2006</v>
      </c>
      <c r="D109" s="49">
        <v>2712917</v>
      </c>
    </row>
    <row r="110" spans="2:4" x14ac:dyDescent="0.7">
      <c r="B110" t="s">
        <v>182</v>
      </c>
      <c r="C110">
        <v>2007</v>
      </c>
      <c r="D110" s="49">
        <v>3494235</v>
      </c>
    </row>
    <row r="111" spans="2:4" x14ac:dyDescent="0.7">
      <c r="B111" t="s">
        <v>182</v>
      </c>
      <c r="C111">
        <v>2008</v>
      </c>
      <c r="D111" s="49">
        <v>4519951</v>
      </c>
    </row>
    <row r="112" spans="2:4" x14ac:dyDescent="0.7">
      <c r="B112" t="s">
        <v>182</v>
      </c>
      <c r="C112">
        <v>2009</v>
      </c>
      <c r="D112" s="49">
        <v>4990526</v>
      </c>
    </row>
    <row r="113" spans="2:4" x14ac:dyDescent="0.7">
      <c r="B113" t="s">
        <v>183</v>
      </c>
      <c r="C113">
        <v>2000</v>
      </c>
      <c r="D113" s="49">
        <v>692029</v>
      </c>
    </row>
    <row r="114" spans="2:4" x14ac:dyDescent="0.7">
      <c r="B114" t="s">
        <v>183</v>
      </c>
      <c r="C114">
        <v>2001</v>
      </c>
      <c r="D114" s="49">
        <v>733453</v>
      </c>
    </row>
    <row r="115" spans="2:4" x14ac:dyDescent="0.7">
      <c r="B115" t="s">
        <v>183</v>
      </c>
      <c r="C115">
        <v>2002</v>
      </c>
      <c r="D115" s="49">
        <v>750450</v>
      </c>
    </row>
    <row r="116" spans="2:4" x14ac:dyDescent="0.7">
      <c r="B116" t="s">
        <v>183</v>
      </c>
      <c r="C116">
        <v>2003</v>
      </c>
      <c r="D116" s="49">
        <v>722182</v>
      </c>
    </row>
    <row r="117" spans="2:4" x14ac:dyDescent="0.7">
      <c r="B117" t="s">
        <v>183</v>
      </c>
      <c r="C117">
        <v>2004</v>
      </c>
      <c r="D117" s="49">
        <v>774591</v>
      </c>
    </row>
    <row r="118" spans="2:4" x14ac:dyDescent="0.7">
      <c r="B118" t="s">
        <v>183</v>
      </c>
      <c r="C118">
        <v>2005</v>
      </c>
      <c r="D118" s="49">
        <v>869718</v>
      </c>
    </row>
    <row r="119" spans="2:4" x14ac:dyDescent="0.7">
      <c r="B119" t="s">
        <v>183</v>
      </c>
      <c r="C119">
        <v>2006</v>
      </c>
      <c r="D119" s="49">
        <v>965774</v>
      </c>
    </row>
    <row r="120" spans="2:4" x14ac:dyDescent="0.7">
      <c r="B120" t="s">
        <v>183</v>
      </c>
      <c r="C120">
        <v>2007</v>
      </c>
      <c r="D120" s="49">
        <v>1042687</v>
      </c>
    </row>
    <row r="121" spans="2:4" x14ac:dyDescent="0.7">
      <c r="B121" t="s">
        <v>183</v>
      </c>
      <c r="C121">
        <v>2008</v>
      </c>
      <c r="D121" s="49">
        <v>1100673</v>
      </c>
    </row>
    <row r="122" spans="2:4" x14ac:dyDescent="0.7">
      <c r="B122" t="s">
        <v>183</v>
      </c>
      <c r="C122">
        <v>2009</v>
      </c>
      <c r="D122" s="49">
        <v>894566</v>
      </c>
    </row>
    <row r="123" spans="2:4" x14ac:dyDescent="0.7">
      <c r="B123" t="s">
        <v>184</v>
      </c>
      <c r="C123">
        <v>2000</v>
      </c>
      <c r="D123" s="49">
        <v>386204</v>
      </c>
    </row>
    <row r="124" spans="2:4" x14ac:dyDescent="0.7">
      <c r="B124" t="s">
        <v>184</v>
      </c>
      <c r="C124">
        <v>2001</v>
      </c>
      <c r="D124" s="49">
        <v>400998</v>
      </c>
    </row>
    <row r="125" spans="2:4" x14ac:dyDescent="0.7">
      <c r="B125" t="s">
        <v>184</v>
      </c>
      <c r="C125">
        <v>2002</v>
      </c>
      <c r="D125" s="49">
        <v>439357</v>
      </c>
    </row>
    <row r="126" spans="2:4" x14ac:dyDescent="0.7">
      <c r="B126" t="s">
        <v>184</v>
      </c>
      <c r="C126">
        <v>2003</v>
      </c>
      <c r="D126" s="49">
        <v>539343</v>
      </c>
    </row>
    <row r="127" spans="2:4" x14ac:dyDescent="0.7">
      <c r="B127" t="s">
        <v>184</v>
      </c>
      <c r="C127">
        <v>2004</v>
      </c>
      <c r="D127" s="49">
        <v>610691</v>
      </c>
    </row>
    <row r="128" spans="2:4" x14ac:dyDescent="0.7">
      <c r="B128" t="s">
        <v>184</v>
      </c>
      <c r="C128">
        <v>2005</v>
      </c>
      <c r="D128" s="49">
        <v>639579</v>
      </c>
    </row>
    <row r="129" spans="2:4" x14ac:dyDescent="0.7">
      <c r="B129" t="s">
        <v>184</v>
      </c>
      <c r="C129">
        <v>2006</v>
      </c>
      <c r="D129" s="49">
        <v>678321</v>
      </c>
    </row>
    <row r="130" spans="2:4" x14ac:dyDescent="0.7">
      <c r="B130" t="s">
        <v>184</v>
      </c>
      <c r="C130">
        <v>2007</v>
      </c>
      <c r="D130" s="49">
        <v>783692</v>
      </c>
    </row>
    <row r="131" spans="2:4" x14ac:dyDescent="0.7">
      <c r="B131" t="s">
        <v>184</v>
      </c>
      <c r="C131">
        <v>2008</v>
      </c>
      <c r="D131" s="49">
        <v>874906</v>
      </c>
    </row>
    <row r="132" spans="2:4" x14ac:dyDescent="0.7">
      <c r="B132" t="s">
        <v>184</v>
      </c>
      <c r="C132">
        <v>2009</v>
      </c>
      <c r="D132" s="49">
        <v>798400</v>
      </c>
    </row>
    <row r="133" spans="2:4" x14ac:dyDescent="0.7">
      <c r="B133" t="s">
        <v>185</v>
      </c>
      <c r="C133">
        <v>2000</v>
      </c>
      <c r="D133" s="49">
        <v>171263</v>
      </c>
    </row>
    <row r="134" spans="2:4" x14ac:dyDescent="0.7">
      <c r="B134" t="s">
        <v>185</v>
      </c>
      <c r="C134">
        <v>2001</v>
      </c>
      <c r="D134" s="49">
        <v>190421</v>
      </c>
    </row>
    <row r="135" spans="2:4" x14ac:dyDescent="0.7">
      <c r="B135" t="s">
        <v>185</v>
      </c>
      <c r="C135">
        <v>2002</v>
      </c>
      <c r="D135" s="49">
        <v>198205</v>
      </c>
    </row>
    <row r="136" spans="2:4" x14ac:dyDescent="0.7">
      <c r="B136" t="s">
        <v>185</v>
      </c>
      <c r="C136">
        <v>2003</v>
      </c>
      <c r="D136" s="49">
        <v>216811</v>
      </c>
    </row>
    <row r="137" spans="2:4" x14ac:dyDescent="0.7">
      <c r="B137" t="s">
        <v>185</v>
      </c>
      <c r="C137">
        <v>2004</v>
      </c>
      <c r="D137" s="49">
        <v>253021</v>
      </c>
    </row>
    <row r="138" spans="2:4" x14ac:dyDescent="0.7">
      <c r="B138" t="s">
        <v>185</v>
      </c>
      <c r="C138">
        <v>2005</v>
      </c>
      <c r="D138" s="49">
        <v>303976</v>
      </c>
    </row>
    <row r="139" spans="2:4" x14ac:dyDescent="0.7">
      <c r="B139" t="s">
        <v>185</v>
      </c>
      <c r="C139">
        <v>2006</v>
      </c>
      <c r="D139" s="49">
        <v>341670</v>
      </c>
    </row>
    <row r="140" spans="2:4" x14ac:dyDescent="0.7">
      <c r="B140" t="s">
        <v>185</v>
      </c>
      <c r="C140">
        <v>2007</v>
      </c>
      <c r="D140" s="49">
        <v>425321</v>
      </c>
    </row>
    <row r="141" spans="2:4" x14ac:dyDescent="0.7">
      <c r="B141" t="s">
        <v>185</v>
      </c>
      <c r="C141">
        <v>2008</v>
      </c>
      <c r="D141" s="49">
        <v>529432</v>
      </c>
    </row>
    <row r="142" spans="2:4" x14ac:dyDescent="0.7">
      <c r="B142" t="s">
        <v>185</v>
      </c>
      <c r="C142">
        <v>2009</v>
      </c>
      <c r="D142" s="49">
        <v>431457</v>
      </c>
    </row>
    <row r="143" spans="2:4" x14ac:dyDescent="0.7">
      <c r="B143" t="s">
        <v>186</v>
      </c>
      <c r="C143">
        <v>2000</v>
      </c>
      <c r="D143" s="49">
        <v>259702</v>
      </c>
    </row>
    <row r="144" spans="2:4" x14ac:dyDescent="0.7">
      <c r="B144" t="s">
        <v>186</v>
      </c>
      <c r="C144">
        <v>2001</v>
      </c>
      <c r="D144" s="49">
        <v>306583</v>
      </c>
    </row>
    <row r="145" spans="2:4" x14ac:dyDescent="0.7">
      <c r="B145" t="s">
        <v>186</v>
      </c>
      <c r="C145">
        <v>2002</v>
      </c>
      <c r="D145" s="49">
        <v>345125</v>
      </c>
    </row>
    <row r="146" spans="2:4" x14ac:dyDescent="0.7">
      <c r="B146" t="s">
        <v>186</v>
      </c>
      <c r="C146">
        <v>2003</v>
      </c>
      <c r="D146" s="49">
        <v>430289</v>
      </c>
    </row>
    <row r="147" spans="2:4" x14ac:dyDescent="0.7">
      <c r="B147" t="s">
        <v>186</v>
      </c>
      <c r="C147">
        <v>2004</v>
      </c>
      <c r="D147" s="49">
        <v>591177</v>
      </c>
    </row>
    <row r="148" spans="2:4" x14ac:dyDescent="0.7">
      <c r="B148" t="s">
        <v>186</v>
      </c>
      <c r="C148">
        <v>2005</v>
      </c>
      <c r="D148" s="49">
        <v>763704</v>
      </c>
    </row>
    <row r="149" spans="2:4" x14ac:dyDescent="0.7">
      <c r="B149" t="s">
        <v>186</v>
      </c>
      <c r="C149">
        <v>2006</v>
      </c>
      <c r="D149" s="49">
        <v>989932</v>
      </c>
    </row>
    <row r="150" spans="2:4" x14ac:dyDescent="0.7">
      <c r="B150" t="s">
        <v>186</v>
      </c>
      <c r="C150">
        <v>2007</v>
      </c>
      <c r="D150" s="49">
        <v>1299703</v>
      </c>
    </row>
    <row r="151" spans="2:4" x14ac:dyDescent="0.7">
      <c r="B151" t="s">
        <v>186</v>
      </c>
      <c r="C151">
        <v>2008</v>
      </c>
      <c r="D151" s="49">
        <v>1660846</v>
      </c>
    </row>
    <row r="152" spans="2:4" x14ac:dyDescent="0.7">
      <c r="B152" t="s">
        <v>186</v>
      </c>
      <c r="C152">
        <v>2009</v>
      </c>
      <c r="D152" s="49">
        <v>1222645</v>
      </c>
    </row>
    <row r="153" spans="2:4" x14ac:dyDescent="0.7">
      <c r="B153" t="s">
        <v>187</v>
      </c>
      <c r="C153">
        <v>2000</v>
      </c>
      <c r="D153" s="49">
        <v>10289725</v>
      </c>
    </row>
    <row r="154" spans="2:4" x14ac:dyDescent="0.7">
      <c r="B154" t="s">
        <v>187</v>
      </c>
      <c r="C154">
        <v>2001</v>
      </c>
      <c r="D154" s="49">
        <v>10625275</v>
      </c>
    </row>
    <row r="155" spans="2:4" x14ac:dyDescent="0.7">
      <c r="B155" t="s">
        <v>187</v>
      </c>
      <c r="C155">
        <v>2002</v>
      </c>
      <c r="D155" s="49">
        <v>10980200</v>
      </c>
    </row>
    <row r="156" spans="2:4" x14ac:dyDescent="0.7">
      <c r="B156" t="s">
        <v>187</v>
      </c>
      <c r="C156">
        <v>2003</v>
      </c>
      <c r="D156" s="49">
        <v>11512275</v>
      </c>
    </row>
    <row r="157" spans="2:4" x14ac:dyDescent="0.7">
      <c r="B157" t="s">
        <v>187</v>
      </c>
      <c r="C157">
        <v>2004</v>
      </c>
      <c r="D157" s="49">
        <v>12277025</v>
      </c>
    </row>
    <row r="158" spans="2:4" x14ac:dyDescent="0.7">
      <c r="B158" t="s">
        <v>187</v>
      </c>
      <c r="C158">
        <v>2005</v>
      </c>
      <c r="D158" s="49">
        <v>13095425</v>
      </c>
    </row>
    <row r="159" spans="2:4" x14ac:dyDescent="0.7">
      <c r="B159" t="s">
        <v>187</v>
      </c>
      <c r="C159">
        <v>2006</v>
      </c>
      <c r="D159" s="49">
        <v>13857900</v>
      </c>
    </row>
    <row r="160" spans="2:4" x14ac:dyDescent="0.7">
      <c r="B160" t="s">
        <v>187</v>
      </c>
      <c r="C160">
        <v>2007</v>
      </c>
      <c r="D160" s="49">
        <v>14480350</v>
      </c>
    </row>
    <row r="161" spans="2:4" x14ac:dyDescent="0.7">
      <c r="B161" t="s">
        <v>187</v>
      </c>
      <c r="C161">
        <v>2008</v>
      </c>
      <c r="D161" s="49">
        <v>14720250</v>
      </c>
    </row>
    <row r="162" spans="2:4" x14ac:dyDescent="0.7">
      <c r="B162" t="s">
        <v>187</v>
      </c>
      <c r="C162">
        <v>2009</v>
      </c>
      <c r="D162" s="49">
        <v>14417950</v>
      </c>
    </row>
    <row r="163" spans="2:4" x14ac:dyDescent="0.7">
      <c r="B163" t="s">
        <v>188</v>
      </c>
      <c r="C163">
        <v>2000</v>
      </c>
      <c r="D163" s="49">
        <v>266560</v>
      </c>
    </row>
    <row r="164" spans="2:4" x14ac:dyDescent="0.7">
      <c r="B164" t="s">
        <v>188</v>
      </c>
      <c r="C164">
        <v>2001</v>
      </c>
      <c r="D164" s="49">
        <v>196007</v>
      </c>
    </row>
    <row r="165" spans="2:4" x14ac:dyDescent="0.7">
      <c r="B165" t="s">
        <v>188</v>
      </c>
      <c r="C165">
        <v>2002</v>
      </c>
      <c r="D165" s="49">
        <v>232530</v>
      </c>
    </row>
    <row r="166" spans="2:4" x14ac:dyDescent="0.7">
      <c r="B166" t="s">
        <v>188</v>
      </c>
      <c r="C166">
        <v>2003</v>
      </c>
      <c r="D166" s="49">
        <v>303008</v>
      </c>
    </row>
    <row r="167" spans="2:4" x14ac:dyDescent="0.7">
      <c r="B167" t="s">
        <v>188</v>
      </c>
      <c r="C167">
        <v>2004</v>
      </c>
      <c r="D167" s="49">
        <v>392156</v>
      </c>
    </row>
    <row r="168" spans="2:4" x14ac:dyDescent="0.7">
      <c r="B168" t="s">
        <v>188</v>
      </c>
      <c r="C168">
        <v>2005</v>
      </c>
      <c r="D168" s="49">
        <v>482986</v>
      </c>
    </row>
    <row r="169" spans="2:4" x14ac:dyDescent="0.7">
      <c r="B169" t="s">
        <v>188</v>
      </c>
      <c r="C169">
        <v>2006</v>
      </c>
      <c r="D169" s="49">
        <v>530917</v>
      </c>
    </row>
    <row r="170" spans="2:4" x14ac:dyDescent="0.7">
      <c r="B170" t="s">
        <v>188</v>
      </c>
      <c r="C170">
        <v>2007</v>
      </c>
      <c r="D170" s="49">
        <v>647140</v>
      </c>
    </row>
    <row r="171" spans="2:4" x14ac:dyDescent="0.7">
      <c r="B171" t="s">
        <v>188</v>
      </c>
      <c r="C171">
        <v>2008</v>
      </c>
      <c r="D171" s="49">
        <v>730325</v>
      </c>
    </row>
    <row r="172" spans="2:4" x14ac:dyDescent="0.7">
      <c r="B172" t="s">
        <v>188</v>
      </c>
      <c r="C172">
        <v>2009</v>
      </c>
      <c r="D172" s="49">
        <v>614570</v>
      </c>
    </row>
    <row r="173" spans="2:4" x14ac:dyDescent="0.7">
      <c r="B173" t="s">
        <v>189</v>
      </c>
      <c r="C173">
        <v>2000</v>
      </c>
      <c r="D173" s="49">
        <v>1330224</v>
      </c>
    </row>
    <row r="174" spans="2:4" x14ac:dyDescent="0.7">
      <c r="B174" t="s">
        <v>189</v>
      </c>
      <c r="C174">
        <v>2001</v>
      </c>
      <c r="D174" s="49">
        <v>1339453</v>
      </c>
    </row>
    <row r="175" spans="2:4" x14ac:dyDescent="0.7">
      <c r="B175" t="s">
        <v>189</v>
      </c>
      <c r="C175">
        <v>2002</v>
      </c>
      <c r="D175" s="49">
        <v>1457171</v>
      </c>
    </row>
    <row r="176" spans="2:4" x14ac:dyDescent="0.7">
      <c r="B176" t="s">
        <v>189</v>
      </c>
      <c r="C176">
        <v>2003</v>
      </c>
      <c r="D176" s="49">
        <v>1795644</v>
      </c>
    </row>
    <row r="177" spans="2:4" x14ac:dyDescent="0.7">
      <c r="B177" t="s">
        <v>189</v>
      </c>
      <c r="C177">
        <v>2004</v>
      </c>
      <c r="D177" s="49">
        <v>2058380</v>
      </c>
    </row>
    <row r="178" spans="2:4" x14ac:dyDescent="0.7">
      <c r="B178" t="s">
        <v>189</v>
      </c>
      <c r="C178">
        <v>2005</v>
      </c>
      <c r="D178" s="49">
        <v>2140266</v>
      </c>
    </row>
    <row r="179" spans="2:4" x14ac:dyDescent="0.7">
      <c r="B179" t="s">
        <v>189</v>
      </c>
      <c r="C179">
        <v>2006</v>
      </c>
      <c r="D179" s="49">
        <v>2257802</v>
      </c>
    </row>
    <row r="180" spans="2:4" x14ac:dyDescent="0.7">
      <c r="B180" t="s">
        <v>189</v>
      </c>
      <c r="C180">
        <v>2007</v>
      </c>
      <c r="D180" s="49">
        <v>2586104</v>
      </c>
    </row>
    <row r="181" spans="2:4" x14ac:dyDescent="0.7">
      <c r="B181" t="s">
        <v>189</v>
      </c>
      <c r="C181">
        <v>2008</v>
      </c>
      <c r="D181" s="49">
        <v>2845111</v>
      </c>
    </row>
    <row r="182" spans="2:4" x14ac:dyDescent="0.7">
      <c r="B182" t="s">
        <v>189</v>
      </c>
      <c r="C182">
        <v>2009</v>
      </c>
      <c r="D182" s="49">
        <v>2626486</v>
      </c>
    </row>
    <row r="183" spans="2:4" x14ac:dyDescent="0.7">
      <c r="B183" t="s">
        <v>190</v>
      </c>
      <c r="C183">
        <v>2000</v>
      </c>
      <c r="D183" s="49">
        <v>256036</v>
      </c>
    </row>
    <row r="184" spans="2:4" x14ac:dyDescent="0.7">
      <c r="B184" t="s">
        <v>190</v>
      </c>
      <c r="C184">
        <v>2001</v>
      </c>
      <c r="D184" s="49">
        <v>262645</v>
      </c>
    </row>
    <row r="185" spans="2:4" x14ac:dyDescent="0.7">
      <c r="B185" t="s">
        <v>190</v>
      </c>
      <c r="C185">
        <v>2002</v>
      </c>
      <c r="D185" s="49">
        <v>286657</v>
      </c>
    </row>
    <row r="186" spans="2:4" x14ac:dyDescent="0.7">
      <c r="B186" t="s">
        <v>190</v>
      </c>
      <c r="C186">
        <v>2003</v>
      </c>
      <c r="D186" s="49">
        <v>334587</v>
      </c>
    </row>
    <row r="187" spans="2:4" x14ac:dyDescent="0.7">
      <c r="B187" t="s">
        <v>190</v>
      </c>
      <c r="C187">
        <v>2004</v>
      </c>
      <c r="D187" s="49">
        <v>374226</v>
      </c>
    </row>
    <row r="188" spans="2:4" x14ac:dyDescent="0.7">
      <c r="B188" t="s">
        <v>190</v>
      </c>
      <c r="C188">
        <v>2005</v>
      </c>
      <c r="D188" s="49">
        <v>384755</v>
      </c>
    </row>
    <row r="189" spans="2:4" x14ac:dyDescent="0.7">
      <c r="B189" t="s">
        <v>190</v>
      </c>
      <c r="C189">
        <v>2006</v>
      </c>
      <c r="D189" s="49">
        <v>405183</v>
      </c>
    </row>
    <row r="190" spans="2:4" x14ac:dyDescent="0.7">
      <c r="B190" t="s">
        <v>190</v>
      </c>
      <c r="C190">
        <v>2007</v>
      </c>
      <c r="D190" s="49">
        <v>450530</v>
      </c>
    </row>
    <row r="191" spans="2:4" x14ac:dyDescent="0.7">
      <c r="B191" t="s">
        <v>190</v>
      </c>
      <c r="C191">
        <v>2008</v>
      </c>
      <c r="D191" s="49">
        <v>524289</v>
      </c>
    </row>
    <row r="192" spans="2:4" x14ac:dyDescent="0.7">
      <c r="B192" t="s">
        <v>190</v>
      </c>
      <c r="C192">
        <v>2009</v>
      </c>
      <c r="D192" s="49">
        <v>509466</v>
      </c>
    </row>
    <row r="193" spans="2:4" x14ac:dyDescent="0.7">
      <c r="B193" t="s">
        <v>191</v>
      </c>
      <c r="C193">
        <v>2000</v>
      </c>
      <c r="D193" s="49">
        <v>533385</v>
      </c>
    </row>
    <row r="194" spans="2:4" x14ac:dyDescent="0.7">
      <c r="B194" t="s">
        <v>191</v>
      </c>
      <c r="C194">
        <v>2001</v>
      </c>
      <c r="D194" s="49">
        <v>504584</v>
      </c>
    </row>
    <row r="195" spans="2:4" x14ac:dyDescent="0.7">
      <c r="B195" t="s">
        <v>191</v>
      </c>
      <c r="C195">
        <v>2002</v>
      </c>
      <c r="D195" s="49">
        <v>575930</v>
      </c>
    </row>
    <row r="196" spans="2:4" x14ac:dyDescent="0.7">
      <c r="B196" t="s">
        <v>191</v>
      </c>
      <c r="C196">
        <v>2003</v>
      </c>
      <c r="D196" s="49">
        <v>643760</v>
      </c>
    </row>
    <row r="197" spans="2:4" x14ac:dyDescent="0.7">
      <c r="B197" t="s">
        <v>191</v>
      </c>
      <c r="C197">
        <v>2004</v>
      </c>
      <c r="D197" s="49">
        <v>721976</v>
      </c>
    </row>
    <row r="198" spans="2:4" x14ac:dyDescent="0.7">
      <c r="B198" t="s">
        <v>191</v>
      </c>
      <c r="C198">
        <v>2005</v>
      </c>
      <c r="D198" s="49">
        <v>844866</v>
      </c>
    </row>
    <row r="199" spans="2:4" x14ac:dyDescent="0.7">
      <c r="B199" t="s">
        <v>191</v>
      </c>
      <c r="C199">
        <v>2006</v>
      </c>
      <c r="D199" s="49">
        <v>951773</v>
      </c>
    </row>
    <row r="200" spans="2:4" x14ac:dyDescent="0.7">
      <c r="B200" t="s">
        <v>191</v>
      </c>
      <c r="C200">
        <v>2007</v>
      </c>
      <c r="D200" s="49">
        <v>1049239</v>
      </c>
    </row>
    <row r="201" spans="2:4" x14ac:dyDescent="0.7">
      <c r="B201" t="s">
        <v>191</v>
      </c>
      <c r="C201">
        <v>2008</v>
      </c>
      <c r="D201" s="49">
        <v>931405</v>
      </c>
    </row>
    <row r="202" spans="2:4" x14ac:dyDescent="0.7">
      <c r="B202" t="s">
        <v>191</v>
      </c>
      <c r="C202">
        <v>2009</v>
      </c>
      <c r="D202" s="49">
        <v>834060</v>
      </c>
    </row>
    <row r="203" spans="2:4" x14ac:dyDescent="0.7">
      <c r="B203" t="s">
        <v>192</v>
      </c>
      <c r="C203">
        <v>2000</v>
      </c>
      <c r="D203" s="49">
        <v>4731199</v>
      </c>
    </row>
    <row r="204" spans="2:4" x14ac:dyDescent="0.7">
      <c r="B204" t="s">
        <v>192</v>
      </c>
      <c r="C204">
        <v>2001</v>
      </c>
      <c r="D204" s="49">
        <v>4159859</v>
      </c>
    </row>
    <row r="205" spans="2:4" x14ac:dyDescent="0.7">
      <c r="B205" t="s">
        <v>192</v>
      </c>
      <c r="C205">
        <v>2002</v>
      </c>
      <c r="D205" s="49">
        <v>3980819</v>
      </c>
    </row>
    <row r="206" spans="2:4" x14ac:dyDescent="0.7">
      <c r="B206" t="s">
        <v>192</v>
      </c>
      <c r="C206">
        <v>2003</v>
      </c>
      <c r="D206" s="49">
        <v>4302940</v>
      </c>
    </row>
    <row r="207" spans="2:4" x14ac:dyDescent="0.7">
      <c r="B207" t="s">
        <v>192</v>
      </c>
      <c r="C207">
        <v>2004</v>
      </c>
      <c r="D207" s="49">
        <v>4655823</v>
      </c>
    </row>
    <row r="208" spans="2:4" x14ac:dyDescent="0.7">
      <c r="B208" t="s">
        <v>192</v>
      </c>
      <c r="C208">
        <v>2005</v>
      </c>
      <c r="D208" s="49">
        <v>4571867</v>
      </c>
    </row>
    <row r="209" spans="2:4" x14ac:dyDescent="0.7">
      <c r="B209" t="s">
        <v>192</v>
      </c>
      <c r="C209">
        <v>2006</v>
      </c>
      <c r="D209" s="49">
        <v>4356750</v>
      </c>
    </row>
    <row r="210" spans="2:4" x14ac:dyDescent="0.7">
      <c r="B210" t="s">
        <v>192</v>
      </c>
      <c r="C210">
        <v>2007</v>
      </c>
      <c r="D210" s="49">
        <v>4356347</v>
      </c>
    </row>
    <row r="211" spans="2:4" x14ac:dyDescent="0.7">
      <c r="B211" t="s">
        <v>192</v>
      </c>
      <c r="C211">
        <v>2008</v>
      </c>
      <c r="D211" s="49">
        <v>4849185</v>
      </c>
    </row>
    <row r="212" spans="2:4" x14ac:dyDescent="0.7">
      <c r="B212" t="s">
        <v>192</v>
      </c>
      <c r="C212">
        <v>2009</v>
      </c>
      <c r="D212" s="49">
        <v>5035141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A737-8873-43C0-AA6D-8F4493537365}">
  <dimension ref="B1:H7"/>
  <sheetViews>
    <sheetView zoomScale="40" zoomScaleNormal="40" workbookViewId="0">
      <selection activeCell="H8" sqref="H8"/>
    </sheetView>
  </sheetViews>
  <sheetFormatPr defaultRowHeight="46.5" x14ac:dyDescent="0.7"/>
  <cols>
    <col min="2" max="2" width="10.83203125" customWidth="1"/>
  </cols>
  <sheetData>
    <row r="1" spans="2:8" x14ac:dyDescent="0.7">
      <c r="B1" s="61" t="s">
        <v>32</v>
      </c>
      <c r="E1" t="s">
        <v>249</v>
      </c>
    </row>
    <row r="2" spans="2:8" x14ac:dyDescent="0.7">
      <c r="B2" t="s">
        <v>43</v>
      </c>
      <c r="E2" s="63" t="s">
        <v>246</v>
      </c>
      <c r="F2" s="63"/>
      <c r="G2" s="63"/>
      <c r="H2">
        <f>COUNTIF(B2:B7,"*ов")</f>
        <v>3</v>
      </c>
    </row>
    <row r="3" spans="2:8" x14ac:dyDescent="0.7">
      <c r="B3" t="s">
        <v>37</v>
      </c>
      <c r="E3" s="63" t="s">
        <v>251</v>
      </c>
      <c r="F3" s="63"/>
      <c r="G3" s="63"/>
      <c r="H3">
        <f>COUNTIF(B2:B7, "*ер")</f>
        <v>2</v>
      </c>
    </row>
    <row r="4" spans="2:8" x14ac:dyDescent="0.7">
      <c r="B4" t="s">
        <v>245</v>
      </c>
      <c r="E4" s="63" t="s">
        <v>252</v>
      </c>
      <c r="F4" s="63"/>
      <c r="G4" s="63"/>
      <c r="H4">
        <f>COUNTIF(B2:B7, "*о*")</f>
        <v>4</v>
      </c>
    </row>
    <row r="5" spans="2:8" x14ac:dyDescent="0.7">
      <c r="B5" t="s">
        <v>247</v>
      </c>
      <c r="E5" s="64" t="s">
        <v>253</v>
      </c>
      <c r="F5" s="64"/>
      <c r="G5" s="64"/>
      <c r="H5">
        <f>COUNTIF(B2:B7, "????ов")</f>
        <v>2</v>
      </c>
    </row>
    <row r="6" spans="2:8" x14ac:dyDescent="0.7">
      <c r="B6" t="s">
        <v>248</v>
      </c>
    </row>
    <row r="7" spans="2:8" x14ac:dyDescent="0.7">
      <c r="B7" t="s">
        <v>250</v>
      </c>
    </row>
  </sheetData>
  <mergeCells count="4">
    <mergeCell ref="E2:G2"/>
    <mergeCell ref="E3:G3"/>
    <mergeCell ref="E4:G4"/>
    <mergeCell ref="E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DC4B-3ED6-43F7-9AB0-0342C909F47D}">
  <dimension ref="B1:J18"/>
  <sheetViews>
    <sheetView topLeftCell="A5" zoomScale="40" zoomScaleNormal="40" workbookViewId="0">
      <selection activeCell="D14" sqref="D14"/>
    </sheetView>
  </sheetViews>
  <sheetFormatPr defaultRowHeight="46.5" x14ac:dyDescent="0.7"/>
  <cols>
    <col min="2" max="2" width="17.1640625" customWidth="1"/>
    <col min="3" max="3" width="14.375" customWidth="1"/>
    <col min="4" max="4" width="12.75" bestFit="1" customWidth="1"/>
    <col min="5" max="5" width="9.9140625" bestFit="1" customWidth="1"/>
    <col min="6" max="6" width="11.6640625" bestFit="1" customWidth="1"/>
    <col min="7" max="7" width="9.20703125" bestFit="1" customWidth="1"/>
    <col min="8" max="8" width="10.25" bestFit="1" customWidth="1"/>
    <col min="9" max="9" width="10.1640625" bestFit="1" customWidth="1"/>
    <col min="10" max="10" width="10.75" bestFit="1" customWidth="1"/>
  </cols>
  <sheetData>
    <row r="1" spans="2:10" ht="120" customHeight="1" thickBot="1" x14ac:dyDescent="0.75">
      <c r="B1" s="8" t="s">
        <v>10</v>
      </c>
    </row>
    <row r="2" spans="2:10" ht="47.25" thickBot="1" x14ac:dyDescent="0.75">
      <c r="B2" s="5" t="s">
        <v>6</v>
      </c>
      <c r="C2" s="6">
        <v>43831</v>
      </c>
      <c r="D2" s="6">
        <v>43862</v>
      </c>
      <c r="E2" s="6">
        <v>43891</v>
      </c>
      <c r="F2" s="6">
        <v>43922</v>
      </c>
      <c r="G2" s="6">
        <v>43952</v>
      </c>
      <c r="H2" s="6">
        <v>43983</v>
      </c>
      <c r="I2" s="6">
        <v>44013</v>
      </c>
      <c r="J2" s="7">
        <v>44044</v>
      </c>
    </row>
    <row r="3" spans="2:10" x14ac:dyDescent="0.7">
      <c r="B3" s="3" t="s">
        <v>2</v>
      </c>
      <c r="C3" s="4">
        <v>5345</v>
      </c>
      <c r="D3" s="2">
        <v>7543</v>
      </c>
      <c r="E3" s="4">
        <v>5345</v>
      </c>
      <c r="F3" s="2">
        <v>3567</v>
      </c>
      <c r="G3" s="2">
        <v>6442</v>
      </c>
      <c r="H3" s="2">
        <v>3567</v>
      </c>
      <c r="I3" s="2">
        <v>6442</v>
      </c>
      <c r="J3" s="2">
        <v>3567</v>
      </c>
    </row>
    <row r="4" spans="2:10" x14ac:dyDescent="0.7">
      <c r="B4" s="1" t="s">
        <v>3</v>
      </c>
      <c r="C4" s="2">
        <v>6245</v>
      </c>
      <c r="D4" s="2">
        <v>4986</v>
      </c>
      <c r="E4" s="2">
        <v>6442</v>
      </c>
      <c r="F4" s="2">
        <v>6442</v>
      </c>
      <c r="G4" s="4">
        <v>5345</v>
      </c>
      <c r="H4" s="2">
        <v>6442</v>
      </c>
      <c r="I4" s="4">
        <v>5345</v>
      </c>
      <c r="J4" s="2">
        <v>6442</v>
      </c>
    </row>
    <row r="5" spans="2:10" x14ac:dyDescent="0.7">
      <c r="B5" s="1" t="s">
        <v>4</v>
      </c>
      <c r="C5" s="2">
        <v>3567</v>
      </c>
      <c r="D5" s="2">
        <v>4897</v>
      </c>
      <c r="E5" s="4">
        <v>5345</v>
      </c>
      <c r="F5" s="2">
        <v>6442</v>
      </c>
      <c r="G5" s="2">
        <v>6245</v>
      </c>
      <c r="H5" s="2">
        <v>6442</v>
      </c>
      <c r="I5" s="2">
        <v>6245</v>
      </c>
      <c r="J5" s="2">
        <v>6245</v>
      </c>
    </row>
    <row r="6" spans="2:10" x14ac:dyDescent="0.7">
      <c r="B6" s="1" t="s">
        <v>5</v>
      </c>
      <c r="C6" s="2">
        <v>6442</v>
      </c>
      <c r="D6" s="2">
        <v>6442</v>
      </c>
      <c r="E6" s="2">
        <v>6245</v>
      </c>
      <c r="F6" s="4">
        <v>5345</v>
      </c>
      <c r="G6" s="2">
        <v>3567</v>
      </c>
      <c r="H6" s="4">
        <v>7586</v>
      </c>
      <c r="I6" s="2">
        <v>3567</v>
      </c>
      <c r="J6" s="2">
        <v>6442</v>
      </c>
    </row>
    <row r="7" spans="2:10" x14ac:dyDescent="0.7">
      <c r="B7" s="1" t="s">
        <v>7</v>
      </c>
      <c r="C7" s="2">
        <v>7543</v>
      </c>
      <c r="D7" s="4">
        <v>5345</v>
      </c>
      <c r="E7" s="2">
        <v>3567</v>
      </c>
      <c r="F7" s="2">
        <v>6245</v>
      </c>
      <c r="G7" s="2">
        <v>6442</v>
      </c>
      <c r="H7" s="2">
        <v>6245</v>
      </c>
      <c r="I7" s="2">
        <v>6442</v>
      </c>
      <c r="J7" s="4">
        <v>5345</v>
      </c>
    </row>
    <row r="8" spans="2:10" x14ac:dyDescent="0.7">
      <c r="B8" s="1" t="s">
        <v>8</v>
      </c>
      <c r="C8" s="2">
        <v>4986</v>
      </c>
      <c r="D8" s="2">
        <v>6245</v>
      </c>
      <c r="E8" s="2">
        <v>3567</v>
      </c>
      <c r="F8" s="2">
        <v>3567</v>
      </c>
      <c r="G8" s="4">
        <v>5345</v>
      </c>
      <c r="H8" s="2">
        <v>3567</v>
      </c>
      <c r="I8" s="4">
        <v>5345</v>
      </c>
      <c r="J8" s="2">
        <v>6245</v>
      </c>
    </row>
    <row r="9" spans="2:10" ht="47.25" thickBot="1" x14ac:dyDescent="0.75">
      <c r="B9" s="9" t="s">
        <v>9</v>
      </c>
      <c r="C9" s="2">
        <v>4897</v>
      </c>
      <c r="D9" s="2">
        <v>3567</v>
      </c>
      <c r="E9" s="2">
        <v>6442</v>
      </c>
      <c r="F9" s="4">
        <v>5345</v>
      </c>
      <c r="G9" s="2">
        <v>6245</v>
      </c>
      <c r="H9" s="2">
        <v>6245</v>
      </c>
      <c r="I9" s="2">
        <v>6245</v>
      </c>
      <c r="J9" s="2">
        <v>3567</v>
      </c>
    </row>
    <row r="10" spans="2:10" ht="47.25" thickBot="1" x14ac:dyDescent="0.75">
      <c r="B10" s="11" t="s">
        <v>11</v>
      </c>
      <c r="C10" s="10">
        <f>ROUND(AVERAGE(C3:C9),2)</f>
        <v>5575</v>
      </c>
      <c r="D10" s="10">
        <f t="shared" ref="D10:J10" si="0">ROUND(AVERAGE(D3:D9),2)</f>
        <v>5575</v>
      </c>
      <c r="E10" s="10">
        <f t="shared" si="0"/>
        <v>5279</v>
      </c>
      <c r="F10" s="10">
        <f t="shared" si="0"/>
        <v>5279</v>
      </c>
      <c r="G10" s="10">
        <f t="shared" si="0"/>
        <v>5661.57</v>
      </c>
      <c r="H10" s="10">
        <f t="shared" si="0"/>
        <v>5727.71</v>
      </c>
      <c r="I10" s="10">
        <f t="shared" si="0"/>
        <v>5661.57</v>
      </c>
      <c r="J10" s="10">
        <f t="shared" si="0"/>
        <v>5407.57</v>
      </c>
    </row>
    <row r="11" spans="2:10" ht="47.25" thickBot="1" x14ac:dyDescent="0.75">
      <c r="B11" s="44" t="s">
        <v>12</v>
      </c>
      <c r="C11" s="45"/>
      <c r="D11" s="45"/>
      <c r="E11" s="45"/>
      <c r="F11" s="45"/>
      <c r="G11" s="45"/>
      <c r="H11" s="45"/>
      <c r="I11" s="45"/>
      <c r="J11" s="46"/>
    </row>
    <row r="12" spans="2:10" x14ac:dyDescent="0.7">
      <c r="B12" s="3" t="s">
        <v>2</v>
      </c>
      <c r="C12" s="4" t="str">
        <f>IF(C3&gt;AVERAGE(C$3:C$9),"Высокий","Низкий")</f>
        <v>Низкий</v>
      </c>
      <c r="D12" s="4" t="str">
        <f t="shared" ref="D12:J12" si="1">IF(D3&gt;AVERAGE(D$3:D$9),"Высокий","Низкий")</f>
        <v>Высокий</v>
      </c>
      <c r="E12" s="4" t="str">
        <f t="shared" si="1"/>
        <v>Высокий</v>
      </c>
      <c r="F12" s="4" t="str">
        <f t="shared" si="1"/>
        <v>Низкий</v>
      </c>
      <c r="G12" s="4" t="str">
        <f t="shared" si="1"/>
        <v>Высокий</v>
      </c>
      <c r="H12" s="4" t="str">
        <f t="shared" si="1"/>
        <v>Низкий</v>
      </c>
      <c r="I12" s="4" t="str">
        <f t="shared" si="1"/>
        <v>Высокий</v>
      </c>
      <c r="J12" s="4" t="str">
        <f t="shared" si="1"/>
        <v>Низкий</v>
      </c>
    </row>
    <row r="13" spans="2:10" x14ac:dyDescent="0.7">
      <c r="B13" s="1" t="s">
        <v>3</v>
      </c>
      <c r="C13" s="4" t="str">
        <f t="shared" ref="C13:C18" si="2">IF(C4&gt;AVERAGE(C$3:C$9),"Высокий","Низкий")</f>
        <v>Высокий</v>
      </c>
      <c r="D13" s="4" t="str">
        <f t="shared" ref="D13:J13" si="3">IF(D4&gt;AVERAGE(D$3:D$9),"Высокий","Низкий")</f>
        <v>Низкий</v>
      </c>
      <c r="E13" s="4" t="str">
        <f t="shared" si="3"/>
        <v>Высокий</v>
      </c>
      <c r="F13" s="4" t="str">
        <f t="shared" si="3"/>
        <v>Высокий</v>
      </c>
      <c r="G13" s="4" t="str">
        <f t="shared" si="3"/>
        <v>Низкий</v>
      </c>
      <c r="H13" s="4" t="str">
        <f t="shared" si="3"/>
        <v>Высокий</v>
      </c>
      <c r="I13" s="4" t="str">
        <f t="shared" si="3"/>
        <v>Низкий</v>
      </c>
      <c r="J13" s="4" t="str">
        <f t="shared" si="3"/>
        <v>Высокий</v>
      </c>
    </row>
    <row r="14" spans="2:10" x14ac:dyDescent="0.7">
      <c r="B14" s="1" t="s">
        <v>4</v>
      </c>
      <c r="C14" s="4" t="str">
        <f t="shared" si="2"/>
        <v>Низкий</v>
      </c>
      <c r="D14" s="4" t="str">
        <f t="shared" ref="D14:J14" si="4">IF(D5&gt;AVERAGE(D$3:D$9),"Высокий","Низкий")</f>
        <v>Низкий</v>
      </c>
      <c r="E14" s="4" t="str">
        <f t="shared" si="4"/>
        <v>Высокий</v>
      </c>
      <c r="F14" s="4" t="str">
        <f t="shared" si="4"/>
        <v>Высокий</v>
      </c>
      <c r="G14" s="4" t="str">
        <f t="shared" si="4"/>
        <v>Высокий</v>
      </c>
      <c r="H14" s="4" t="str">
        <f t="shared" si="4"/>
        <v>Высокий</v>
      </c>
      <c r="I14" s="4" t="str">
        <f t="shared" si="4"/>
        <v>Высокий</v>
      </c>
      <c r="J14" s="4" t="str">
        <f t="shared" si="4"/>
        <v>Высокий</v>
      </c>
    </row>
    <row r="15" spans="2:10" x14ac:dyDescent="0.7">
      <c r="B15" s="1" t="s">
        <v>5</v>
      </c>
      <c r="C15" s="4" t="str">
        <f t="shared" si="2"/>
        <v>Высокий</v>
      </c>
      <c r="D15" s="4" t="str">
        <f t="shared" ref="D15:J15" si="5">IF(D6&gt;AVERAGE(D$3:D$9),"Высокий","Низкий")</f>
        <v>Высокий</v>
      </c>
      <c r="E15" s="4" t="str">
        <f t="shared" si="5"/>
        <v>Высокий</v>
      </c>
      <c r="F15" s="4" t="str">
        <f t="shared" si="5"/>
        <v>Высокий</v>
      </c>
      <c r="G15" s="4" t="str">
        <f t="shared" si="5"/>
        <v>Низкий</v>
      </c>
      <c r="H15" s="4" t="str">
        <f t="shared" si="5"/>
        <v>Высокий</v>
      </c>
      <c r="I15" s="4" t="str">
        <f t="shared" si="5"/>
        <v>Низкий</v>
      </c>
      <c r="J15" s="4" t="str">
        <f t="shared" si="5"/>
        <v>Высокий</v>
      </c>
    </row>
    <row r="16" spans="2:10" x14ac:dyDescent="0.7">
      <c r="B16" s="1" t="s">
        <v>7</v>
      </c>
      <c r="C16" s="4" t="str">
        <f t="shared" si="2"/>
        <v>Высокий</v>
      </c>
      <c r="D16" s="4" t="str">
        <f t="shared" ref="D16:J16" si="6">IF(D7&gt;AVERAGE(D$3:D$9),"Высокий","Низкий")</f>
        <v>Низкий</v>
      </c>
      <c r="E16" s="4" t="str">
        <f t="shared" si="6"/>
        <v>Низкий</v>
      </c>
      <c r="F16" s="4" t="str">
        <f t="shared" si="6"/>
        <v>Высокий</v>
      </c>
      <c r="G16" s="4" t="str">
        <f t="shared" si="6"/>
        <v>Высокий</v>
      </c>
      <c r="H16" s="4" t="str">
        <f t="shared" si="6"/>
        <v>Высокий</v>
      </c>
      <c r="I16" s="4" t="str">
        <f t="shared" si="6"/>
        <v>Высокий</v>
      </c>
      <c r="J16" s="4" t="str">
        <f t="shared" si="6"/>
        <v>Низкий</v>
      </c>
    </row>
    <row r="17" spans="2:10" x14ac:dyDescent="0.7">
      <c r="B17" s="1" t="s">
        <v>8</v>
      </c>
      <c r="C17" s="4" t="str">
        <f t="shared" si="2"/>
        <v>Низкий</v>
      </c>
      <c r="D17" s="4" t="str">
        <f t="shared" ref="D17:J17" si="7">IF(D8&gt;AVERAGE(D$3:D$9),"Высокий","Низкий")</f>
        <v>Высокий</v>
      </c>
      <c r="E17" s="4" t="str">
        <f t="shared" si="7"/>
        <v>Низкий</v>
      </c>
      <c r="F17" s="4" t="str">
        <f t="shared" si="7"/>
        <v>Низкий</v>
      </c>
      <c r="G17" s="4" t="str">
        <f t="shared" si="7"/>
        <v>Низкий</v>
      </c>
      <c r="H17" s="4" t="str">
        <f t="shared" si="7"/>
        <v>Низкий</v>
      </c>
      <c r="I17" s="4" t="str">
        <f t="shared" si="7"/>
        <v>Низкий</v>
      </c>
      <c r="J17" s="4" t="str">
        <f t="shared" si="7"/>
        <v>Высокий</v>
      </c>
    </row>
    <row r="18" spans="2:10" x14ac:dyDescent="0.7">
      <c r="B18" s="1" t="s">
        <v>9</v>
      </c>
      <c r="C18" s="4" t="str">
        <f t="shared" si="2"/>
        <v>Низкий</v>
      </c>
      <c r="D18" s="4" t="str">
        <f t="shared" ref="D18:J18" si="8">IF(D9&gt;AVERAGE(D$3:D$9),"Высокий","Низкий")</f>
        <v>Низкий</v>
      </c>
      <c r="E18" s="4" t="str">
        <f t="shared" si="8"/>
        <v>Высокий</v>
      </c>
      <c r="F18" s="4" t="str">
        <f t="shared" si="8"/>
        <v>Высокий</v>
      </c>
      <c r="G18" s="4" t="str">
        <f t="shared" si="8"/>
        <v>Высокий</v>
      </c>
      <c r="H18" s="4" t="str">
        <f t="shared" si="8"/>
        <v>Высокий</v>
      </c>
      <c r="I18" s="4" t="str">
        <f t="shared" si="8"/>
        <v>Высокий</v>
      </c>
      <c r="J18" s="4" t="str">
        <f t="shared" si="8"/>
        <v>Низкий</v>
      </c>
    </row>
  </sheetData>
  <mergeCells count="1">
    <mergeCell ref="B11:J11"/>
  </mergeCells>
  <conditionalFormatting sqref="C12">
    <cfRule type="cellIs" dxfId="3" priority="4" operator="equal">
      <formula>"Низкий"</formula>
    </cfRule>
  </conditionalFormatting>
  <conditionalFormatting sqref="C12:J18">
    <cfRule type="containsText" dxfId="2" priority="1" operator="containsText" text="Высокий">
      <formula>NOT(ISERROR(SEARCH("Высокий",C12)))</formula>
    </cfRule>
    <cfRule type="cellIs" dxfId="1" priority="2" operator="equal">
      <formula>"Низкий"</formula>
    </cfRule>
    <cfRule type="cellIs" dxfId="0" priority="3" operator="equal">
      <formula>"Низкий"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19E0B-5665-4790-948B-04E111A008CF}">
  <dimension ref="A2:I21"/>
  <sheetViews>
    <sheetView zoomScale="25" zoomScaleNormal="25" workbookViewId="0">
      <selection activeCell="B2" sqref="B2:F21"/>
    </sheetView>
  </sheetViews>
  <sheetFormatPr defaultRowHeight="46.5" x14ac:dyDescent="0.7"/>
  <cols>
    <col min="1" max="1" width="1.375" customWidth="1"/>
    <col min="2" max="2" width="25.875" customWidth="1"/>
    <col min="3" max="3" width="38.08203125" customWidth="1"/>
    <col min="4" max="4" width="10.25" customWidth="1"/>
    <col min="6" max="6" width="7.625" customWidth="1"/>
    <col min="7" max="7" width="3.875" customWidth="1"/>
    <col min="8" max="8" width="17.875" customWidth="1"/>
  </cols>
  <sheetData>
    <row r="2" spans="2:9" ht="57.75" customHeight="1" x14ac:dyDescent="0.7">
      <c r="B2" s="62" t="s">
        <v>211</v>
      </c>
      <c r="C2" s="62" t="s">
        <v>212</v>
      </c>
      <c r="D2" s="62" t="s">
        <v>166</v>
      </c>
      <c r="E2" s="62" t="s">
        <v>213</v>
      </c>
      <c r="F2" s="62" t="s">
        <v>214</v>
      </c>
    </row>
    <row r="3" spans="2:9" x14ac:dyDescent="0.7">
      <c r="B3" t="s">
        <v>215</v>
      </c>
      <c r="C3" t="s">
        <v>221</v>
      </c>
      <c r="D3" t="s">
        <v>190</v>
      </c>
      <c r="E3" s="60">
        <v>1.289699074074074E-3</v>
      </c>
      <c r="F3" t="s">
        <v>238</v>
      </c>
      <c r="H3" t="s">
        <v>241</v>
      </c>
      <c r="I3" s="61" t="s">
        <v>242</v>
      </c>
    </row>
    <row r="4" spans="2:9" x14ac:dyDescent="0.7">
      <c r="B4" t="s">
        <v>215</v>
      </c>
      <c r="C4" t="s">
        <v>222</v>
      </c>
      <c r="D4" t="s">
        <v>190</v>
      </c>
      <c r="E4" s="60">
        <v>1.2971064814814815E-3</v>
      </c>
      <c r="F4" t="s">
        <v>239</v>
      </c>
      <c r="H4" t="s">
        <v>214</v>
      </c>
      <c r="I4" s="61" t="s">
        <v>238</v>
      </c>
    </row>
    <row r="5" spans="2:9" x14ac:dyDescent="0.7">
      <c r="B5" t="s">
        <v>215</v>
      </c>
      <c r="C5" t="s">
        <v>223</v>
      </c>
      <c r="D5" t="s">
        <v>236</v>
      </c>
      <c r="E5" s="60">
        <v>1.3009259259259259E-3</v>
      </c>
      <c r="F5" t="s">
        <v>240</v>
      </c>
    </row>
    <row r="6" spans="2:9" x14ac:dyDescent="0.7">
      <c r="B6" t="s">
        <v>216</v>
      </c>
      <c r="C6" t="s">
        <v>224</v>
      </c>
      <c r="D6" t="s">
        <v>179</v>
      </c>
      <c r="E6" s="60">
        <v>1.2646990740740741E-3</v>
      </c>
      <c r="F6" t="s">
        <v>238</v>
      </c>
      <c r="H6" t="s">
        <v>243</v>
      </c>
      <c r="I6">
        <f>COUNTIF(F3:F21,I4)</f>
        <v>7</v>
      </c>
    </row>
    <row r="7" spans="2:9" x14ac:dyDescent="0.7">
      <c r="B7" t="s">
        <v>216</v>
      </c>
      <c r="C7" t="s">
        <v>225</v>
      </c>
      <c r="D7" t="s">
        <v>180</v>
      </c>
      <c r="E7" s="60">
        <v>1.2152777777777778E-3</v>
      </c>
      <c r="F7" t="s">
        <v>238</v>
      </c>
    </row>
    <row r="8" spans="2:9" x14ac:dyDescent="0.7">
      <c r="B8" t="s">
        <v>216</v>
      </c>
      <c r="C8" t="s">
        <v>225</v>
      </c>
      <c r="D8" t="s">
        <v>180</v>
      </c>
      <c r="E8" s="60">
        <v>1.276388888888889E-3</v>
      </c>
      <c r="F8" t="s">
        <v>239</v>
      </c>
      <c r="H8" t="s">
        <v>244</v>
      </c>
      <c r="I8">
        <f>COUNTIFS(C3:C21, "*"&amp;I3&amp;"*",F3:F21,I4)</f>
        <v>2</v>
      </c>
    </row>
    <row r="9" spans="2:9" x14ac:dyDescent="0.7">
      <c r="B9" t="s">
        <v>216</v>
      </c>
      <c r="C9" t="s">
        <v>226</v>
      </c>
      <c r="D9" t="s">
        <v>180</v>
      </c>
      <c r="E9" s="60">
        <v>1.2766203703703705E-3</v>
      </c>
      <c r="F9" t="s">
        <v>240</v>
      </c>
    </row>
    <row r="10" spans="2:9" x14ac:dyDescent="0.7">
      <c r="B10" t="s">
        <v>217</v>
      </c>
      <c r="C10" t="s">
        <v>225</v>
      </c>
      <c r="D10" t="s">
        <v>180</v>
      </c>
      <c r="E10" s="60">
        <v>2.1946759259259259E-3</v>
      </c>
      <c r="F10" t="s">
        <v>238</v>
      </c>
    </row>
    <row r="11" spans="2:9" x14ac:dyDescent="0.7">
      <c r="B11" t="s">
        <v>217</v>
      </c>
      <c r="C11" t="s">
        <v>227</v>
      </c>
      <c r="D11" t="s">
        <v>190</v>
      </c>
      <c r="E11" s="60">
        <v>2.2077546296296294E-3</v>
      </c>
      <c r="F11" t="s">
        <v>239</v>
      </c>
    </row>
    <row r="12" spans="2:9" x14ac:dyDescent="0.7">
      <c r="B12" t="s">
        <v>217</v>
      </c>
      <c r="C12" t="s">
        <v>228</v>
      </c>
      <c r="D12" t="s">
        <v>190</v>
      </c>
      <c r="E12" s="60">
        <v>2.2105324074074072E-3</v>
      </c>
      <c r="F12" t="s">
        <v>240</v>
      </c>
    </row>
    <row r="13" spans="2:9" x14ac:dyDescent="0.7">
      <c r="B13" t="s">
        <v>218</v>
      </c>
      <c r="C13" t="s">
        <v>229</v>
      </c>
      <c r="D13" t="s">
        <v>190</v>
      </c>
      <c r="E13" s="60">
        <v>1.1189814814814814E-3</v>
      </c>
      <c r="F13" t="s">
        <v>238</v>
      </c>
    </row>
    <row r="14" spans="2:9" x14ac:dyDescent="0.7">
      <c r="B14" t="s">
        <v>218</v>
      </c>
      <c r="C14" t="s">
        <v>230</v>
      </c>
      <c r="D14" t="s">
        <v>236</v>
      </c>
      <c r="E14" s="60">
        <v>1.1226851851851851E-3</v>
      </c>
      <c r="F14" t="s">
        <v>239</v>
      </c>
    </row>
    <row r="15" spans="2:9" x14ac:dyDescent="0.7">
      <c r="B15" t="s">
        <v>218</v>
      </c>
      <c r="C15" t="s">
        <v>231</v>
      </c>
      <c r="D15" t="s">
        <v>237</v>
      </c>
      <c r="E15" s="60">
        <v>1.1305555555555557E-3</v>
      </c>
      <c r="F15" t="s">
        <v>240</v>
      </c>
    </row>
    <row r="16" spans="2:9" x14ac:dyDescent="0.7">
      <c r="B16" t="s">
        <v>219</v>
      </c>
      <c r="C16" t="s">
        <v>232</v>
      </c>
      <c r="D16" t="s">
        <v>237</v>
      </c>
      <c r="E16" s="60">
        <v>1.0560185185185184E-3</v>
      </c>
      <c r="F16" t="s">
        <v>238</v>
      </c>
    </row>
    <row r="17" spans="2:6" x14ac:dyDescent="0.7">
      <c r="B17" t="s">
        <v>219</v>
      </c>
      <c r="C17" t="s">
        <v>233</v>
      </c>
      <c r="D17" t="s">
        <v>189</v>
      </c>
      <c r="E17" s="60">
        <v>1.0562499999999999E-3</v>
      </c>
      <c r="F17" t="s">
        <v>239</v>
      </c>
    </row>
    <row r="18" spans="2:6" x14ac:dyDescent="0.7">
      <c r="B18" t="s">
        <v>219</v>
      </c>
      <c r="C18" t="s">
        <v>234</v>
      </c>
      <c r="D18" t="s">
        <v>189</v>
      </c>
      <c r="E18" s="60">
        <v>1.0728009259259258E-3</v>
      </c>
      <c r="F18" t="s">
        <v>240</v>
      </c>
    </row>
    <row r="19" spans="2:6" x14ac:dyDescent="0.7">
      <c r="B19" t="s">
        <v>220</v>
      </c>
      <c r="C19" t="s">
        <v>229</v>
      </c>
      <c r="D19" t="s">
        <v>190</v>
      </c>
      <c r="E19" s="60">
        <v>1.0405092592592593E-3</v>
      </c>
      <c r="F19" t="s">
        <v>238</v>
      </c>
    </row>
    <row r="20" spans="2:6" x14ac:dyDescent="0.7">
      <c r="B20" t="s">
        <v>220</v>
      </c>
      <c r="C20" t="s">
        <v>230</v>
      </c>
      <c r="D20" t="s">
        <v>236</v>
      </c>
      <c r="E20" s="60">
        <v>1.0503472222222223E-3</v>
      </c>
      <c r="F20" t="s">
        <v>239</v>
      </c>
    </row>
    <row r="21" spans="2:6" x14ac:dyDescent="0.7">
      <c r="B21" t="s">
        <v>220</v>
      </c>
      <c r="C21" t="s">
        <v>235</v>
      </c>
      <c r="D21" t="s">
        <v>236</v>
      </c>
      <c r="E21" s="60">
        <v>1.0688657407407407E-3</v>
      </c>
      <c r="F21" t="s">
        <v>240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142A7-EC0C-4D08-8E93-71C7F6A4105C}">
  <dimension ref="B2:I21"/>
  <sheetViews>
    <sheetView zoomScale="40" zoomScaleNormal="40" workbookViewId="0">
      <selection activeCell="H7" sqref="H7:H8"/>
    </sheetView>
  </sheetViews>
  <sheetFormatPr defaultRowHeight="46.5" x14ac:dyDescent="0.7"/>
  <cols>
    <col min="1" max="1" width="3.45703125" customWidth="1"/>
    <col min="2" max="2" width="26.58203125" customWidth="1"/>
    <col min="3" max="3" width="32.6640625" customWidth="1"/>
    <col min="4" max="4" width="10.75" bestFit="1" customWidth="1"/>
    <col min="5" max="5" width="9.1640625" bestFit="1" customWidth="1"/>
    <col min="6" max="6" width="7.9140625" bestFit="1" customWidth="1"/>
    <col min="7" max="7" width="2.95703125" customWidth="1"/>
    <col min="8" max="8" width="16.95703125" customWidth="1"/>
    <col min="9" max="9" width="11.625" bestFit="1" customWidth="1"/>
  </cols>
  <sheetData>
    <row r="2" spans="2:9" x14ac:dyDescent="0.7">
      <c r="B2" s="62" t="s">
        <v>211</v>
      </c>
      <c r="C2" s="62" t="s">
        <v>212</v>
      </c>
      <c r="D2" s="62" t="s">
        <v>166</v>
      </c>
      <c r="E2" s="62" t="s">
        <v>213</v>
      </c>
      <c r="F2" s="62" t="s">
        <v>214</v>
      </c>
    </row>
    <row r="3" spans="2:9" x14ac:dyDescent="0.7">
      <c r="B3" t="s">
        <v>215</v>
      </c>
      <c r="C3" t="s">
        <v>221</v>
      </c>
      <c r="D3" t="s">
        <v>190</v>
      </c>
      <c r="E3" s="60">
        <v>1.289699074074074E-3</v>
      </c>
      <c r="F3" t="s">
        <v>238</v>
      </c>
      <c r="H3" t="s">
        <v>166</v>
      </c>
      <c r="I3" s="52" t="s">
        <v>236</v>
      </c>
    </row>
    <row r="4" spans="2:9" x14ac:dyDescent="0.7">
      <c r="B4" t="s">
        <v>215</v>
      </c>
      <c r="C4" t="s">
        <v>222</v>
      </c>
      <c r="D4" t="s">
        <v>190</v>
      </c>
      <c r="E4" s="60">
        <v>1.2971064814814815E-3</v>
      </c>
      <c r="F4" t="s">
        <v>239</v>
      </c>
    </row>
    <row r="5" spans="2:9" x14ac:dyDescent="0.7">
      <c r="B5" t="s">
        <v>215</v>
      </c>
      <c r="C5" t="s">
        <v>223</v>
      </c>
      <c r="D5" t="s">
        <v>236</v>
      </c>
      <c r="E5" s="60">
        <v>1.3009259259259259E-3</v>
      </c>
      <c r="F5" t="s">
        <v>240</v>
      </c>
      <c r="H5" t="s">
        <v>254</v>
      </c>
      <c r="I5" s="65">
        <f>AVERAGEIF(D3:D21, I3, E3:E21)</f>
        <v>1.1357060185185185E-3</v>
      </c>
    </row>
    <row r="6" spans="2:9" x14ac:dyDescent="0.7">
      <c r="B6" t="s">
        <v>216</v>
      </c>
      <c r="C6" t="s">
        <v>224</v>
      </c>
      <c r="D6" t="s">
        <v>179</v>
      </c>
      <c r="E6" s="60">
        <v>1.2646990740740741E-3</v>
      </c>
      <c r="F6" t="s">
        <v>238</v>
      </c>
      <c r="H6" t="s">
        <v>256</v>
      </c>
      <c r="I6" s="65">
        <f>SUMIF(D3:D21, I3,E3:E21)/COUNTIF(D3:D21,I3)</f>
        <v>1.1357060185185185E-3</v>
      </c>
    </row>
    <row r="7" spans="2:9" x14ac:dyDescent="0.7">
      <c r="B7" t="s">
        <v>216</v>
      </c>
      <c r="C7" t="s">
        <v>225</v>
      </c>
      <c r="D7" t="s">
        <v>180</v>
      </c>
      <c r="E7" s="60">
        <v>1.2152777777777778E-3</v>
      </c>
      <c r="F7" t="s">
        <v>238</v>
      </c>
    </row>
    <row r="8" spans="2:9" x14ac:dyDescent="0.7">
      <c r="B8" t="s">
        <v>216</v>
      </c>
      <c r="C8" t="s">
        <v>225</v>
      </c>
      <c r="D8" t="s">
        <v>180</v>
      </c>
      <c r="E8" s="60">
        <v>1.276388888888889E-3</v>
      </c>
      <c r="F8" t="s">
        <v>239</v>
      </c>
    </row>
    <row r="9" spans="2:9" x14ac:dyDescent="0.7">
      <c r="B9" t="s">
        <v>216</v>
      </c>
      <c r="C9" t="s">
        <v>226</v>
      </c>
      <c r="D9" t="s">
        <v>180</v>
      </c>
      <c r="E9" s="60">
        <v>1.2766203703703705E-3</v>
      </c>
      <c r="F9" t="s">
        <v>240</v>
      </c>
    </row>
    <row r="10" spans="2:9" x14ac:dyDescent="0.7">
      <c r="B10" t="s">
        <v>217</v>
      </c>
      <c r="C10" t="s">
        <v>225</v>
      </c>
      <c r="D10" t="s">
        <v>180</v>
      </c>
      <c r="E10" s="60">
        <v>2.1946759259259259E-3</v>
      </c>
      <c r="F10" t="s">
        <v>238</v>
      </c>
    </row>
    <row r="11" spans="2:9" x14ac:dyDescent="0.7">
      <c r="B11" t="s">
        <v>217</v>
      </c>
      <c r="C11" t="s">
        <v>227</v>
      </c>
      <c r="D11" t="s">
        <v>190</v>
      </c>
      <c r="E11" s="60">
        <v>2.2077546296296294E-3</v>
      </c>
      <c r="F11" t="s">
        <v>239</v>
      </c>
    </row>
    <row r="12" spans="2:9" x14ac:dyDescent="0.7">
      <c r="B12" t="s">
        <v>217</v>
      </c>
      <c r="C12" t="s">
        <v>228</v>
      </c>
      <c r="D12" t="s">
        <v>190</v>
      </c>
      <c r="E12" s="60">
        <v>2.2105324074074072E-3</v>
      </c>
      <c r="F12" t="s">
        <v>240</v>
      </c>
    </row>
    <row r="13" spans="2:9" x14ac:dyDescent="0.7">
      <c r="B13" t="s">
        <v>218</v>
      </c>
      <c r="C13" t="s">
        <v>229</v>
      </c>
      <c r="D13" t="s">
        <v>190</v>
      </c>
      <c r="E13" s="60">
        <v>1.1189814814814814E-3</v>
      </c>
      <c r="F13" t="s">
        <v>238</v>
      </c>
    </row>
    <row r="14" spans="2:9" x14ac:dyDescent="0.7">
      <c r="B14" t="s">
        <v>218</v>
      </c>
      <c r="C14" t="s">
        <v>230</v>
      </c>
      <c r="D14" t="s">
        <v>236</v>
      </c>
      <c r="E14" s="60">
        <v>1.1226851851851851E-3</v>
      </c>
      <c r="F14" t="s">
        <v>239</v>
      </c>
    </row>
    <row r="15" spans="2:9" x14ac:dyDescent="0.7">
      <c r="B15" t="s">
        <v>218</v>
      </c>
      <c r="C15" t="s">
        <v>231</v>
      </c>
      <c r="D15" t="s">
        <v>237</v>
      </c>
      <c r="E15" s="60">
        <v>1.1305555555555557E-3</v>
      </c>
      <c r="F15" t="s">
        <v>240</v>
      </c>
    </row>
    <row r="16" spans="2:9" x14ac:dyDescent="0.7">
      <c r="B16" t="s">
        <v>219</v>
      </c>
      <c r="C16" t="s">
        <v>232</v>
      </c>
      <c r="D16" t="s">
        <v>237</v>
      </c>
      <c r="E16" s="60">
        <v>1.0560185185185184E-3</v>
      </c>
      <c r="F16" t="s">
        <v>238</v>
      </c>
    </row>
    <row r="17" spans="2:6" x14ac:dyDescent="0.7">
      <c r="B17" t="s">
        <v>219</v>
      </c>
      <c r="C17" t="s">
        <v>233</v>
      </c>
      <c r="D17" t="s">
        <v>189</v>
      </c>
      <c r="E17" s="60">
        <v>1.0562499999999999E-3</v>
      </c>
      <c r="F17" t="s">
        <v>239</v>
      </c>
    </row>
    <row r="18" spans="2:6" x14ac:dyDescent="0.7">
      <c r="B18" t="s">
        <v>219</v>
      </c>
      <c r="C18" t="s">
        <v>234</v>
      </c>
      <c r="D18" t="s">
        <v>189</v>
      </c>
      <c r="E18" s="60">
        <v>1.0728009259259258E-3</v>
      </c>
      <c r="F18" t="s">
        <v>240</v>
      </c>
    </row>
    <row r="19" spans="2:6" x14ac:dyDescent="0.7">
      <c r="B19" t="s">
        <v>220</v>
      </c>
      <c r="C19" t="s">
        <v>229</v>
      </c>
      <c r="D19" t="s">
        <v>190</v>
      </c>
      <c r="E19" s="60">
        <v>1.0405092592592593E-3</v>
      </c>
      <c r="F19" t="s">
        <v>238</v>
      </c>
    </row>
    <row r="20" spans="2:6" x14ac:dyDescent="0.7">
      <c r="B20" t="s">
        <v>220</v>
      </c>
      <c r="C20" t="s">
        <v>230</v>
      </c>
      <c r="D20" t="s">
        <v>236</v>
      </c>
      <c r="E20" s="60">
        <v>1.0503472222222223E-3</v>
      </c>
      <c r="F20" t="s">
        <v>239</v>
      </c>
    </row>
    <row r="21" spans="2:6" x14ac:dyDescent="0.7">
      <c r="B21" t="s">
        <v>220</v>
      </c>
      <c r="C21" t="s">
        <v>235</v>
      </c>
      <c r="D21" t="s">
        <v>236</v>
      </c>
      <c r="E21" s="60">
        <v>1.0688657407407407E-3</v>
      </c>
      <c r="F21" t="s">
        <v>240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0088-8E01-4035-9FE5-81249E8113CB}">
  <dimension ref="B2:I29"/>
  <sheetViews>
    <sheetView tabSelected="1" topLeftCell="A4" zoomScale="40" zoomScaleNormal="40" workbookViewId="0">
      <selection activeCell="I12" sqref="I12"/>
    </sheetView>
  </sheetViews>
  <sheetFormatPr defaultRowHeight="46.5" x14ac:dyDescent="0.7"/>
  <cols>
    <col min="2" max="2" width="26.7890625" bestFit="1" customWidth="1"/>
    <col min="3" max="3" width="9.125" customWidth="1"/>
    <col min="4" max="4" width="10.75" bestFit="1" customWidth="1"/>
    <col min="5" max="5" width="9.1640625" bestFit="1" customWidth="1"/>
    <col min="7" max="7" width="2.2890625" customWidth="1"/>
    <col min="8" max="8" width="11.6640625" customWidth="1"/>
    <col min="9" max="9" width="13.75" customWidth="1"/>
  </cols>
  <sheetData>
    <row r="2" spans="2:9" x14ac:dyDescent="0.7">
      <c r="B2" s="62" t="s">
        <v>211</v>
      </c>
      <c r="C2" s="62" t="s">
        <v>212</v>
      </c>
      <c r="D2" s="62" t="s">
        <v>166</v>
      </c>
      <c r="E2" s="62" t="s">
        <v>213</v>
      </c>
      <c r="F2" s="62" t="s">
        <v>214</v>
      </c>
    </row>
    <row r="3" spans="2:9" x14ac:dyDescent="0.7">
      <c r="B3" t="s">
        <v>215</v>
      </c>
      <c r="C3" t="s">
        <v>221</v>
      </c>
      <c r="D3" t="s">
        <v>190</v>
      </c>
      <c r="E3" s="60">
        <v>1.289699074074074E-3</v>
      </c>
      <c r="F3" t="s">
        <v>238</v>
      </c>
      <c r="H3" t="s">
        <v>166</v>
      </c>
      <c r="I3" s="61" t="s">
        <v>180</v>
      </c>
    </row>
    <row r="4" spans="2:9" x14ac:dyDescent="0.7">
      <c r="B4" t="s">
        <v>215</v>
      </c>
      <c r="C4" t="s">
        <v>222</v>
      </c>
      <c r="D4" t="s">
        <v>190</v>
      </c>
      <c r="E4" s="60">
        <v>1.2971064814814815E-3</v>
      </c>
      <c r="F4" t="s">
        <v>239</v>
      </c>
      <c r="H4" t="s">
        <v>257</v>
      </c>
      <c r="I4" s="61" t="s">
        <v>259</v>
      </c>
    </row>
    <row r="5" spans="2:9" x14ac:dyDescent="0.7">
      <c r="B5" t="s">
        <v>215</v>
      </c>
      <c r="C5" t="s">
        <v>223</v>
      </c>
      <c r="D5" t="s">
        <v>236</v>
      </c>
      <c r="E5" s="60">
        <v>1.3009259259259259E-3</v>
      </c>
      <c r="F5" t="s">
        <v>240</v>
      </c>
      <c r="H5" t="s">
        <v>214</v>
      </c>
      <c r="I5" s="61" t="s">
        <v>238</v>
      </c>
    </row>
    <row r="6" spans="2:9" x14ac:dyDescent="0.7">
      <c r="B6" t="s">
        <v>216</v>
      </c>
      <c r="C6" t="s">
        <v>224</v>
      </c>
      <c r="D6" t="s">
        <v>179</v>
      </c>
      <c r="E6" s="60">
        <v>1.2646990740740741E-3</v>
      </c>
      <c r="F6" t="s">
        <v>238</v>
      </c>
    </row>
    <row r="7" spans="2:9" x14ac:dyDescent="0.7">
      <c r="B7" t="s">
        <v>216</v>
      </c>
      <c r="C7" t="s">
        <v>225</v>
      </c>
      <c r="D7" t="s">
        <v>180</v>
      </c>
      <c r="E7" s="60">
        <v>1.2152777777777778E-3</v>
      </c>
      <c r="F7" t="s">
        <v>238</v>
      </c>
      <c r="H7" t="s">
        <v>258</v>
      </c>
      <c r="I7" s="65">
        <f>AVERAGEIFS(E3:E21, D3:D21, I3, B3:B21, "*"&amp;I4, F3:F21, I5)</f>
        <v>1.7049768518518518E-3</v>
      </c>
    </row>
    <row r="8" spans="2:9" x14ac:dyDescent="0.7">
      <c r="B8" t="s">
        <v>216</v>
      </c>
      <c r="C8" t="s">
        <v>225</v>
      </c>
      <c r="D8" t="s">
        <v>180</v>
      </c>
      <c r="E8" s="60">
        <v>1.276388888888889E-3</v>
      </c>
      <c r="F8" t="s">
        <v>239</v>
      </c>
    </row>
    <row r="9" spans="2:9" x14ac:dyDescent="0.7">
      <c r="B9" t="s">
        <v>216</v>
      </c>
      <c r="C9" t="s">
        <v>226</v>
      </c>
      <c r="D9" t="s">
        <v>180</v>
      </c>
      <c r="E9" s="60">
        <v>1.2766203703703705E-3</v>
      </c>
      <c r="F9" t="s">
        <v>240</v>
      </c>
      <c r="H9">
        <f>COUNTIF(B3:B21, "*"&amp;I4)</f>
        <v>10</v>
      </c>
    </row>
    <row r="10" spans="2:9" x14ac:dyDescent="0.7">
      <c r="B10" t="s">
        <v>217</v>
      </c>
      <c r="C10" t="s">
        <v>225</v>
      </c>
      <c r="D10" t="s">
        <v>180</v>
      </c>
      <c r="E10" s="60">
        <v>2.1946759259259259E-3</v>
      </c>
      <c r="F10" t="s">
        <v>238</v>
      </c>
      <c r="H10" t="s">
        <v>260</v>
      </c>
      <c r="I10" s="65">
        <f>SUMIFS(E3:E21, D3:D21, I3, B3:B21, "*"&amp;I4, F3:F21,I5)</f>
        <v>3.4099537037037037E-3</v>
      </c>
    </row>
    <row r="11" spans="2:9" x14ac:dyDescent="0.7">
      <c r="B11" t="s">
        <v>217</v>
      </c>
      <c r="C11" t="s">
        <v>227</v>
      </c>
      <c r="D11" t="s">
        <v>190</v>
      </c>
      <c r="E11" s="60">
        <v>2.2077546296296294E-3</v>
      </c>
      <c r="F11" t="s">
        <v>239</v>
      </c>
      <c r="H11" t="s">
        <v>210</v>
      </c>
      <c r="I11">
        <f>COUNTIFS(D3:D21, I3, B3:B21, "*"&amp;I4, F3:F21,I5)</f>
        <v>2</v>
      </c>
    </row>
    <row r="12" spans="2:9" x14ac:dyDescent="0.7">
      <c r="B12" t="s">
        <v>217</v>
      </c>
      <c r="C12" t="s">
        <v>228</v>
      </c>
      <c r="D12" t="s">
        <v>190</v>
      </c>
      <c r="E12" s="60">
        <v>2.2105324074074072E-3</v>
      </c>
      <c r="F12" t="s">
        <v>240</v>
      </c>
      <c r="H12" t="s">
        <v>261</v>
      </c>
      <c r="I12" s="65">
        <f>IF(I11=0,"Значений нет",I10/I11)</f>
        <v>1.7049768518518518E-3</v>
      </c>
    </row>
    <row r="13" spans="2:9" s="53" customFormat="1" x14ac:dyDescent="0.7">
      <c r="B13" s="53" t="s">
        <v>218</v>
      </c>
      <c r="C13" s="53" t="s">
        <v>229</v>
      </c>
      <c r="D13" s="53" t="s">
        <v>190</v>
      </c>
      <c r="E13" s="67">
        <v>1.1189814814814814E-3</v>
      </c>
      <c r="F13" s="53" t="s">
        <v>238</v>
      </c>
    </row>
    <row r="14" spans="2:9" x14ac:dyDescent="0.7">
      <c r="B14" t="s">
        <v>218</v>
      </c>
      <c r="C14" t="s">
        <v>230</v>
      </c>
      <c r="D14" t="s">
        <v>236</v>
      </c>
      <c r="E14" s="60">
        <v>1.1226851851851851E-3</v>
      </c>
      <c r="F14" t="s">
        <v>239</v>
      </c>
    </row>
    <row r="15" spans="2:9" x14ac:dyDescent="0.7">
      <c r="B15" t="s">
        <v>218</v>
      </c>
      <c r="C15" t="s">
        <v>231</v>
      </c>
      <c r="D15" t="s">
        <v>237</v>
      </c>
      <c r="E15" s="60">
        <v>1.1305555555555557E-3</v>
      </c>
      <c r="F15" t="s">
        <v>240</v>
      </c>
    </row>
    <row r="16" spans="2:9" x14ac:dyDescent="0.7">
      <c r="B16" t="s">
        <v>219</v>
      </c>
      <c r="C16" t="s">
        <v>232</v>
      </c>
      <c r="D16" t="s">
        <v>237</v>
      </c>
      <c r="E16" s="60">
        <v>1.0560185185185184E-3</v>
      </c>
      <c r="F16" t="s">
        <v>238</v>
      </c>
    </row>
    <row r="17" spans="2:6" x14ac:dyDescent="0.7">
      <c r="B17" t="s">
        <v>219</v>
      </c>
      <c r="C17" t="s">
        <v>233</v>
      </c>
      <c r="D17" t="s">
        <v>189</v>
      </c>
      <c r="E17" s="60">
        <v>1.0562499999999999E-3</v>
      </c>
      <c r="F17" t="s">
        <v>239</v>
      </c>
    </row>
    <row r="18" spans="2:6" x14ac:dyDescent="0.7">
      <c r="B18" t="s">
        <v>219</v>
      </c>
      <c r="C18" t="s">
        <v>234</v>
      </c>
      <c r="D18" t="s">
        <v>189</v>
      </c>
      <c r="E18" s="60">
        <v>1.0728009259259258E-3</v>
      </c>
      <c r="F18" t="s">
        <v>240</v>
      </c>
    </row>
    <row r="19" spans="2:6" s="53" customFormat="1" x14ac:dyDescent="0.7">
      <c r="B19" s="53" t="s">
        <v>220</v>
      </c>
      <c r="C19" s="53" t="s">
        <v>229</v>
      </c>
      <c r="D19" s="53" t="s">
        <v>190</v>
      </c>
      <c r="E19" s="67">
        <v>1.0405092592592593E-3</v>
      </c>
      <c r="F19" s="53" t="s">
        <v>238</v>
      </c>
    </row>
    <row r="20" spans="2:6" x14ac:dyDescent="0.7">
      <c r="B20" t="s">
        <v>220</v>
      </c>
      <c r="C20" t="s">
        <v>230</v>
      </c>
      <c r="D20" t="s">
        <v>236</v>
      </c>
      <c r="E20" s="60">
        <v>1.0503472222222223E-3</v>
      </c>
      <c r="F20" t="s">
        <v>239</v>
      </c>
    </row>
    <row r="21" spans="2:6" x14ac:dyDescent="0.7">
      <c r="B21" t="s">
        <v>220</v>
      </c>
      <c r="C21" t="s">
        <v>235</v>
      </c>
      <c r="D21" t="s">
        <v>236</v>
      </c>
      <c r="E21" s="60">
        <v>1.0688657407407407E-3</v>
      </c>
      <c r="F21" t="s">
        <v>240</v>
      </c>
    </row>
    <row r="26" spans="2:6" x14ac:dyDescent="0.7">
      <c r="B26">
        <v>34</v>
      </c>
    </row>
    <row r="27" spans="2:6" x14ac:dyDescent="0.7">
      <c r="B27">
        <v>55</v>
      </c>
    </row>
    <row r="28" spans="2:6" x14ac:dyDescent="0.7">
      <c r="B28">
        <v>43</v>
      </c>
    </row>
    <row r="29" spans="2:6" x14ac:dyDescent="0.7">
      <c r="B29" t="e">
        <f>SUM(B26:B28)/0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171CF-4692-478D-AF1E-5929CA2B83C6}">
  <dimension ref="D1:H11"/>
  <sheetViews>
    <sheetView zoomScale="40" zoomScaleNormal="40" workbookViewId="0">
      <selection activeCell="H2" sqref="H2"/>
    </sheetView>
  </sheetViews>
  <sheetFormatPr defaultRowHeight="46.5" x14ac:dyDescent="0.7"/>
  <cols>
    <col min="4" max="4" width="17.08203125" customWidth="1"/>
    <col min="5" max="5" width="12.08203125" customWidth="1"/>
    <col min="7" max="7" width="14.2890625" customWidth="1"/>
  </cols>
  <sheetData>
    <row r="1" spans="4:8" ht="47.25" thickBot="1" x14ac:dyDescent="0.75"/>
    <row r="2" spans="4:8" x14ac:dyDescent="0.7">
      <c r="D2" t="s">
        <v>13</v>
      </c>
      <c r="E2" s="13" t="s">
        <v>15</v>
      </c>
      <c r="G2" t="s">
        <v>25</v>
      </c>
      <c r="H2" s="18" t="str">
        <f>IF( E2="Легковой",
    IF(E3="2-х дверный", "Купе", "Седан" ),
    IF(E3="Есть кузов", "Пикап", "Трейлер")
    )</f>
        <v>Седан</v>
      </c>
    </row>
    <row r="3" spans="4:8" ht="47.25" thickBot="1" x14ac:dyDescent="0.75">
      <c r="D3" t="s">
        <v>14</v>
      </c>
      <c r="E3" s="14" t="s">
        <v>18</v>
      </c>
    </row>
    <row r="4" spans="4:8" ht="47.25" thickBot="1" x14ac:dyDescent="0.75"/>
    <row r="5" spans="4:8" ht="47.25" thickBot="1" x14ac:dyDescent="0.75">
      <c r="D5" s="17" t="s">
        <v>26</v>
      </c>
      <c r="E5" s="15" t="s">
        <v>15</v>
      </c>
    </row>
    <row r="6" spans="4:8" x14ac:dyDescent="0.7">
      <c r="D6" s="16" t="s">
        <v>23</v>
      </c>
      <c r="E6" t="s">
        <v>17</v>
      </c>
    </row>
    <row r="7" spans="4:8" x14ac:dyDescent="0.7">
      <c r="D7" s="12" t="s">
        <v>24</v>
      </c>
      <c r="E7" t="s">
        <v>18</v>
      </c>
    </row>
    <row r="8" spans="4:8" x14ac:dyDescent="0.7">
      <c r="D8" s="12"/>
    </row>
    <row r="9" spans="4:8" ht="47.25" thickBot="1" x14ac:dyDescent="0.75">
      <c r="D9" s="12"/>
      <c r="E9" s="15" t="s">
        <v>16</v>
      </c>
    </row>
    <row r="10" spans="4:8" x14ac:dyDescent="0.7">
      <c r="D10" s="12" t="s">
        <v>21</v>
      </c>
      <c r="E10" t="s">
        <v>19</v>
      </c>
    </row>
    <row r="11" spans="4:8" x14ac:dyDescent="0.7">
      <c r="D11" s="12" t="s">
        <v>22</v>
      </c>
      <c r="E11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E5482-07DA-4A7F-80DB-3552C498C316}">
  <dimension ref="D1:H5"/>
  <sheetViews>
    <sheetView zoomScale="40" zoomScaleNormal="40" workbookViewId="0">
      <selection activeCell="F13" sqref="F13"/>
    </sheetView>
  </sheetViews>
  <sheetFormatPr defaultRowHeight="46.5" x14ac:dyDescent="0.7"/>
  <cols>
    <col min="4" max="4" width="18.125" customWidth="1"/>
    <col min="5" max="5" width="22.70703125" customWidth="1"/>
    <col min="7" max="7" width="14.2890625" customWidth="1"/>
    <col min="8" max="8" width="22.20703125" customWidth="1"/>
  </cols>
  <sheetData>
    <row r="1" spans="4:8" ht="47.25" thickBot="1" x14ac:dyDescent="0.75"/>
    <row r="2" spans="4:8" x14ac:dyDescent="0.7">
      <c r="D2" t="s">
        <v>13</v>
      </c>
      <c r="E2" s="13" t="s">
        <v>15</v>
      </c>
      <c r="G2" t="s">
        <v>25</v>
      </c>
      <c r="H2" s="18" t="str">
        <f>IF(E2=D3, E3, IF(E2=D4, E4, E5))</f>
        <v>Легковой автомобиль</v>
      </c>
    </row>
    <row r="3" spans="4:8" x14ac:dyDescent="0.7">
      <c r="D3" t="s">
        <v>15</v>
      </c>
      <c r="E3" s="19" t="s">
        <v>28</v>
      </c>
    </row>
    <row r="4" spans="4:8" x14ac:dyDescent="0.7">
      <c r="D4" t="s">
        <v>27</v>
      </c>
      <c r="E4" s="19" t="s">
        <v>29</v>
      </c>
    </row>
    <row r="5" spans="4:8" x14ac:dyDescent="0.7">
      <c r="E5" s="19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B4CAA-334C-45E9-9428-9C25E66D5AD7}">
  <dimension ref="A1:G15"/>
  <sheetViews>
    <sheetView zoomScale="40" zoomScaleNormal="40" workbookViewId="0">
      <selection activeCell="E14" sqref="E14"/>
    </sheetView>
  </sheetViews>
  <sheetFormatPr defaultRowHeight="46.5" x14ac:dyDescent="0.7"/>
  <cols>
    <col min="2" max="2" width="18.45703125" customWidth="1"/>
    <col min="3" max="3" width="15.5390625" customWidth="1"/>
    <col min="5" max="5" width="12.7890625" customWidth="1"/>
    <col min="7" max="7" width="17" customWidth="1"/>
  </cols>
  <sheetData>
    <row r="1" spans="1:7" x14ac:dyDescent="0.7">
      <c r="A1">
        <v>4</v>
      </c>
    </row>
    <row r="3" spans="1:7" x14ac:dyDescent="0.7">
      <c r="B3" s="19" t="s">
        <v>31</v>
      </c>
      <c r="C3" s="19" t="s">
        <v>32</v>
      </c>
      <c r="D3" s="19" t="s">
        <v>33</v>
      </c>
      <c r="E3" s="19" t="s">
        <v>34</v>
      </c>
      <c r="F3" s="19" t="s">
        <v>35</v>
      </c>
      <c r="G3" s="19" t="s">
        <v>36</v>
      </c>
    </row>
    <row r="4" spans="1:7" x14ac:dyDescent="0.7">
      <c r="B4" s="20">
        <v>1</v>
      </c>
      <c r="C4" s="20" t="s">
        <v>37</v>
      </c>
      <c r="D4" s="20" t="s">
        <v>38</v>
      </c>
      <c r="E4" s="20" t="s">
        <v>39</v>
      </c>
      <c r="F4" s="20">
        <v>45645</v>
      </c>
      <c r="G4" s="21" t="s">
        <v>51</v>
      </c>
    </row>
    <row r="5" spans="1:7" x14ac:dyDescent="0.7">
      <c r="B5" s="20">
        <v>2</v>
      </c>
      <c r="C5" s="20" t="s">
        <v>40</v>
      </c>
      <c r="D5" s="20" t="s">
        <v>41</v>
      </c>
      <c r="E5" s="20" t="s">
        <v>42</v>
      </c>
      <c r="F5" s="20">
        <v>46756</v>
      </c>
      <c r="G5" s="21" t="s">
        <v>52</v>
      </c>
    </row>
    <row r="6" spans="1:7" x14ac:dyDescent="0.7">
      <c r="B6" s="20">
        <v>3</v>
      </c>
      <c r="C6" s="20" t="s">
        <v>43</v>
      </c>
      <c r="D6" s="20" t="s">
        <v>44</v>
      </c>
      <c r="E6" s="20" t="s">
        <v>45</v>
      </c>
      <c r="F6" s="20">
        <v>78755</v>
      </c>
      <c r="G6" s="21" t="s">
        <v>53</v>
      </c>
    </row>
    <row r="7" spans="1:7" x14ac:dyDescent="0.7">
      <c r="B7" s="22">
        <v>4</v>
      </c>
      <c r="C7" s="22" t="s">
        <v>46</v>
      </c>
      <c r="D7" s="22" t="s">
        <v>38</v>
      </c>
      <c r="E7" s="22" t="s">
        <v>47</v>
      </c>
      <c r="F7" s="22">
        <v>54345</v>
      </c>
      <c r="G7" s="23" t="s">
        <v>54</v>
      </c>
    </row>
    <row r="8" spans="1:7" x14ac:dyDescent="0.7">
      <c r="B8" s="20">
        <v>5</v>
      </c>
      <c r="C8" s="20" t="s">
        <v>48</v>
      </c>
      <c r="D8" s="20" t="s">
        <v>49</v>
      </c>
      <c r="E8" s="20" t="s">
        <v>50</v>
      </c>
      <c r="F8" s="20">
        <v>34567</v>
      </c>
      <c r="G8" s="21" t="s">
        <v>55</v>
      </c>
    </row>
    <row r="10" spans="1:7" x14ac:dyDescent="0.7">
      <c r="C10" s="47" t="s">
        <v>56</v>
      </c>
      <c r="D10" s="47"/>
      <c r="E10" s="47"/>
    </row>
    <row r="11" spans="1:7" x14ac:dyDescent="0.7">
      <c r="B11" t="s">
        <v>57</v>
      </c>
      <c r="C11" t="str">
        <f>VLOOKUP(A1,B4:C8,2,FALSE)</f>
        <v>Алексеев</v>
      </c>
    </row>
    <row r="12" spans="1:7" x14ac:dyDescent="0.7">
      <c r="B12" t="s">
        <v>58</v>
      </c>
      <c r="C12" t="str">
        <f>VLOOKUP(A1,B4:D8,3,FALSE)</f>
        <v>Иван</v>
      </c>
    </row>
    <row r="13" spans="1:7" x14ac:dyDescent="0.7">
      <c r="B13" t="s">
        <v>59</v>
      </c>
      <c r="C13" t="str">
        <f>VLOOKUP(A1,B4:E8,4,FALSE)</f>
        <v>Анатольевич</v>
      </c>
    </row>
    <row r="14" spans="1:7" x14ac:dyDescent="0.7">
      <c r="B14" t="s">
        <v>60</v>
      </c>
      <c r="C14" s="24">
        <f>VLOOKUP(A1,B4:F8,5,FALSE)</f>
        <v>54345</v>
      </c>
    </row>
    <row r="15" spans="1:7" x14ac:dyDescent="0.7">
      <c r="B15" t="s">
        <v>61</v>
      </c>
      <c r="C15" t="str">
        <f>VLOOKUP(A1,B4:G8, 6,FALSE)</f>
        <v>email4@test.ru</v>
      </c>
    </row>
  </sheetData>
  <mergeCells count="1">
    <mergeCell ref="C10:E10"/>
  </mergeCells>
  <hyperlinks>
    <hyperlink ref="G4" r:id="rId1" xr:uid="{B5C12F75-A8E7-49FA-A0D4-B93DC98C9F1C}"/>
    <hyperlink ref="G5:G8" r:id="rId2" display="email1@test.ru" xr:uid="{B3533E94-3CF0-442D-AB78-42AC6D74B54B}"/>
    <hyperlink ref="G5" r:id="rId3" xr:uid="{DC182CF6-416F-48A7-A8E2-1D8AD2DC7BAD}"/>
    <hyperlink ref="G6" r:id="rId4" xr:uid="{CCEE04D1-3B56-47DE-81BF-93FE2382B22D}"/>
    <hyperlink ref="G7" r:id="rId5" xr:uid="{42BE07B6-51E8-4212-8ED6-1BBD856FB15B}"/>
    <hyperlink ref="G8" r:id="rId6" xr:uid="{9E670638-5CBC-4840-BCB4-A6883B3AF55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C0C47-121F-4769-AC17-A35FBBDF59E2}">
  <dimension ref="D1:H11"/>
  <sheetViews>
    <sheetView zoomScale="40" zoomScaleNormal="40" workbookViewId="0">
      <selection activeCell="E19" sqref="E19"/>
    </sheetView>
  </sheetViews>
  <sheetFormatPr defaultRowHeight="46.5" x14ac:dyDescent="0.7"/>
  <cols>
    <col min="4" max="4" width="15.6640625" customWidth="1"/>
    <col min="5" max="5" width="18.0390625" customWidth="1"/>
    <col min="6" max="6" width="12.4140625" customWidth="1"/>
    <col min="7" max="7" width="11.95703125" customWidth="1"/>
  </cols>
  <sheetData>
    <row r="1" spans="4:8" ht="47.25" thickBot="1" x14ac:dyDescent="0.75"/>
    <row r="2" spans="4:8" x14ac:dyDescent="0.7">
      <c r="D2" t="s">
        <v>13</v>
      </c>
      <c r="E2" s="13" t="s">
        <v>16</v>
      </c>
      <c r="G2" t="s">
        <v>25</v>
      </c>
      <c r="H2" s="18" t="str">
        <f>IF(E2="Легковой", VLOOKUP(E3,E6:F7,2,FALSE), VLOOKUP(E3,E10:F11,2,FALSE))</f>
        <v>Трейлер</v>
      </c>
    </row>
    <row r="3" spans="4:8" ht="47.25" thickBot="1" x14ac:dyDescent="0.75">
      <c r="D3" t="s">
        <v>14</v>
      </c>
      <c r="E3" s="14" t="s">
        <v>20</v>
      </c>
    </row>
    <row r="4" spans="4:8" ht="47.25" thickBot="1" x14ac:dyDescent="0.75"/>
    <row r="5" spans="4:8" ht="47.25" thickBot="1" x14ac:dyDescent="0.75">
      <c r="E5" s="15" t="s">
        <v>15</v>
      </c>
      <c r="F5" s="17" t="s">
        <v>26</v>
      </c>
    </row>
    <row r="6" spans="4:8" x14ac:dyDescent="0.7">
      <c r="E6" t="s">
        <v>17</v>
      </c>
      <c r="F6" s="16" t="s">
        <v>23</v>
      </c>
    </row>
    <row r="7" spans="4:8" x14ac:dyDescent="0.7">
      <c r="E7" t="s">
        <v>18</v>
      </c>
      <c r="F7" s="12" t="s">
        <v>24</v>
      </c>
    </row>
    <row r="8" spans="4:8" x14ac:dyDescent="0.7">
      <c r="F8" s="12"/>
    </row>
    <row r="9" spans="4:8" ht="47.25" thickBot="1" x14ac:dyDescent="0.75">
      <c r="E9" s="15" t="s">
        <v>16</v>
      </c>
      <c r="F9" s="12"/>
    </row>
    <row r="10" spans="4:8" x14ac:dyDescent="0.7">
      <c r="E10" t="s">
        <v>19</v>
      </c>
      <c r="F10" s="12" t="s">
        <v>21</v>
      </c>
    </row>
    <row r="11" spans="4:8" x14ac:dyDescent="0.7">
      <c r="E11" t="s">
        <v>20</v>
      </c>
      <c r="F11" s="12" t="s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88DCE-C25E-4A87-9CFE-3EEA66377C05}">
  <dimension ref="B1:O24"/>
  <sheetViews>
    <sheetView zoomScale="40" zoomScaleNormal="40" workbookViewId="0">
      <selection activeCell="H3" sqref="H3"/>
    </sheetView>
  </sheetViews>
  <sheetFormatPr defaultRowHeight="46.5" x14ac:dyDescent="0.7"/>
  <cols>
    <col min="2" max="2" width="12.7890625" customWidth="1"/>
    <col min="3" max="4" width="11.95703125" customWidth="1"/>
    <col min="5" max="7" width="10.0390625" customWidth="1"/>
    <col min="8" max="8" width="13.5" customWidth="1"/>
    <col min="9" max="9" width="14.75" customWidth="1"/>
    <col min="10" max="10" width="13.33203125" customWidth="1"/>
    <col min="12" max="12" width="11.95703125" customWidth="1"/>
  </cols>
  <sheetData>
    <row r="1" spans="2:15" x14ac:dyDescent="0.7">
      <c r="B1" s="48" t="s">
        <v>83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2:15" ht="103.5" customHeight="1" x14ac:dyDescent="0.7">
      <c r="B2" s="22" t="s">
        <v>62</v>
      </c>
      <c r="C2" s="22" t="s">
        <v>63</v>
      </c>
      <c r="D2" s="25" t="s">
        <v>94</v>
      </c>
      <c r="E2" s="25" t="s">
        <v>89</v>
      </c>
      <c r="F2" s="25" t="s">
        <v>92</v>
      </c>
      <c r="G2" s="25" t="s">
        <v>93</v>
      </c>
      <c r="H2" s="25" t="s">
        <v>90</v>
      </c>
      <c r="I2" s="22" t="s">
        <v>84</v>
      </c>
      <c r="J2" s="25" t="s">
        <v>85</v>
      </c>
      <c r="K2" s="25" t="s">
        <v>86</v>
      </c>
      <c r="L2" s="22" t="s">
        <v>88</v>
      </c>
    </row>
    <row r="3" spans="2:15" x14ac:dyDescent="0.7">
      <c r="B3" t="s">
        <v>64</v>
      </c>
      <c r="C3">
        <v>45</v>
      </c>
      <c r="D3" s="29">
        <v>345</v>
      </c>
      <c r="E3" s="26">
        <f>IF(LEFT(B3,3)="201", IF(MID(B3,5,3)="FIN",10%,0% ), 0%)</f>
        <v>0</v>
      </c>
      <c r="F3" s="26" t="b">
        <f>LEFT(B3,3)="201"</f>
        <v>0</v>
      </c>
      <c r="G3" s="26" t="b">
        <f>MID(B3,5,3)="FIN"</f>
        <v>0</v>
      </c>
      <c r="H3" s="26">
        <f>IF( AND(LEFT(B3,3)="201",MID(B3,5,3)="FIN"),10%,0%)</f>
        <v>0</v>
      </c>
      <c r="I3" s="29">
        <f>C3*D3</f>
        <v>15525</v>
      </c>
      <c r="J3" s="29">
        <f>I3-(I3*H3)</f>
        <v>15525</v>
      </c>
      <c r="K3" t="str">
        <f>MID(B3,5,3)</f>
        <v>PRT</v>
      </c>
      <c r="L3" t="b">
        <f>AND(LEFT(B3,3)="201", MID(B3,5,3)="FIN", C3&gt;30)</f>
        <v>0</v>
      </c>
      <c r="M3" s="27"/>
    </row>
    <row r="4" spans="2:15" x14ac:dyDescent="0.7">
      <c r="B4" t="s">
        <v>65</v>
      </c>
      <c r="C4">
        <v>66</v>
      </c>
      <c r="D4" s="29">
        <v>743</v>
      </c>
      <c r="E4" s="26">
        <f t="shared" ref="E4:E22" si="0">IF(LEFT(B4,3)="201", IF(MID(B4,5,3)="FIN",10%,0% ), 0%)</f>
        <v>0.1</v>
      </c>
      <c r="F4" s="28" t="b">
        <f t="shared" ref="F4:F22" si="1">LEFT(B4,3)="201"</f>
        <v>1</v>
      </c>
      <c r="G4" s="28" t="b">
        <f t="shared" ref="G4:G22" si="2">MID(B4,5,3)="FIN"</f>
        <v>1</v>
      </c>
      <c r="H4" s="26">
        <f t="shared" ref="H4:H22" si="3">IF( AND(LEFT(B4,3)="201",MID(B4,5,3)="FIN"),10%,0%)</f>
        <v>0.1</v>
      </c>
      <c r="I4" s="29">
        <f t="shared" ref="I4:I22" si="4">C4*D4</f>
        <v>49038</v>
      </c>
      <c r="J4" s="29">
        <f>I4-(I4*H4)</f>
        <v>44134.2</v>
      </c>
      <c r="K4" t="str">
        <f t="shared" ref="K4:K22" si="5">MID(B4,5,3)</f>
        <v>FIN</v>
      </c>
      <c r="L4" t="b">
        <f t="shared" ref="L4:L22" si="6">AND(LEFT(B4,3)="201", MID(B4,5,3)="FIN", C4&gt;30)</f>
        <v>1</v>
      </c>
    </row>
    <row r="5" spans="2:15" x14ac:dyDescent="0.7">
      <c r="B5" t="s">
        <v>66</v>
      </c>
      <c r="C5">
        <v>53</v>
      </c>
      <c r="D5" s="29">
        <v>6546</v>
      </c>
      <c r="E5" s="26">
        <f t="shared" si="0"/>
        <v>0</v>
      </c>
      <c r="F5" s="26" t="b">
        <f t="shared" si="1"/>
        <v>0</v>
      </c>
      <c r="G5" s="26" t="b">
        <f t="shared" si="2"/>
        <v>1</v>
      </c>
      <c r="H5" s="26">
        <f t="shared" si="3"/>
        <v>0</v>
      </c>
      <c r="I5" s="29">
        <f t="shared" si="4"/>
        <v>346938</v>
      </c>
      <c r="J5" s="29">
        <f t="shared" ref="J5:J22" si="7">I5-(I5*H5)</f>
        <v>346938</v>
      </c>
      <c r="K5" t="str">
        <f t="shared" si="5"/>
        <v>FIN</v>
      </c>
      <c r="L5" t="b">
        <f t="shared" si="6"/>
        <v>0</v>
      </c>
    </row>
    <row r="6" spans="2:15" x14ac:dyDescent="0.7">
      <c r="B6" t="s">
        <v>67</v>
      </c>
      <c r="C6">
        <v>23</v>
      </c>
      <c r="D6" s="29">
        <v>566</v>
      </c>
      <c r="E6" s="26">
        <f t="shared" si="0"/>
        <v>0.1</v>
      </c>
      <c r="F6" s="28" t="b">
        <f t="shared" si="1"/>
        <v>1</v>
      </c>
      <c r="G6" s="28" t="b">
        <f t="shared" si="2"/>
        <v>1</v>
      </c>
      <c r="H6" s="26">
        <f t="shared" si="3"/>
        <v>0.1</v>
      </c>
      <c r="I6" s="29">
        <f t="shared" si="4"/>
        <v>13018</v>
      </c>
      <c r="J6" s="29">
        <f t="shared" si="7"/>
        <v>11716.2</v>
      </c>
      <c r="K6" t="str">
        <f t="shared" si="5"/>
        <v>FIN</v>
      </c>
      <c r="L6" t="b">
        <f t="shared" si="6"/>
        <v>0</v>
      </c>
    </row>
    <row r="7" spans="2:15" x14ac:dyDescent="0.7">
      <c r="B7" t="s">
        <v>68</v>
      </c>
      <c r="C7">
        <v>54</v>
      </c>
      <c r="D7" s="29">
        <v>54</v>
      </c>
      <c r="E7" s="26">
        <f t="shared" si="0"/>
        <v>0</v>
      </c>
      <c r="F7" s="26" t="b">
        <f t="shared" si="1"/>
        <v>0</v>
      </c>
      <c r="G7" s="26" t="b">
        <f t="shared" si="2"/>
        <v>1</v>
      </c>
      <c r="H7" s="26">
        <f t="shared" si="3"/>
        <v>0</v>
      </c>
      <c r="I7" s="29">
        <f t="shared" si="4"/>
        <v>2916</v>
      </c>
      <c r="J7" s="29">
        <f t="shared" si="7"/>
        <v>2916</v>
      </c>
      <c r="K7" t="str">
        <f t="shared" si="5"/>
        <v>FIN</v>
      </c>
      <c r="L7" t="b">
        <f t="shared" si="6"/>
        <v>0</v>
      </c>
    </row>
    <row r="8" spans="2:15" x14ac:dyDescent="0.7">
      <c r="B8" t="s">
        <v>69</v>
      </c>
      <c r="C8">
        <v>65</v>
      </c>
      <c r="D8" s="29">
        <v>186</v>
      </c>
      <c r="E8" s="26">
        <f t="shared" si="0"/>
        <v>0</v>
      </c>
      <c r="F8" s="26" t="b">
        <f t="shared" si="1"/>
        <v>0</v>
      </c>
      <c r="G8" s="26" t="b">
        <f t="shared" si="2"/>
        <v>0</v>
      </c>
      <c r="H8" s="26">
        <f t="shared" si="3"/>
        <v>0</v>
      </c>
      <c r="I8" s="29">
        <f t="shared" si="4"/>
        <v>12090</v>
      </c>
      <c r="J8" s="29">
        <f t="shared" si="7"/>
        <v>12090</v>
      </c>
      <c r="K8" t="str">
        <f t="shared" si="5"/>
        <v>PRT</v>
      </c>
      <c r="L8" t="b">
        <f t="shared" si="6"/>
        <v>0</v>
      </c>
    </row>
    <row r="9" spans="2:15" x14ac:dyDescent="0.7">
      <c r="B9" t="s">
        <v>70</v>
      </c>
      <c r="C9">
        <v>22</v>
      </c>
      <c r="D9" s="29">
        <v>354</v>
      </c>
      <c r="E9" s="26">
        <f t="shared" si="0"/>
        <v>0</v>
      </c>
      <c r="F9" s="26" t="b">
        <f t="shared" si="1"/>
        <v>0</v>
      </c>
      <c r="G9" s="26" t="b">
        <f t="shared" si="2"/>
        <v>1</v>
      </c>
      <c r="H9" s="26">
        <f t="shared" si="3"/>
        <v>0</v>
      </c>
      <c r="I9" s="29">
        <f t="shared" si="4"/>
        <v>7788</v>
      </c>
      <c r="J9" s="29">
        <f t="shared" si="7"/>
        <v>7788</v>
      </c>
      <c r="K9" t="str">
        <f t="shared" si="5"/>
        <v>FIN</v>
      </c>
      <c r="L9" t="b">
        <f t="shared" si="6"/>
        <v>0</v>
      </c>
    </row>
    <row r="10" spans="2:15" x14ac:dyDescent="0.7">
      <c r="B10" t="s">
        <v>71</v>
      </c>
      <c r="C10">
        <v>5</v>
      </c>
      <c r="D10" s="29">
        <v>548</v>
      </c>
      <c r="E10" s="26">
        <f t="shared" si="0"/>
        <v>0</v>
      </c>
      <c r="F10" s="26" t="b">
        <f t="shared" si="1"/>
        <v>1</v>
      </c>
      <c r="G10" s="26" t="b">
        <f t="shared" si="2"/>
        <v>0</v>
      </c>
      <c r="H10" s="26">
        <f t="shared" si="3"/>
        <v>0</v>
      </c>
      <c r="I10" s="29">
        <f t="shared" si="4"/>
        <v>2740</v>
      </c>
      <c r="J10" s="29">
        <f t="shared" si="7"/>
        <v>2740</v>
      </c>
      <c r="K10" t="str">
        <f t="shared" si="5"/>
        <v>PRT</v>
      </c>
      <c r="L10" t="b">
        <f t="shared" si="6"/>
        <v>0</v>
      </c>
    </row>
    <row r="11" spans="2:15" x14ac:dyDescent="0.7">
      <c r="B11" t="s">
        <v>72</v>
      </c>
      <c r="C11">
        <v>65</v>
      </c>
      <c r="D11" s="29">
        <v>654</v>
      </c>
      <c r="E11" s="26">
        <f t="shared" si="0"/>
        <v>0</v>
      </c>
      <c r="F11" s="26" t="b">
        <f t="shared" si="1"/>
        <v>0</v>
      </c>
      <c r="G11" s="26" t="b">
        <f t="shared" si="2"/>
        <v>0</v>
      </c>
      <c r="H11" s="26">
        <f t="shared" si="3"/>
        <v>0</v>
      </c>
      <c r="I11" s="29">
        <f t="shared" si="4"/>
        <v>42510</v>
      </c>
      <c r="J11" s="29">
        <f t="shared" si="7"/>
        <v>42510</v>
      </c>
      <c r="K11" t="str">
        <f t="shared" si="5"/>
        <v>SUB</v>
      </c>
      <c r="L11" t="b">
        <f t="shared" si="6"/>
        <v>0</v>
      </c>
    </row>
    <row r="12" spans="2:15" x14ac:dyDescent="0.7">
      <c r="B12" t="s">
        <v>73</v>
      </c>
      <c r="C12">
        <v>3</v>
      </c>
      <c r="D12" s="29">
        <v>58</v>
      </c>
      <c r="E12" s="26">
        <f t="shared" si="0"/>
        <v>0</v>
      </c>
      <c r="F12" s="26" t="b">
        <f t="shared" si="1"/>
        <v>1</v>
      </c>
      <c r="G12" s="26" t="b">
        <f t="shared" si="2"/>
        <v>0</v>
      </c>
      <c r="H12" s="26">
        <f t="shared" si="3"/>
        <v>0</v>
      </c>
      <c r="I12" s="29">
        <f t="shared" si="4"/>
        <v>174</v>
      </c>
      <c r="J12" s="29">
        <f t="shared" si="7"/>
        <v>174</v>
      </c>
      <c r="K12" t="str">
        <f t="shared" si="5"/>
        <v>SUB</v>
      </c>
      <c r="L12" t="b">
        <f t="shared" si="6"/>
        <v>0</v>
      </c>
    </row>
    <row r="13" spans="2:15" x14ac:dyDescent="0.7">
      <c r="B13" t="s">
        <v>74</v>
      </c>
      <c r="C13">
        <v>65</v>
      </c>
      <c r="D13" s="29">
        <v>846</v>
      </c>
      <c r="E13" s="26">
        <f t="shared" si="0"/>
        <v>0</v>
      </c>
      <c r="F13" s="26" t="b">
        <f t="shared" si="1"/>
        <v>0</v>
      </c>
      <c r="G13" s="26" t="b">
        <f t="shared" si="2"/>
        <v>1</v>
      </c>
      <c r="H13" s="26">
        <f t="shared" si="3"/>
        <v>0</v>
      </c>
      <c r="I13" s="29">
        <f t="shared" si="4"/>
        <v>54990</v>
      </c>
      <c r="J13" s="29">
        <f t="shared" si="7"/>
        <v>54990</v>
      </c>
      <c r="K13" t="str">
        <f t="shared" si="5"/>
        <v>FIN</v>
      </c>
      <c r="L13" t="b">
        <f t="shared" si="6"/>
        <v>0</v>
      </c>
    </row>
    <row r="14" spans="2:15" x14ac:dyDescent="0.7">
      <c r="B14" t="s">
        <v>75</v>
      </c>
      <c r="C14">
        <v>3</v>
      </c>
      <c r="D14" s="29">
        <v>548</v>
      </c>
      <c r="E14" s="26">
        <f t="shared" si="0"/>
        <v>0</v>
      </c>
      <c r="F14" s="26" t="b">
        <f t="shared" si="1"/>
        <v>0</v>
      </c>
      <c r="G14" s="26" t="b">
        <f t="shared" si="2"/>
        <v>0</v>
      </c>
      <c r="H14" s="26">
        <f t="shared" si="3"/>
        <v>0</v>
      </c>
      <c r="I14" s="29">
        <f t="shared" si="4"/>
        <v>1644</v>
      </c>
      <c r="J14" s="29">
        <f t="shared" si="7"/>
        <v>1644</v>
      </c>
      <c r="K14" t="str">
        <f t="shared" si="5"/>
        <v>PRT</v>
      </c>
      <c r="L14" t="b">
        <f t="shared" si="6"/>
        <v>0</v>
      </c>
    </row>
    <row r="15" spans="2:15" x14ac:dyDescent="0.7">
      <c r="B15" t="s">
        <v>76</v>
      </c>
      <c r="C15">
        <v>45</v>
      </c>
      <c r="D15" s="29">
        <v>984</v>
      </c>
      <c r="E15" s="26">
        <f t="shared" si="0"/>
        <v>0</v>
      </c>
      <c r="F15" s="26" t="b">
        <f t="shared" si="1"/>
        <v>1</v>
      </c>
      <c r="G15" s="26" t="b">
        <f t="shared" si="2"/>
        <v>0</v>
      </c>
      <c r="H15" s="26">
        <f t="shared" si="3"/>
        <v>0</v>
      </c>
      <c r="I15" s="29">
        <f t="shared" si="4"/>
        <v>44280</v>
      </c>
      <c r="J15" s="29">
        <f t="shared" si="7"/>
        <v>44280</v>
      </c>
      <c r="K15" t="str">
        <f t="shared" si="5"/>
        <v>SUB</v>
      </c>
      <c r="L15" t="b">
        <f t="shared" si="6"/>
        <v>0</v>
      </c>
    </row>
    <row r="16" spans="2:15" x14ac:dyDescent="0.7">
      <c r="B16" t="s">
        <v>77</v>
      </c>
      <c r="C16">
        <v>344</v>
      </c>
      <c r="D16" s="29">
        <v>587</v>
      </c>
      <c r="E16" s="26">
        <f t="shared" si="0"/>
        <v>0</v>
      </c>
      <c r="F16" s="26" t="b">
        <f t="shared" si="1"/>
        <v>0</v>
      </c>
      <c r="G16" s="26" t="b">
        <f t="shared" si="2"/>
        <v>0</v>
      </c>
      <c r="H16" s="26">
        <f t="shared" si="3"/>
        <v>0</v>
      </c>
      <c r="I16" s="29">
        <f t="shared" si="4"/>
        <v>201928</v>
      </c>
      <c r="J16" s="29">
        <f t="shared" si="7"/>
        <v>201928</v>
      </c>
      <c r="K16" t="str">
        <f t="shared" si="5"/>
        <v>SUB</v>
      </c>
      <c r="L16" t="b">
        <f t="shared" si="6"/>
        <v>0</v>
      </c>
    </row>
    <row r="17" spans="2:12" x14ac:dyDescent="0.7">
      <c r="B17" t="s">
        <v>78</v>
      </c>
      <c r="C17">
        <v>87</v>
      </c>
      <c r="D17" s="29">
        <v>98</v>
      </c>
      <c r="E17" s="26">
        <f t="shared" si="0"/>
        <v>0</v>
      </c>
      <c r="F17" s="26" t="b">
        <f t="shared" si="1"/>
        <v>0</v>
      </c>
      <c r="G17" s="26" t="b">
        <f t="shared" si="2"/>
        <v>1</v>
      </c>
      <c r="H17" s="26">
        <f t="shared" si="3"/>
        <v>0</v>
      </c>
      <c r="I17" s="29">
        <f t="shared" si="4"/>
        <v>8526</v>
      </c>
      <c r="J17" s="29">
        <f t="shared" si="7"/>
        <v>8526</v>
      </c>
      <c r="K17" t="str">
        <f t="shared" si="5"/>
        <v>FIN</v>
      </c>
      <c r="L17" t="b">
        <f t="shared" si="6"/>
        <v>0</v>
      </c>
    </row>
    <row r="18" spans="2:12" x14ac:dyDescent="0.7">
      <c r="B18" t="s">
        <v>79</v>
      </c>
      <c r="C18">
        <v>44</v>
      </c>
      <c r="D18" s="29">
        <v>654</v>
      </c>
      <c r="E18" s="26">
        <f t="shared" si="0"/>
        <v>0</v>
      </c>
      <c r="F18" s="26" t="b">
        <f t="shared" si="1"/>
        <v>0</v>
      </c>
      <c r="G18" s="26" t="b">
        <f t="shared" si="2"/>
        <v>0</v>
      </c>
      <c r="H18" s="26">
        <f t="shared" si="3"/>
        <v>0</v>
      </c>
      <c r="I18" s="29">
        <f t="shared" si="4"/>
        <v>28776</v>
      </c>
      <c r="J18" s="29">
        <f t="shared" si="7"/>
        <v>28776</v>
      </c>
      <c r="K18" t="str">
        <f t="shared" si="5"/>
        <v>SUB</v>
      </c>
      <c r="L18" t="b">
        <f t="shared" si="6"/>
        <v>0</v>
      </c>
    </row>
    <row r="19" spans="2:12" x14ac:dyDescent="0.7">
      <c r="B19" t="s">
        <v>80</v>
      </c>
      <c r="C19">
        <v>2</v>
      </c>
      <c r="D19" s="29">
        <v>89</v>
      </c>
      <c r="E19" s="26">
        <f t="shared" si="0"/>
        <v>0</v>
      </c>
      <c r="F19" s="26" t="b">
        <f t="shared" si="1"/>
        <v>0</v>
      </c>
      <c r="G19" s="26" t="b">
        <f t="shared" si="2"/>
        <v>0</v>
      </c>
      <c r="H19" s="26">
        <f t="shared" si="3"/>
        <v>0</v>
      </c>
      <c r="I19" s="29">
        <f t="shared" si="4"/>
        <v>178</v>
      </c>
      <c r="J19" s="29">
        <f t="shared" si="7"/>
        <v>178</v>
      </c>
      <c r="K19" t="str">
        <f t="shared" si="5"/>
        <v>PRT</v>
      </c>
      <c r="L19" t="b">
        <f t="shared" si="6"/>
        <v>0</v>
      </c>
    </row>
    <row r="20" spans="2:12" x14ac:dyDescent="0.7">
      <c r="B20" t="s">
        <v>87</v>
      </c>
      <c r="C20">
        <v>50</v>
      </c>
      <c r="D20" s="29">
        <v>846</v>
      </c>
      <c r="E20" s="26">
        <f t="shared" si="0"/>
        <v>0.1</v>
      </c>
      <c r="F20" s="28" t="b">
        <f t="shared" si="1"/>
        <v>1</v>
      </c>
      <c r="G20" s="28" t="b">
        <f t="shared" si="2"/>
        <v>1</v>
      </c>
      <c r="H20" s="26">
        <f t="shared" si="3"/>
        <v>0.1</v>
      </c>
      <c r="I20" s="29">
        <f t="shared" si="4"/>
        <v>42300</v>
      </c>
      <c r="J20" s="29">
        <f t="shared" si="7"/>
        <v>38070</v>
      </c>
      <c r="K20" t="str">
        <f t="shared" si="5"/>
        <v>FIN</v>
      </c>
      <c r="L20" t="b">
        <f t="shared" si="6"/>
        <v>1</v>
      </c>
    </row>
    <row r="21" spans="2:12" x14ac:dyDescent="0.7">
      <c r="B21" t="s">
        <v>81</v>
      </c>
      <c r="C21">
        <v>14</v>
      </c>
      <c r="D21" s="29">
        <v>548</v>
      </c>
      <c r="E21" s="26">
        <f t="shared" si="0"/>
        <v>0</v>
      </c>
      <c r="F21" s="26" t="b">
        <f t="shared" si="1"/>
        <v>0</v>
      </c>
      <c r="G21" s="26" t="b">
        <f t="shared" si="2"/>
        <v>1</v>
      </c>
      <c r="H21" s="26">
        <f t="shared" si="3"/>
        <v>0</v>
      </c>
      <c r="I21" s="29">
        <f t="shared" si="4"/>
        <v>7672</v>
      </c>
      <c r="J21" s="29">
        <f t="shared" si="7"/>
        <v>7672</v>
      </c>
      <c r="K21" t="str">
        <f t="shared" si="5"/>
        <v>FIN</v>
      </c>
      <c r="L21" t="b">
        <f t="shared" si="6"/>
        <v>0</v>
      </c>
    </row>
    <row r="22" spans="2:12" x14ac:dyDescent="0.7">
      <c r="B22" t="s">
        <v>82</v>
      </c>
      <c r="C22">
        <v>67</v>
      </c>
      <c r="D22" s="29">
        <v>688</v>
      </c>
      <c r="E22" s="26">
        <f t="shared" si="0"/>
        <v>0</v>
      </c>
      <c r="F22" s="26" t="b">
        <f t="shared" si="1"/>
        <v>0</v>
      </c>
      <c r="G22" s="26" t="b">
        <f t="shared" si="2"/>
        <v>0</v>
      </c>
      <c r="H22" s="26">
        <f t="shared" si="3"/>
        <v>0</v>
      </c>
      <c r="I22" s="29">
        <f t="shared" si="4"/>
        <v>46096</v>
      </c>
      <c r="J22" s="29">
        <f t="shared" si="7"/>
        <v>46096</v>
      </c>
      <c r="K22" t="str">
        <f t="shared" si="5"/>
        <v>SUB</v>
      </c>
      <c r="L22" t="b">
        <f t="shared" si="6"/>
        <v>0</v>
      </c>
    </row>
    <row r="24" spans="2:12" x14ac:dyDescent="0.7">
      <c r="B24" s="48" t="s">
        <v>91</v>
      </c>
      <c r="C24" s="48"/>
      <c r="D24" s="48"/>
      <c r="E24" s="48"/>
      <c r="F24" s="48"/>
      <c r="G24" s="48"/>
      <c r="H24" s="48"/>
      <c r="I24" s="48"/>
      <c r="J24" s="48"/>
    </row>
  </sheetData>
  <mergeCells count="2">
    <mergeCell ref="B1:O1"/>
    <mergeCell ref="B24:J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09F38-A00B-45A2-B192-5FEB60FDE96B}">
  <dimension ref="B1:N22"/>
  <sheetViews>
    <sheetView topLeftCell="A5" zoomScale="40" zoomScaleNormal="40" workbookViewId="0">
      <selection activeCell="G5" sqref="G5"/>
    </sheetView>
  </sheetViews>
  <sheetFormatPr defaultRowHeight="46.5" x14ac:dyDescent="0.7"/>
  <cols>
    <col min="2" max="2" width="17.375" customWidth="1"/>
    <col min="3" max="3" width="10.83203125" customWidth="1"/>
    <col min="4" max="6" width="13.33203125" customWidth="1"/>
    <col min="7" max="7" width="14.625" customWidth="1"/>
  </cols>
  <sheetData>
    <row r="1" spans="2:14" x14ac:dyDescent="0.7">
      <c r="B1" s="48" t="s">
        <v>113</v>
      </c>
      <c r="C1" s="48"/>
      <c r="D1" s="48"/>
      <c r="E1" s="48"/>
      <c r="F1" s="48"/>
      <c r="G1" s="48"/>
      <c r="H1" s="48"/>
    </row>
    <row r="2" spans="2:14" ht="93" x14ac:dyDescent="0.7">
      <c r="B2" s="22" t="s">
        <v>62</v>
      </c>
      <c r="C2" s="22" t="s">
        <v>63</v>
      </c>
      <c r="D2" s="25" t="s">
        <v>94</v>
      </c>
      <c r="E2" s="25" t="s">
        <v>92</v>
      </c>
      <c r="F2" s="25" t="s">
        <v>93</v>
      </c>
      <c r="G2" s="22" t="s">
        <v>114</v>
      </c>
      <c r="J2" s="30" t="s">
        <v>95</v>
      </c>
      <c r="K2" s="30"/>
      <c r="L2" s="30" t="s">
        <v>96</v>
      </c>
      <c r="M2" s="31" t="s">
        <v>112</v>
      </c>
      <c r="N2" s="30" t="s">
        <v>97</v>
      </c>
    </row>
    <row r="3" spans="2:14" x14ac:dyDescent="0.7">
      <c r="B3" t="s">
        <v>64</v>
      </c>
      <c r="C3">
        <v>45</v>
      </c>
      <c r="D3" s="29">
        <v>345</v>
      </c>
      <c r="E3" s="29" t="b">
        <f>LEFT(B3,3)="202"</f>
        <v>1</v>
      </c>
      <c r="F3" s="29" t="b">
        <f>LEFT(B3,3)="203"</f>
        <v>0</v>
      </c>
      <c r="G3" s="26">
        <f>IF(OR(E3,F3),10%,0%)</f>
        <v>0.1</v>
      </c>
      <c r="I3" s="32" t="s">
        <v>98</v>
      </c>
      <c r="J3" s="2" t="b">
        <f>4&gt;9</f>
        <v>0</v>
      </c>
      <c r="K3" s="33" t="s">
        <v>105</v>
      </c>
      <c r="L3" s="2" t="b">
        <f>5&gt;2</f>
        <v>1</v>
      </c>
      <c r="M3" s="2" t="b">
        <f>AND(J3,L3)</f>
        <v>0</v>
      </c>
      <c r="N3" s="2" t="b">
        <f>OR(J3,L3)</f>
        <v>1</v>
      </c>
    </row>
    <row r="4" spans="2:14" x14ac:dyDescent="0.7">
      <c r="B4" t="s">
        <v>65</v>
      </c>
      <c r="C4">
        <v>66</v>
      </c>
      <c r="D4" s="29">
        <v>743</v>
      </c>
      <c r="E4" s="29" t="b">
        <f t="shared" ref="E4:E22" si="0">LEFT(B4,3)="202"</f>
        <v>0</v>
      </c>
      <c r="F4" s="29" t="b">
        <f t="shared" ref="F4:F22" si="1">LEFT(B4,3)="203"</f>
        <v>0</v>
      </c>
      <c r="G4" s="26">
        <f t="shared" ref="G4:G22" si="2">IF(OR(E4,F4),10%,0%)</f>
        <v>0</v>
      </c>
      <c r="I4" s="32" t="s">
        <v>99</v>
      </c>
      <c r="J4" s="2" t="b">
        <f>8&lt;0</f>
        <v>0</v>
      </c>
      <c r="K4" s="33" t="s">
        <v>106</v>
      </c>
      <c r="L4" s="2" t="b">
        <f>9=6</f>
        <v>0</v>
      </c>
      <c r="M4" s="2" t="b">
        <f t="shared" ref="M4:M9" si="3">AND(J4,L4)</f>
        <v>0</v>
      </c>
      <c r="N4" s="2" t="b">
        <f t="shared" ref="N4:N9" si="4">OR(J4,L4)</f>
        <v>0</v>
      </c>
    </row>
    <row r="5" spans="2:14" x14ac:dyDescent="0.7">
      <c r="B5" t="s">
        <v>66</v>
      </c>
      <c r="C5">
        <v>53</v>
      </c>
      <c r="D5" s="29">
        <v>6546</v>
      </c>
      <c r="E5" s="29" t="b">
        <f t="shared" si="0"/>
        <v>1</v>
      </c>
      <c r="F5" s="29" t="b">
        <f t="shared" si="1"/>
        <v>0</v>
      </c>
      <c r="G5" s="26">
        <f t="shared" si="2"/>
        <v>0.1</v>
      </c>
      <c r="I5" s="33" t="s">
        <v>100</v>
      </c>
      <c r="J5" s="2" t="b">
        <f>7&gt;1</f>
        <v>1</v>
      </c>
      <c r="K5" s="33" t="s">
        <v>107</v>
      </c>
      <c r="L5" s="2" t="b">
        <f>3&gt;3</f>
        <v>0</v>
      </c>
      <c r="M5" s="2" t="b">
        <f t="shared" si="3"/>
        <v>0</v>
      </c>
      <c r="N5" s="2" t="b">
        <f t="shared" si="4"/>
        <v>1</v>
      </c>
    </row>
    <row r="6" spans="2:14" x14ac:dyDescent="0.7">
      <c r="B6" t="s">
        <v>67</v>
      </c>
      <c r="C6">
        <v>23</v>
      </c>
      <c r="D6" s="29">
        <v>566</v>
      </c>
      <c r="E6" s="29" t="b">
        <f t="shared" si="0"/>
        <v>0</v>
      </c>
      <c r="F6" s="29" t="b">
        <f t="shared" si="1"/>
        <v>0</v>
      </c>
      <c r="G6" s="26">
        <f t="shared" si="2"/>
        <v>0</v>
      </c>
      <c r="I6" s="33" t="s">
        <v>101</v>
      </c>
      <c r="J6" s="2" t="b">
        <f>5=5</f>
        <v>1</v>
      </c>
      <c r="K6" s="33" t="s">
        <v>108</v>
      </c>
      <c r="L6" s="2" t="b">
        <f>4=22</f>
        <v>0</v>
      </c>
      <c r="M6" s="2" t="b">
        <f t="shared" si="3"/>
        <v>0</v>
      </c>
      <c r="N6" s="2" t="b">
        <f t="shared" si="4"/>
        <v>1</v>
      </c>
    </row>
    <row r="7" spans="2:14" x14ac:dyDescent="0.7">
      <c r="B7" t="s">
        <v>68</v>
      </c>
      <c r="C7">
        <v>54</v>
      </c>
      <c r="D7" s="29">
        <v>54</v>
      </c>
      <c r="E7" s="29" t="b">
        <f t="shared" si="0"/>
        <v>0</v>
      </c>
      <c r="F7" s="29" t="b">
        <f t="shared" si="1"/>
        <v>1</v>
      </c>
      <c r="G7" s="26">
        <f t="shared" si="2"/>
        <v>0.1</v>
      </c>
      <c r="I7" s="33" t="s">
        <v>102</v>
      </c>
      <c r="J7" s="2" t="b">
        <f>3&lt;&gt;5</f>
        <v>1</v>
      </c>
      <c r="K7" s="33" t="s">
        <v>109</v>
      </c>
      <c r="L7" s="2" t="b">
        <f>4&gt;0</f>
        <v>1</v>
      </c>
      <c r="M7" s="2" t="b">
        <f t="shared" si="3"/>
        <v>1</v>
      </c>
      <c r="N7" s="2" t="b">
        <f t="shared" si="4"/>
        <v>1</v>
      </c>
    </row>
    <row r="8" spans="2:14" x14ac:dyDescent="0.7">
      <c r="B8" t="s">
        <v>69</v>
      </c>
      <c r="C8">
        <v>65</v>
      </c>
      <c r="D8" s="29">
        <v>186</v>
      </c>
      <c r="E8" s="29" t="b">
        <f t="shared" si="0"/>
        <v>1</v>
      </c>
      <c r="F8" s="29" t="b">
        <f t="shared" si="1"/>
        <v>0</v>
      </c>
      <c r="G8" s="26">
        <f t="shared" si="2"/>
        <v>0.1</v>
      </c>
      <c r="I8" s="33" t="s">
        <v>103</v>
      </c>
      <c r="J8" s="2" t="b">
        <f>5&gt;9</f>
        <v>0</v>
      </c>
      <c r="K8" s="33" t="s">
        <v>110</v>
      </c>
      <c r="L8" s="2" t="b">
        <f>5&lt;6</f>
        <v>1</v>
      </c>
      <c r="M8" s="2" t="b">
        <f t="shared" si="3"/>
        <v>0</v>
      </c>
      <c r="N8" s="2" t="b">
        <f t="shared" si="4"/>
        <v>1</v>
      </c>
    </row>
    <row r="9" spans="2:14" x14ac:dyDescent="0.7">
      <c r="B9" t="s">
        <v>70</v>
      </c>
      <c r="C9">
        <v>22</v>
      </c>
      <c r="D9" s="29">
        <v>354</v>
      </c>
      <c r="E9" s="29" t="b">
        <f t="shared" si="0"/>
        <v>0</v>
      </c>
      <c r="F9" s="29" t="b">
        <f t="shared" si="1"/>
        <v>1</v>
      </c>
      <c r="G9" s="26">
        <f t="shared" si="2"/>
        <v>0.1</v>
      </c>
      <c r="I9" s="33" t="s">
        <v>104</v>
      </c>
      <c r="J9" s="2" t="b">
        <f>3=6</f>
        <v>0</v>
      </c>
      <c r="K9" s="33" t="s">
        <v>111</v>
      </c>
      <c r="L9" s="2" t="b">
        <f>34=66</f>
        <v>0</v>
      </c>
      <c r="M9" s="2" t="b">
        <f t="shared" si="3"/>
        <v>0</v>
      </c>
      <c r="N9" s="2" t="b">
        <f t="shared" si="4"/>
        <v>0</v>
      </c>
    </row>
    <row r="10" spans="2:14" x14ac:dyDescent="0.7">
      <c r="B10" t="s">
        <v>71</v>
      </c>
      <c r="C10">
        <v>5</v>
      </c>
      <c r="D10" s="29">
        <v>548</v>
      </c>
      <c r="E10" s="29" t="b">
        <f t="shared" si="0"/>
        <v>0</v>
      </c>
      <c r="F10" s="29" t="b">
        <f t="shared" si="1"/>
        <v>0</v>
      </c>
      <c r="G10" s="26">
        <f t="shared" si="2"/>
        <v>0</v>
      </c>
    </row>
    <row r="11" spans="2:14" x14ac:dyDescent="0.7">
      <c r="B11" t="s">
        <v>72</v>
      </c>
      <c r="C11">
        <v>65</v>
      </c>
      <c r="D11" s="29">
        <v>654</v>
      </c>
      <c r="E11" s="29" t="b">
        <f t="shared" si="0"/>
        <v>1</v>
      </c>
      <c r="F11" s="29" t="b">
        <f t="shared" si="1"/>
        <v>0</v>
      </c>
      <c r="G11" s="26">
        <f t="shared" si="2"/>
        <v>0.1</v>
      </c>
    </row>
    <row r="12" spans="2:14" x14ac:dyDescent="0.7">
      <c r="B12" t="s">
        <v>73</v>
      </c>
      <c r="C12">
        <v>3</v>
      </c>
      <c r="D12" s="29">
        <v>58</v>
      </c>
      <c r="E12" s="29" t="b">
        <f t="shared" si="0"/>
        <v>0</v>
      </c>
      <c r="F12" s="29" t="b">
        <f t="shared" si="1"/>
        <v>0</v>
      </c>
      <c r="G12" s="26">
        <f t="shared" si="2"/>
        <v>0</v>
      </c>
    </row>
    <row r="13" spans="2:14" x14ac:dyDescent="0.7">
      <c r="B13" t="s">
        <v>74</v>
      </c>
      <c r="C13">
        <v>65</v>
      </c>
      <c r="D13" s="29">
        <v>846</v>
      </c>
      <c r="E13" s="29" t="b">
        <f t="shared" si="0"/>
        <v>1</v>
      </c>
      <c r="F13" s="29" t="b">
        <f t="shared" si="1"/>
        <v>0</v>
      </c>
      <c r="G13" s="26">
        <f t="shared" si="2"/>
        <v>0.1</v>
      </c>
    </row>
    <row r="14" spans="2:14" x14ac:dyDescent="0.7">
      <c r="B14" t="s">
        <v>75</v>
      </c>
      <c r="C14">
        <v>3</v>
      </c>
      <c r="D14" s="29">
        <v>548</v>
      </c>
      <c r="E14" s="29" t="b">
        <f t="shared" si="0"/>
        <v>1</v>
      </c>
      <c r="F14" s="29" t="b">
        <f t="shared" si="1"/>
        <v>0</v>
      </c>
      <c r="G14" s="26">
        <f t="shared" si="2"/>
        <v>0.1</v>
      </c>
    </row>
    <row r="15" spans="2:14" x14ac:dyDescent="0.7">
      <c r="B15" t="s">
        <v>76</v>
      </c>
      <c r="C15">
        <v>45</v>
      </c>
      <c r="D15" s="29">
        <v>984</v>
      </c>
      <c r="E15" s="29" t="b">
        <f t="shared" si="0"/>
        <v>0</v>
      </c>
      <c r="F15" s="29" t="b">
        <f t="shared" si="1"/>
        <v>0</v>
      </c>
      <c r="G15" s="26">
        <f t="shared" si="2"/>
        <v>0</v>
      </c>
    </row>
    <row r="16" spans="2:14" x14ac:dyDescent="0.7">
      <c r="B16" t="s">
        <v>77</v>
      </c>
      <c r="C16">
        <v>344</v>
      </c>
      <c r="D16" s="29">
        <v>587</v>
      </c>
      <c r="E16" s="29" t="b">
        <f t="shared" si="0"/>
        <v>0</v>
      </c>
      <c r="F16" s="29" t="b">
        <f t="shared" si="1"/>
        <v>1</v>
      </c>
      <c r="G16" s="26">
        <f t="shared" si="2"/>
        <v>0.1</v>
      </c>
    </row>
    <row r="17" spans="2:7" x14ac:dyDescent="0.7">
      <c r="B17" t="s">
        <v>78</v>
      </c>
      <c r="C17">
        <v>87</v>
      </c>
      <c r="D17" s="29">
        <v>98</v>
      </c>
      <c r="E17" s="29" t="b">
        <f t="shared" si="0"/>
        <v>1</v>
      </c>
      <c r="F17" s="29" t="b">
        <f t="shared" si="1"/>
        <v>0</v>
      </c>
      <c r="G17" s="26">
        <f t="shared" si="2"/>
        <v>0.1</v>
      </c>
    </row>
    <row r="18" spans="2:7" x14ac:dyDescent="0.7">
      <c r="B18" t="s">
        <v>79</v>
      </c>
      <c r="C18">
        <v>44</v>
      </c>
      <c r="D18" s="29">
        <v>654</v>
      </c>
      <c r="E18" s="29" t="b">
        <f t="shared" si="0"/>
        <v>0</v>
      </c>
      <c r="F18" s="29" t="b">
        <f t="shared" si="1"/>
        <v>1</v>
      </c>
      <c r="G18" s="26">
        <f t="shared" si="2"/>
        <v>0.1</v>
      </c>
    </row>
    <row r="19" spans="2:7" x14ac:dyDescent="0.7">
      <c r="B19" t="s">
        <v>80</v>
      </c>
      <c r="C19">
        <v>2</v>
      </c>
      <c r="D19" s="29">
        <v>89</v>
      </c>
      <c r="E19" s="29" t="b">
        <f t="shared" si="0"/>
        <v>0</v>
      </c>
      <c r="F19" s="29" t="b">
        <f t="shared" si="1"/>
        <v>1</v>
      </c>
      <c r="G19" s="26">
        <f t="shared" si="2"/>
        <v>0.1</v>
      </c>
    </row>
    <row r="20" spans="2:7" x14ac:dyDescent="0.7">
      <c r="B20" t="s">
        <v>87</v>
      </c>
      <c r="C20">
        <v>50</v>
      </c>
      <c r="D20" s="29">
        <v>846</v>
      </c>
      <c r="E20" s="29" t="b">
        <f t="shared" si="0"/>
        <v>0</v>
      </c>
      <c r="F20" s="29" t="b">
        <f t="shared" si="1"/>
        <v>0</v>
      </c>
      <c r="G20" s="26">
        <f t="shared" si="2"/>
        <v>0</v>
      </c>
    </row>
    <row r="21" spans="2:7" x14ac:dyDescent="0.7">
      <c r="B21" t="s">
        <v>81</v>
      </c>
      <c r="C21">
        <v>14</v>
      </c>
      <c r="D21" s="29">
        <v>548</v>
      </c>
      <c r="E21" s="29" t="b">
        <f t="shared" si="0"/>
        <v>0</v>
      </c>
      <c r="F21" s="29" t="b">
        <f t="shared" si="1"/>
        <v>1</v>
      </c>
      <c r="G21" s="26">
        <f t="shared" si="2"/>
        <v>0.1</v>
      </c>
    </row>
    <row r="22" spans="2:7" x14ac:dyDescent="0.7">
      <c r="B22" t="s">
        <v>82</v>
      </c>
      <c r="C22">
        <v>67</v>
      </c>
      <c r="D22" s="29">
        <v>688</v>
      </c>
      <c r="E22" s="29" t="b">
        <f t="shared" si="0"/>
        <v>0</v>
      </c>
      <c r="F22" s="29" t="b">
        <f t="shared" si="1"/>
        <v>1</v>
      </c>
      <c r="G22" s="26">
        <f t="shared" si="2"/>
        <v>0.1</v>
      </c>
    </row>
  </sheetData>
  <mergeCells count="1">
    <mergeCell ref="B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AB448-EE0B-49ED-94CB-D0A4E0E8FF6F}">
  <dimension ref="B1:I22"/>
  <sheetViews>
    <sheetView zoomScale="40" zoomScaleNormal="40" workbookViewId="0">
      <selection activeCell="B2" sqref="B2:D22"/>
    </sheetView>
  </sheetViews>
  <sheetFormatPr defaultRowHeight="46.5" x14ac:dyDescent="0.7"/>
  <cols>
    <col min="2" max="2" width="13.7890625" customWidth="1"/>
    <col min="3" max="3" width="12.95703125" customWidth="1"/>
    <col min="4" max="4" width="13.5" customWidth="1"/>
    <col min="5" max="5" width="15.875" customWidth="1"/>
    <col min="6" max="6" width="15.45703125" customWidth="1"/>
    <col min="7" max="7" width="13.95703125" customWidth="1"/>
    <col min="8" max="8" width="13.4140625" customWidth="1"/>
    <col min="9" max="9" width="17.4140625" customWidth="1"/>
  </cols>
  <sheetData>
    <row r="1" spans="2:9" x14ac:dyDescent="0.7">
      <c r="B1" s="48" t="s">
        <v>115</v>
      </c>
      <c r="C1" s="48"/>
      <c r="D1" s="48"/>
      <c r="E1" s="48"/>
      <c r="F1" s="48"/>
      <c r="G1" s="48"/>
      <c r="H1" s="48"/>
    </row>
    <row r="2" spans="2:9" x14ac:dyDescent="0.7">
      <c r="B2" s="22" t="s">
        <v>62</v>
      </c>
      <c r="C2" s="22" t="s">
        <v>63</v>
      </c>
      <c r="D2" s="25" t="s">
        <v>94</v>
      </c>
      <c r="E2" s="34" t="s">
        <v>92</v>
      </c>
      <c r="F2" s="34" t="s">
        <v>93</v>
      </c>
      <c r="G2" s="35" t="s">
        <v>112</v>
      </c>
      <c r="H2" s="35" t="s">
        <v>84</v>
      </c>
      <c r="I2" s="35" t="s">
        <v>116</v>
      </c>
    </row>
    <row r="3" spans="2:9" x14ac:dyDescent="0.7">
      <c r="B3" t="s">
        <v>64</v>
      </c>
      <c r="C3">
        <v>45</v>
      </c>
      <c r="D3" s="29">
        <v>345</v>
      </c>
      <c r="E3" t="b">
        <f>D3&lt;600</f>
        <v>1</v>
      </c>
      <c r="F3" t="b">
        <f>C3&lt;20</f>
        <v>0</v>
      </c>
      <c r="G3" s="26">
        <f>IF(AND(E3,F3),5%,0%)</f>
        <v>0</v>
      </c>
      <c r="H3" s="29">
        <f>C3*D3</f>
        <v>15525</v>
      </c>
      <c r="I3" s="29">
        <f>H3+(H3*G3)</f>
        <v>15525</v>
      </c>
    </row>
    <row r="4" spans="2:9" x14ac:dyDescent="0.7">
      <c r="B4" t="s">
        <v>65</v>
      </c>
      <c r="C4">
        <v>66</v>
      </c>
      <c r="D4" s="29">
        <v>743</v>
      </c>
      <c r="E4" t="b">
        <f t="shared" ref="E4:E21" si="0">D4&lt;600</f>
        <v>0</v>
      </c>
      <c r="F4" t="b">
        <f t="shared" ref="F4:F22" si="1">C4&lt;20</f>
        <v>0</v>
      </c>
      <c r="G4" s="26">
        <f t="shared" ref="G4:G22" si="2">IF(AND(E4,F4),5%,0%)</f>
        <v>0</v>
      </c>
      <c r="H4" s="29">
        <f t="shared" ref="H4:H22" si="3">C4*D4</f>
        <v>49038</v>
      </c>
      <c r="I4" s="29">
        <f t="shared" ref="I4:I22" si="4">H4+(H4*G4)</f>
        <v>49038</v>
      </c>
    </row>
    <row r="5" spans="2:9" x14ac:dyDescent="0.7">
      <c r="B5" t="s">
        <v>66</v>
      </c>
      <c r="C5">
        <v>14</v>
      </c>
      <c r="D5" s="29">
        <v>6546</v>
      </c>
      <c r="E5" t="b">
        <f t="shared" si="0"/>
        <v>0</v>
      </c>
      <c r="F5" t="b">
        <f t="shared" si="1"/>
        <v>1</v>
      </c>
      <c r="G5" s="26">
        <f t="shared" si="2"/>
        <v>0</v>
      </c>
      <c r="H5" s="29">
        <f t="shared" si="3"/>
        <v>91644</v>
      </c>
      <c r="I5" s="29">
        <f t="shared" si="4"/>
        <v>91644</v>
      </c>
    </row>
    <row r="6" spans="2:9" x14ac:dyDescent="0.7">
      <c r="B6" t="s">
        <v>67</v>
      </c>
      <c r="C6">
        <v>23</v>
      </c>
      <c r="D6" s="29">
        <v>566</v>
      </c>
      <c r="E6" t="b">
        <f t="shared" si="0"/>
        <v>1</v>
      </c>
      <c r="F6" t="b">
        <f t="shared" si="1"/>
        <v>0</v>
      </c>
      <c r="G6" s="26">
        <f t="shared" si="2"/>
        <v>0</v>
      </c>
      <c r="H6" s="29">
        <f t="shared" si="3"/>
        <v>13018</v>
      </c>
      <c r="I6" s="29">
        <f t="shared" si="4"/>
        <v>13018</v>
      </c>
    </row>
    <row r="7" spans="2:9" x14ac:dyDescent="0.7">
      <c r="B7" t="s">
        <v>68</v>
      </c>
      <c r="C7">
        <v>54</v>
      </c>
      <c r="D7" s="29">
        <v>54</v>
      </c>
      <c r="E7" t="b">
        <f t="shared" si="0"/>
        <v>1</v>
      </c>
      <c r="F7" t="b">
        <f t="shared" si="1"/>
        <v>0</v>
      </c>
      <c r="G7" s="26">
        <f t="shared" si="2"/>
        <v>0</v>
      </c>
      <c r="H7" s="29">
        <f t="shared" si="3"/>
        <v>2916</v>
      </c>
      <c r="I7" s="29">
        <f t="shared" si="4"/>
        <v>2916</v>
      </c>
    </row>
    <row r="8" spans="2:9" x14ac:dyDescent="0.7">
      <c r="B8" t="s">
        <v>69</v>
      </c>
      <c r="C8">
        <v>65</v>
      </c>
      <c r="D8" s="29">
        <v>186</v>
      </c>
      <c r="E8" t="b">
        <f t="shared" si="0"/>
        <v>1</v>
      </c>
      <c r="F8" t="b">
        <f t="shared" si="1"/>
        <v>0</v>
      </c>
      <c r="G8" s="26">
        <f t="shared" si="2"/>
        <v>0</v>
      </c>
      <c r="H8" s="29">
        <f t="shared" si="3"/>
        <v>12090</v>
      </c>
      <c r="I8" s="29">
        <f t="shared" si="4"/>
        <v>12090</v>
      </c>
    </row>
    <row r="9" spans="2:9" x14ac:dyDescent="0.7">
      <c r="B9" t="s">
        <v>70</v>
      </c>
      <c r="C9">
        <v>22</v>
      </c>
      <c r="D9" s="29">
        <v>354</v>
      </c>
      <c r="E9" t="b">
        <f t="shared" si="0"/>
        <v>1</v>
      </c>
      <c r="F9" t="b">
        <f t="shared" si="1"/>
        <v>0</v>
      </c>
      <c r="G9" s="26">
        <f t="shared" si="2"/>
        <v>0</v>
      </c>
      <c r="H9" s="29">
        <f t="shared" si="3"/>
        <v>7788</v>
      </c>
      <c r="I9" s="29">
        <f t="shared" si="4"/>
        <v>7788</v>
      </c>
    </row>
    <row r="10" spans="2:9" x14ac:dyDescent="0.7">
      <c r="B10" t="s">
        <v>71</v>
      </c>
      <c r="C10">
        <v>5</v>
      </c>
      <c r="D10" s="29">
        <v>548</v>
      </c>
      <c r="E10" t="b">
        <f t="shared" si="0"/>
        <v>1</v>
      </c>
      <c r="F10" t="b">
        <f t="shared" si="1"/>
        <v>1</v>
      </c>
      <c r="G10" s="26">
        <f t="shared" si="2"/>
        <v>0.05</v>
      </c>
      <c r="H10" s="29">
        <f t="shared" si="3"/>
        <v>2740</v>
      </c>
      <c r="I10" s="29">
        <f>H10+(H10*G10)</f>
        <v>2877</v>
      </c>
    </row>
    <row r="11" spans="2:9" x14ac:dyDescent="0.7">
      <c r="B11" t="s">
        <v>72</v>
      </c>
      <c r="C11">
        <v>65</v>
      </c>
      <c r="D11" s="29">
        <v>654</v>
      </c>
      <c r="E11" t="b">
        <f t="shared" si="0"/>
        <v>0</v>
      </c>
      <c r="F11" t="b">
        <f t="shared" si="1"/>
        <v>0</v>
      </c>
      <c r="G11" s="26">
        <f t="shared" si="2"/>
        <v>0</v>
      </c>
      <c r="H11" s="29">
        <f t="shared" si="3"/>
        <v>42510</v>
      </c>
      <c r="I11" s="29">
        <f t="shared" si="4"/>
        <v>42510</v>
      </c>
    </row>
    <row r="12" spans="2:9" x14ac:dyDescent="0.7">
      <c r="B12" t="s">
        <v>73</v>
      </c>
      <c r="C12">
        <v>3</v>
      </c>
      <c r="D12" s="29">
        <v>58</v>
      </c>
      <c r="E12" t="b">
        <f t="shared" si="0"/>
        <v>1</v>
      </c>
      <c r="F12" t="b">
        <f t="shared" si="1"/>
        <v>1</v>
      </c>
      <c r="G12" s="26">
        <f t="shared" si="2"/>
        <v>0.05</v>
      </c>
      <c r="H12" s="29">
        <f t="shared" si="3"/>
        <v>174</v>
      </c>
      <c r="I12" s="29">
        <f t="shared" si="4"/>
        <v>182.7</v>
      </c>
    </row>
    <row r="13" spans="2:9" x14ac:dyDescent="0.7">
      <c r="B13" t="s">
        <v>74</v>
      </c>
      <c r="C13">
        <v>65</v>
      </c>
      <c r="D13" s="29">
        <v>846</v>
      </c>
      <c r="E13" t="b">
        <f t="shared" si="0"/>
        <v>0</v>
      </c>
      <c r="F13" t="b">
        <f t="shared" si="1"/>
        <v>0</v>
      </c>
      <c r="G13" s="26">
        <f t="shared" si="2"/>
        <v>0</v>
      </c>
      <c r="H13" s="29">
        <f t="shared" si="3"/>
        <v>54990</v>
      </c>
      <c r="I13" s="29">
        <f t="shared" si="4"/>
        <v>54990</v>
      </c>
    </row>
    <row r="14" spans="2:9" x14ac:dyDescent="0.7">
      <c r="B14" t="s">
        <v>75</v>
      </c>
      <c r="C14">
        <v>3</v>
      </c>
      <c r="D14" s="29">
        <v>548</v>
      </c>
      <c r="E14" t="b">
        <f t="shared" si="0"/>
        <v>1</v>
      </c>
      <c r="F14" t="b">
        <f t="shared" si="1"/>
        <v>1</v>
      </c>
      <c r="G14" s="26">
        <f t="shared" si="2"/>
        <v>0.05</v>
      </c>
      <c r="H14" s="29">
        <f t="shared" si="3"/>
        <v>1644</v>
      </c>
      <c r="I14" s="29">
        <f t="shared" si="4"/>
        <v>1726.2</v>
      </c>
    </row>
    <row r="15" spans="2:9" x14ac:dyDescent="0.7">
      <c r="B15" t="s">
        <v>76</v>
      </c>
      <c r="C15">
        <v>45</v>
      </c>
      <c r="D15" s="29">
        <v>984</v>
      </c>
      <c r="E15" t="b">
        <f t="shared" si="0"/>
        <v>0</v>
      </c>
      <c r="F15" t="b">
        <f t="shared" si="1"/>
        <v>0</v>
      </c>
      <c r="G15" s="26">
        <f t="shared" si="2"/>
        <v>0</v>
      </c>
      <c r="H15" s="29">
        <f t="shared" si="3"/>
        <v>44280</v>
      </c>
      <c r="I15" s="29">
        <f t="shared" si="4"/>
        <v>44280</v>
      </c>
    </row>
    <row r="16" spans="2:9" x14ac:dyDescent="0.7">
      <c r="B16" t="s">
        <v>77</v>
      </c>
      <c r="C16">
        <v>344</v>
      </c>
      <c r="D16" s="29">
        <v>587</v>
      </c>
      <c r="E16" t="b">
        <f t="shared" si="0"/>
        <v>1</v>
      </c>
      <c r="F16" t="b">
        <f t="shared" si="1"/>
        <v>0</v>
      </c>
      <c r="G16" s="26">
        <f t="shared" si="2"/>
        <v>0</v>
      </c>
      <c r="H16" s="29">
        <f t="shared" si="3"/>
        <v>201928</v>
      </c>
      <c r="I16" s="29">
        <f t="shared" si="4"/>
        <v>201928</v>
      </c>
    </row>
    <row r="17" spans="2:9" x14ac:dyDescent="0.7">
      <c r="B17" t="s">
        <v>78</v>
      </c>
      <c r="C17">
        <v>87</v>
      </c>
      <c r="D17" s="29">
        <v>98</v>
      </c>
      <c r="E17" t="b">
        <f t="shared" si="0"/>
        <v>1</v>
      </c>
      <c r="F17" t="b">
        <f t="shared" si="1"/>
        <v>0</v>
      </c>
      <c r="G17" s="26">
        <f t="shared" si="2"/>
        <v>0</v>
      </c>
      <c r="H17" s="29">
        <f t="shared" si="3"/>
        <v>8526</v>
      </c>
      <c r="I17" s="29">
        <f t="shared" si="4"/>
        <v>8526</v>
      </c>
    </row>
    <row r="18" spans="2:9" x14ac:dyDescent="0.7">
      <c r="B18" t="s">
        <v>79</v>
      </c>
      <c r="C18">
        <v>44</v>
      </c>
      <c r="D18" s="29">
        <v>654</v>
      </c>
      <c r="E18" t="b">
        <f t="shared" si="0"/>
        <v>0</v>
      </c>
      <c r="F18" t="b">
        <f t="shared" si="1"/>
        <v>0</v>
      </c>
      <c r="G18" s="26">
        <f t="shared" si="2"/>
        <v>0</v>
      </c>
      <c r="H18" s="29">
        <f t="shared" si="3"/>
        <v>28776</v>
      </c>
      <c r="I18" s="29">
        <f t="shared" si="4"/>
        <v>28776</v>
      </c>
    </row>
    <row r="19" spans="2:9" x14ac:dyDescent="0.7">
      <c r="B19" t="s">
        <v>80</v>
      </c>
      <c r="C19">
        <v>2</v>
      </c>
      <c r="D19" s="29">
        <v>89</v>
      </c>
      <c r="E19" t="b">
        <f t="shared" si="0"/>
        <v>1</v>
      </c>
      <c r="F19" t="b">
        <f t="shared" si="1"/>
        <v>1</v>
      </c>
      <c r="G19" s="26">
        <f t="shared" si="2"/>
        <v>0.05</v>
      </c>
      <c r="H19" s="29">
        <f t="shared" si="3"/>
        <v>178</v>
      </c>
      <c r="I19" s="29">
        <f t="shared" si="4"/>
        <v>186.9</v>
      </c>
    </row>
    <row r="20" spans="2:9" x14ac:dyDescent="0.7">
      <c r="B20" t="s">
        <v>87</v>
      </c>
      <c r="C20">
        <v>50</v>
      </c>
      <c r="D20" s="29">
        <v>846</v>
      </c>
      <c r="E20" t="b">
        <f t="shared" si="0"/>
        <v>0</v>
      </c>
      <c r="F20" t="b">
        <f t="shared" si="1"/>
        <v>0</v>
      </c>
      <c r="G20" s="26">
        <f t="shared" si="2"/>
        <v>0</v>
      </c>
      <c r="H20" s="29">
        <f t="shared" si="3"/>
        <v>42300</v>
      </c>
      <c r="I20" s="29">
        <f t="shared" si="4"/>
        <v>42300</v>
      </c>
    </row>
    <row r="21" spans="2:9" x14ac:dyDescent="0.7">
      <c r="B21" t="s">
        <v>81</v>
      </c>
      <c r="C21">
        <v>14</v>
      </c>
      <c r="D21" s="29">
        <v>548</v>
      </c>
      <c r="E21" t="b">
        <f t="shared" si="0"/>
        <v>1</v>
      </c>
      <c r="F21" t="b">
        <f t="shared" si="1"/>
        <v>1</v>
      </c>
      <c r="G21" s="26">
        <f t="shared" si="2"/>
        <v>0.05</v>
      </c>
      <c r="H21" s="29">
        <f t="shared" si="3"/>
        <v>7672</v>
      </c>
      <c r="I21" s="29">
        <f t="shared" si="4"/>
        <v>8055.6</v>
      </c>
    </row>
    <row r="22" spans="2:9" x14ac:dyDescent="0.7">
      <c r="B22" t="s">
        <v>82</v>
      </c>
      <c r="C22">
        <v>67</v>
      </c>
      <c r="D22" s="29">
        <v>600</v>
      </c>
      <c r="E22" t="b">
        <f>D22&lt;600</f>
        <v>0</v>
      </c>
      <c r="F22" t="b">
        <f t="shared" si="1"/>
        <v>0</v>
      </c>
      <c r="G22" s="26">
        <f t="shared" si="2"/>
        <v>0</v>
      </c>
      <c r="H22" s="29">
        <f t="shared" si="3"/>
        <v>40200</v>
      </c>
      <c r="I22" s="29">
        <f t="shared" si="4"/>
        <v>40200</v>
      </c>
    </row>
  </sheetData>
  <mergeCells count="1"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Лист1</vt:lpstr>
      <vt:lpstr>Расчет уровня расходов</vt:lpstr>
      <vt:lpstr>Вложенные проверки ЕСЛИ</vt:lpstr>
      <vt:lpstr>Проверка типа авто</vt:lpstr>
      <vt:lpstr>ВПР</vt:lpstr>
      <vt:lpstr>Проверка ВПР</vt:lpstr>
      <vt:lpstr>И</vt:lpstr>
      <vt:lpstr>ИЛИ</vt:lpstr>
      <vt:lpstr>ИЛИ_2</vt:lpstr>
      <vt:lpstr>ИЛИ + И</vt:lpstr>
      <vt:lpstr>СУММЕСЛИ</vt:lpstr>
      <vt:lpstr>СУММЕСЛИ_2</vt:lpstr>
      <vt:lpstr>СУММЕСЛИ_3</vt:lpstr>
      <vt:lpstr>Сумма по регионам</vt:lpstr>
      <vt:lpstr>Сумма за дату</vt:lpstr>
      <vt:lpstr>Расчет ВВП</vt:lpstr>
      <vt:lpstr>Сумма запромежуток дат</vt:lpstr>
      <vt:lpstr>СЧЕТЕСЛИ</vt:lpstr>
      <vt:lpstr>Подстановочные символы</vt:lpstr>
      <vt:lpstr>СЧЕТЕСЛИМН</vt:lpstr>
      <vt:lpstr>СРЗНАЧЕСЛИ</vt:lpstr>
      <vt:lpstr>СРЗНАЧЕСЛИМН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Басов</dc:creator>
  <cp:lastModifiedBy>Денис Басов</cp:lastModifiedBy>
  <dcterms:created xsi:type="dcterms:W3CDTF">2023-09-06T12:06:24Z</dcterms:created>
  <dcterms:modified xsi:type="dcterms:W3CDTF">2023-09-08T16:10:51Z</dcterms:modified>
</cp:coreProperties>
</file>