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11.09\"/>
    </mc:Choice>
  </mc:AlternateContent>
  <xr:revisionPtr revIDLastSave="0" documentId="13_ncr:1_{E62F7C8F-5D53-4D16-A914-3C3087832775}" xr6:coauthVersionLast="47" xr6:coauthVersionMax="47" xr10:uidLastSave="{00000000-0000-0000-0000-000000000000}"/>
  <bookViews>
    <workbookView xWindow="-110" yWindow="-110" windowWidth="19420" windowHeight="10560" firstSheet="4" activeTab="11" xr2:uid="{A8864BA8-ACCE-4CCA-A4F8-7777A07CBCF8}"/>
  </bookViews>
  <sheets>
    <sheet name="ВПР" sheetId="1" r:id="rId1"/>
    <sheet name="ПОИСКПОЗ" sheetId="3" r:id="rId2"/>
    <sheet name="ИНДЕКС" sheetId="4" r:id="rId3"/>
    <sheet name="ПОИСКПОЗ+ИНДЕКС" sheetId="2" r:id="rId4"/>
    <sheet name="ПРОСМОТР" sheetId="5" r:id="rId5"/>
    <sheet name="ПРОСМТОР 2" sheetId="6" r:id="rId6"/>
    <sheet name="ГПР" sheetId="7" r:id="rId7"/>
    <sheet name="ГПР 2" sheetId="8" r:id="rId8"/>
    <sheet name="ГПР 3" sheetId="9" r:id="rId9"/>
    <sheet name="ВПР ОШ" sheetId="10" r:id="rId10"/>
    <sheet name="ЕСЛИОШИБКА" sheetId="11" r:id="rId11"/>
    <sheet name="ПРОСМОТР 3" sheetId="12" r:id="rId12"/>
  </sheets>
  <definedNames>
    <definedName name="_xlnm._FilterDatabase" localSheetId="11" hidden="1">'ПРОСМОТР 3'!$B$2:$E$2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2" l="1"/>
  <c r="C13" i="12"/>
  <c r="C12" i="12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3" i="11"/>
  <c r="B28" i="1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3" i="10"/>
  <c r="C14" i="9"/>
  <c r="C13" i="9"/>
  <c r="C12" i="9"/>
  <c r="C10" i="8"/>
  <c r="C9" i="8"/>
  <c r="C8" i="8"/>
  <c r="B12" i="7"/>
  <c r="B11" i="7"/>
  <c r="B10" i="7"/>
  <c r="B9" i="7"/>
  <c r="B8" i="7"/>
  <c r="G9" i="7"/>
  <c r="G8" i="7"/>
  <c r="L12" i="6"/>
  <c r="L8" i="6"/>
  <c r="L7" i="6"/>
  <c r="L6" i="6"/>
  <c r="L5" i="6"/>
  <c r="G6" i="5"/>
  <c r="G5" i="5"/>
  <c r="G6" i="2"/>
  <c r="G5" i="2"/>
  <c r="I5" i="2"/>
  <c r="G7" i="2" s="1"/>
  <c r="B7" i="4"/>
  <c r="B6" i="4"/>
  <c r="B8" i="3"/>
  <c r="B9" i="3"/>
  <c r="B7" i="3"/>
  <c r="M3" i="1"/>
  <c r="M8" i="1"/>
  <c r="M7" i="1" s="1"/>
  <c r="O9" i="1" s="1"/>
  <c r="O8" i="1"/>
  <c r="M9" i="1"/>
  <c r="L5" i="1"/>
  <c r="O7" i="1" l="1"/>
  <c r="O11" i="1" s="1"/>
  <c r="O3" i="1" s="1"/>
</calcChain>
</file>

<file path=xl/sharedStrings.xml><?xml version="1.0" encoding="utf-8"?>
<sst xmlns="http://schemas.openxmlformats.org/spreadsheetml/2006/main" count="433" uniqueCount="186">
  <si>
    <t>id</t>
  </si>
  <si>
    <t>ФИО</t>
  </si>
  <si>
    <t>Цех/Участок</t>
  </si>
  <si>
    <t>Часовая ставка</t>
  </si>
  <si>
    <t>Налог</t>
  </si>
  <si>
    <t>Страховка</t>
  </si>
  <si>
    <t>Алексеева Ирина</t>
  </si>
  <si>
    <t>Бондарь Наталия</t>
  </si>
  <si>
    <t>Винницкий Павел</t>
  </si>
  <si>
    <t>Грач Леонид</t>
  </si>
  <si>
    <t>Гринфельд Михаил</t>
  </si>
  <si>
    <t>Дашкевич Маргарита</t>
  </si>
  <si>
    <t>Дулин Евгений</t>
  </si>
  <si>
    <t>Ермолаева Полина</t>
  </si>
  <si>
    <t>Ковалев Эдуард</t>
  </si>
  <si>
    <t>Сергеев Василий</t>
  </si>
  <si>
    <t>Цех 12, участок 8</t>
  </si>
  <si>
    <t>Цех 12, участок 2</t>
  </si>
  <si>
    <t>Цех 12, участок 1</t>
  </si>
  <si>
    <t>Цех 10, участок 1</t>
  </si>
  <si>
    <t>Цех 10, участок 2</t>
  </si>
  <si>
    <t>Цех 14, участок 3</t>
  </si>
  <si>
    <t>Цех 14, участок 1</t>
  </si>
  <si>
    <t>Пенс. фонд</t>
  </si>
  <si>
    <t>Отр. часов</t>
  </si>
  <si>
    <t>ID работника</t>
  </si>
  <si>
    <t>№ документа</t>
  </si>
  <si>
    <t>К выплате</t>
  </si>
  <si>
    <t>Начислено</t>
  </si>
  <si>
    <t>Вычеты</t>
  </si>
  <si>
    <t>Сумма</t>
  </si>
  <si>
    <t>Налоги</t>
  </si>
  <si>
    <t>Пенс. Фонд</t>
  </si>
  <si>
    <t>Всего</t>
  </si>
  <si>
    <t>Отработано</t>
  </si>
  <si>
    <t>Ставка</t>
  </si>
  <si>
    <t>Город</t>
  </si>
  <si>
    <t>Штат</t>
  </si>
  <si>
    <t>№ Магазина</t>
  </si>
  <si>
    <t>Чендлер</t>
  </si>
  <si>
    <t>Глендейл</t>
  </si>
  <si>
    <t>Форт-Коллинз</t>
  </si>
  <si>
    <t>Гейнесвиль</t>
  </si>
  <si>
    <t>Пеория</t>
  </si>
  <si>
    <t>Индианополис</t>
  </si>
  <si>
    <t>Лафайет</t>
  </si>
  <si>
    <t>Гранд-Рапидс</t>
  </si>
  <si>
    <t>Сент-Луис</t>
  </si>
  <si>
    <t>Биллингс</t>
  </si>
  <si>
    <t>Роли</t>
  </si>
  <si>
    <t>Манчестер</t>
  </si>
  <si>
    <t>Элизабет</t>
  </si>
  <si>
    <t>Альбукерк</t>
  </si>
  <si>
    <t>Толедо</t>
  </si>
  <si>
    <t>Талса</t>
  </si>
  <si>
    <t>Портленд</t>
  </si>
  <si>
    <t>Эри</t>
  </si>
  <si>
    <t>Провиденс</t>
  </si>
  <si>
    <t>Кларксвиль</t>
  </si>
  <si>
    <t>Карролтон</t>
  </si>
  <si>
    <t>Такома</t>
  </si>
  <si>
    <t>Грин-Бей</t>
  </si>
  <si>
    <t>AZ</t>
  </si>
  <si>
    <t>CA</t>
  </si>
  <si>
    <t>CO</t>
  </si>
  <si>
    <t>FL</t>
  </si>
  <si>
    <t>IL</t>
  </si>
  <si>
    <t>IN</t>
  </si>
  <si>
    <t>LA</t>
  </si>
  <si>
    <t>MI</t>
  </si>
  <si>
    <t>MO</t>
  </si>
  <si>
    <t>MT</t>
  </si>
  <si>
    <t>NC</t>
  </si>
  <si>
    <t>NH</t>
  </si>
  <si>
    <t>NJ</t>
  </si>
  <si>
    <t>NM</t>
  </si>
  <si>
    <t>OH</t>
  </si>
  <si>
    <t>OK</t>
  </si>
  <si>
    <t>OR</t>
  </si>
  <si>
    <t>PA</t>
  </si>
  <si>
    <t>RI</t>
  </si>
  <si>
    <t>TN</t>
  </si>
  <si>
    <t>TX</t>
  </si>
  <si>
    <t>WA</t>
  </si>
  <si>
    <t>WI</t>
  </si>
  <si>
    <t>Магазин</t>
  </si>
  <si>
    <t>Продукт</t>
  </si>
  <si>
    <t>Количество</t>
  </si>
  <si>
    <t>Бананы</t>
  </si>
  <si>
    <t>Апельсины</t>
  </si>
  <si>
    <t>Яблоки</t>
  </si>
  <si>
    <t>Груши</t>
  </si>
  <si>
    <t>Меньше</t>
  </si>
  <si>
    <t>Равно</t>
  </si>
  <si>
    <t>Больше</t>
  </si>
  <si>
    <t>Позиция</t>
  </si>
  <si>
    <t>Данные</t>
  </si>
  <si>
    <t>Лимоны</t>
  </si>
  <si>
    <t>Дыни</t>
  </si>
  <si>
    <t>Первая строка, второй столбец</t>
  </si>
  <si>
    <t>Третья строка, первый столбец</t>
  </si>
  <si>
    <t>Магазин ВПР</t>
  </si>
  <si>
    <t>ID</t>
  </si>
  <si>
    <t>ЦЕХ</t>
  </si>
  <si>
    <t>НАЛОГ</t>
  </si>
  <si>
    <t>ПЕНС. ФОНД</t>
  </si>
  <si>
    <t>Оси</t>
  </si>
  <si>
    <t>Подшипники</t>
  </si>
  <si>
    <t>Болты</t>
  </si>
  <si>
    <t>Январь</t>
  </si>
  <si>
    <t>Февраль</t>
  </si>
  <si>
    <t>Март</t>
  </si>
  <si>
    <t>Оси за март</t>
  </si>
  <si>
    <t>Оси за март ВПР</t>
  </si>
  <si>
    <t>Оси за январь</t>
  </si>
  <si>
    <t>Подшипники за февраль</t>
  </si>
  <si>
    <t>Болты за март</t>
  </si>
  <si>
    <t>Категория детали</t>
  </si>
  <si>
    <t>Болты за февраль</t>
  </si>
  <si>
    <t>Температура</t>
  </si>
  <si>
    <t>Пермь</t>
  </si>
  <si>
    <t>Воронеж</t>
  </si>
  <si>
    <t>Пенза</t>
  </si>
  <si>
    <t>Самара</t>
  </si>
  <si>
    <t>Сочи</t>
  </si>
  <si>
    <t>Ярославль</t>
  </si>
  <si>
    <t>Ветер</t>
  </si>
  <si>
    <t>Осадки</t>
  </si>
  <si>
    <t>4 м/с</t>
  </si>
  <si>
    <t>7 м/с</t>
  </si>
  <si>
    <t>2 м/с</t>
  </si>
  <si>
    <t>12 м/с</t>
  </si>
  <si>
    <t>8 м/с</t>
  </si>
  <si>
    <t>10 м/с</t>
  </si>
  <si>
    <t>Дождь</t>
  </si>
  <si>
    <t>Ясно</t>
  </si>
  <si>
    <t>Облачно</t>
  </si>
  <si>
    <t>Компания</t>
  </si>
  <si>
    <t>Руководитель</t>
  </si>
  <si>
    <t>Годовой доход</t>
  </si>
  <si>
    <t>Activision Blizzard</t>
  </si>
  <si>
    <t xml:space="preserve">Корпорация CBS </t>
  </si>
  <si>
    <t>Cheniere Energy</t>
  </si>
  <si>
    <t>Credit Acceptance</t>
  </si>
  <si>
    <t>Discovery Communications</t>
  </si>
  <si>
    <t>Disney (Walt)</t>
  </si>
  <si>
    <t>Корпорация Exxon Mobil</t>
  </si>
  <si>
    <t>Gamco Investors</t>
  </si>
  <si>
    <t>HCA Holdings</t>
  </si>
  <si>
    <t>Honeywell International</t>
  </si>
  <si>
    <t xml:space="preserve">Jefferies Group Llc </t>
  </si>
  <si>
    <t>Level 3 Communications</t>
  </si>
  <si>
    <t>Liberty Interactive</t>
  </si>
  <si>
    <t>Корпорация Mckesson</t>
  </si>
  <si>
    <t>Nike</t>
  </si>
  <si>
    <t>Nuance Communications</t>
  </si>
  <si>
    <t xml:space="preserve">Корпорация Oracle </t>
  </si>
  <si>
    <t xml:space="preserve">Корпорация Pall </t>
  </si>
  <si>
    <t>Ralph Lauren</t>
  </si>
  <si>
    <t>Tesla Motors</t>
  </si>
  <si>
    <t>Viacom</t>
  </si>
  <si>
    <t>Yahoo</t>
  </si>
  <si>
    <t xml:space="preserve">Robert A. Kotick </t>
  </si>
  <si>
    <t xml:space="preserve">Leslie Moonves </t>
  </si>
  <si>
    <t xml:space="preserve">Charif Souki </t>
  </si>
  <si>
    <t xml:space="preserve">Brett A. Roberts </t>
  </si>
  <si>
    <t xml:space="preserve">David M. Zaslav </t>
  </si>
  <si>
    <t xml:space="preserve">Robert A. Iger </t>
  </si>
  <si>
    <t xml:space="preserve">R. W. Tillerson </t>
  </si>
  <si>
    <t xml:space="preserve">Mario J. Gabelli </t>
  </si>
  <si>
    <t xml:space="preserve">Richard M. Bracken </t>
  </si>
  <si>
    <t xml:space="preserve">David M. Cote </t>
  </si>
  <si>
    <t xml:space="preserve">Richard B. Handler </t>
  </si>
  <si>
    <t xml:space="preserve">James Q. Crowe </t>
  </si>
  <si>
    <t xml:space="preserve">Gregory B. Maffei </t>
  </si>
  <si>
    <t xml:space="preserve">John H. Hammergren </t>
  </si>
  <si>
    <t xml:space="preserve">Mark G. Parker </t>
  </si>
  <si>
    <t xml:space="preserve">Paul A. Ricci </t>
  </si>
  <si>
    <t xml:space="preserve">Lawrence J. Ellison </t>
  </si>
  <si>
    <t xml:space="preserve">Lawrence Kingsley </t>
  </si>
  <si>
    <t xml:space="preserve">Ralph Lauren </t>
  </si>
  <si>
    <t xml:space="preserve">Elon Musk </t>
  </si>
  <si>
    <t xml:space="preserve">Philippe P. Dauman </t>
  </si>
  <si>
    <t xml:space="preserve">Marissa A. Mayer </t>
  </si>
  <si>
    <t>Имя</t>
  </si>
  <si>
    <t>=ПРОСМОТР(G4;C3:C25;B3:B25)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</si>
</sst>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5" formatCode="_(* #,##0_);_(* \(#,##0\);_(* &quot;-&quot;??_);_(@_)"/>
    <numFmt numFmtId="167" formatCode="#,##0.00\ &quot;₽&quot;"/>
  </numFmts>
  <fonts count="13" x14ac:knownFonts="1">
    <font>
      <sz val="36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36"/>
      <name val="Calibri"/>
      <family val="2"/>
      <charset val="204"/>
      <scheme val="minor"/>
    </font>
    <font>
      <sz val="8"/>
      <color rgb="FF363636"/>
      <name val="Segoe UI"/>
      <family val="2"/>
      <charset val="204"/>
    </font>
    <font>
      <b/>
      <sz val="57.6"/>
      <color rgb="FF393939"/>
      <name val="Segoe UI"/>
      <family val="2"/>
      <charset val="204"/>
    </font>
    <font>
      <sz val="57.6"/>
      <color rgb="FF1E1E1E"/>
      <name val="Segoe UI"/>
      <family val="2"/>
      <charset val="204"/>
    </font>
    <font>
      <sz val="36"/>
      <color rgb="FF333333"/>
      <name val="Segoe UI"/>
      <family val="2"/>
      <charset val="204"/>
    </font>
    <font>
      <b/>
      <sz val="48"/>
      <color rgb="FF393939"/>
      <name val="Segoe UI"/>
      <family val="2"/>
      <charset val="204"/>
    </font>
    <font>
      <sz val="48"/>
      <color theme="1"/>
      <name val="Calibri"/>
      <family val="2"/>
      <charset val="204"/>
      <scheme val="minor"/>
    </font>
    <font>
      <sz val="48"/>
      <color rgb="FF1E1E1E"/>
      <name val="Calibri"/>
      <family val="2"/>
      <charset val="204"/>
      <scheme val="minor"/>
    </font>
    <font>
      <b/>
      <sz val="36"/>
      <color rgb="FF393939"/>
      <name val="Segoe UI"/>
      <family val="2"/>
      <charset val="204"/>
    </font>
    <font>
      <sz val="36"/>
      <color rgb="FF1E1E1E"/>
      <name val="Segoe UI"/>
      <family val="2"/>
      <charset val="204"/>
    </font>
    <font>
      <sz val="1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/>
    <xf numFmtId="49" fontId="0" fillId="0" borderId="0" xfId="0" applyNumberFormat="1"/>
    <xf numFmtId="165" fontId="0" fillId="0" borderId="0" xfId="1" applyNumberFormat="1" applyFont="1"/>
    <xf numFmtId="167" fontId="0" fillId="0" borderId="0" xfId="1" applyNumberFormat="1" applyFont="1"/>
    <xf numFmtId="9" fontId="0" fillId="0" borderId="0" xfId="1" applyNumberFormat="1" applyFont="1"/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3" borderId="4" xfId="0" applyFill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7" fontId="0" fillId="0" borderId="7" xfId="0" applyNumberFormat="1" applyBorder="1"/>
    <xf numFmtId="167" fontId="0" fillId="0" borderId="4" xfId="0" applyNumberFormat="1" applyBorder="1"/>
    <xf numFmtId="167" fontId="2" fillId="0" borderId="7" xfId="0" applyNumberFormat="1" applyFont="1" applyBorder="1"/>
    <xf numFmtId="167" fontId="0" fillId="0" borderId="6" xfId="0" applyNumberFormat="1" applyBorder="1"/>
    <xf numFmtId="167" fontId="0" fillId="0" borderId="3" xfId="0" applyNumberFormat="1" applyBorder="1"/>
    <xf numFmtId="0" fontId="0" fillId="3" borderId="9" xfId="0" applyFill="1" applyBorder="1"/>
    <xf numFmtId="0" fontId="0" fillId="4" borderId="10" xfId="0" applyFill="1" applyBorder="1" applyAlignment="1">
      <alignment horizontal="center"/>
    </xf>
    <xf numFmtId="0" fontId="3" fillId="7" borderId="11" xfId="0" applyFont="1" applyFill="1" applyBorder="1" applyAlignment="1">
      <alignment vertical="top" wrapText="1"/>
    </xf>
    <xf numFmtId="0" fontId="0" fillId="5" borderId="12" xfId="0" applyFill="1" applyBorder="1"/>
    <xf numFmtId="0" fontId="3" fillId="8" borderId="11" xfId="0" applyFont="1" applyFill="1" applyBorder="1" applyAlignment="1">
      <alignment vertical="top" wrapText="1"/>
    </xf>
    <xf numFmtId="0" fontId="0" fillId="8" borderId="12" xfId="0" applyFill="1" applyBorder="1"/>
    <xf numFmtId="0" fontId="5" fillId="7" borderId="14" xfId="0" applyFont="1" applyFill="1" applyBorder="1" applyAlignment="1">
      <alignment vertical="center" wrapText="1"/>
    </xf>
    <xf numFmtId="0" fontId="5" fillId="7" borderId="15" xfId="0" applyFont="1" applyFill="1" applyBorder="1" applyAlignment="1">
      <alignment vertical="center" wrapText="1"/>
    </xf>
    <xf numFmtId="0" fontId="5" fillId="7" borderId="16" xfId="0" applyFont="1" applyFill="1" applyBorder="1" applyAlignment="1">
      <alignment vertical="center" wrapText="1"/>
    </xf>
    <xf numFmtId="0" fontId="4" fillId="6" borderId="17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5" fillId="7" borderId="18" xfId="0" applyFont="1" applyFill="1" applyBorder="1" applyAlignment="1">
      <alignment vertical="center" wrapText="1"/>
    </xf>
    <xf numFmtId="0" fontId="5" fillId="7" borderId="19" xfId="0" applyFont="1" applyFill="1" applyBorder="1" applyAlignment="1">
      <alignment vertical="center" wrapText="1"/>
    </xf>
    <xf numFmtId="0" fontId="5" fillId="7" borderId="2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left" vertical="center" wrapText="1"/>
    </xf>
    <xf numFmtId="0" fontId="7" fillId="6" borderId="21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0" fontId="8" fillId="0" borderId="22" xfId="0" applyFont="1" applyBorder="1"/>
    <xf numFmtId="0" fontId="9" fillId="7" borderId="23" xfId="0" applyFont="1" applyFill="1" applyBorder="1" applyAlignment="1">
      <alignment vertical="center" wrapText="1"/>
    </xf>
    <xf numFmtId="0" fontId="9" fillId="7" borderId="19" xfId="0" applyFont="1" applyFill="1" applyBorder="1" applyAlignment="1">
      <alignment vertical="center" wrapText="1"/>
    </xf>
    <xf numFmtId="0" fontId="8" fillId="0" borderId="24" xfId="0" applyFont="1" applyBorder="1"/>
    <xf numFmtId="10" fontId="0" fillId="0" borderId="0" xfId="0" applyNumberFormat="1"/>
    <xf numFmtId="0" fontId="0" fillId="2" borderId="0" xfId="0" applyFill="1"/>
    <xf numFmtId="0" fontId="10" fillId="6" borderId="11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11" fillId="7" borderId="25" xfId="0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0" fillId="2" borderId="27" xfId="0" applyFill="1" applyBorder="1"/>
    <xf numFmtId="0" fontId="11" fillId="7" borderId="2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11" fillId="7" borderId="30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0" fillId="2" borderId="32" xfId="0" applyFill="1" applyBorder="1"/>
    <xf numFmtId="0" fontId="11" fillId="7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0" fillId="8" borderId="0" xfId="0" applyFill="1" applyBorder="1"/>
    <xf numFmtId="0" fontId="11" fillId="8" borderId="3" xfId="0" applyFont="1" applyFill="1" applyBorder="1" applyAlignment="1">
      <alignment horizontal="right" vertical="center" wrapText="1"/>
    </xf>
    <xf numFmtId="0" fontId="0" fillId="2" borderId="25" xfId="0" applyFill="1" applyBorder="1"/>
    <xf numFmtId="0" fontId="0" fillId="0" borderId="26" xfId="0" applyBorder="1"/>
    <xf numFmtId="0" fontId="0" fillId="0" borderId="27" xfId="0" applyBorder="1"/>
    <xf numFmtId="0" fontId="0" fillId="2" borderId="30" xfId="0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28" xfId="0" applyFill="1" applyBorder="1"/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165" fontId="0" fillId="0" borderId="3" xfId="1" applyNumberFormat="1" applyFont="1" applyBorder="1"/>
    <xf numFmtId="167" fontId="0" fillId="0" borderId="3" xfId="1" applyNumberFormat="1" applyFont="1" applyBorder="1"/>
    <xf numFmtId="9" fontId="0" fillId="0" borderId="3" xfId="1" applyNumberFormat="1" applyFont="1" applyBorder="1"/>
    <xf numFmtId="0" fontId="0" fillId="0" borderId="29" xfId="0" applyBorder="1" applyAlignment="1">
      <alignment wrapText="1"/>
    </xf>
    <xf numFmtId="49" fontId="0" fillId="0" borderId="29" xfId="0" applyNumberFormat="1" applyBorder="1" applyAlignment="1">
      <alignment wrapText="1"/>
    </xf>
    <xf numFmtId="165" fontId="0" fillId="0" borderId="29" xfId="1" applyNumberFormat="1" applyFont="1" applyBorder="1"/>
    <xf numFmtId="167" fontId="0" fillId="0" borderId="29" xfId="1" applyNumberFormat="1" applyFont="1" applyBorder="1"/>
    <xf numFmtId="9" fontId="0" fillId="0" borderId="29" xfId="1" applyNumberFormat="1" applyFont="1" applyBorder="1"/>
    <xf numFmtId="9" fontId="0" fillId="0" borderId="31" xfId="1" applyNumberFormat="1" applyFont="1" applyBorder="1"/>
    <xf numFmtId="9" fontId="0" fillId="0" borderId="32" xfId="1" applyNumberFormat="1" applyFont="1" applyBorder="1"/>
    <xf numFmtId="0" fontId="0" fillId="0" borderId="33" xfId="0" applyBorder="1"/>
    <xf numFmtId="0" fontId="0" fillId="0" borderId="6" xfId="0" applyBorder="1" applyAlignment="1">
      <alignment wrapText="1"/>
    </xf>
    <xf numFmtId="49" fontId="0" fillId="0" borderId="6" xfId="0" applyNumberFormat="1" applyBorder="1" applyAlignment="1">
      <alignment wrapText="1"/>
    </xf>
    <xf numFmtId="165" fontId="0" fillId="0" borderId="6" xfId="1" applyNumberFormat="1" applyFont="1" applyBorder="1"/>
    <xf numFmtId="167" fontId="0" fillId="0" borderId="6" xfId="1" applyNumberFormat="1" applyFont="1" applyBorder="1"/>
    <xf numFmtId="9" fontId="0" fillId="0" borderId="6" xfId="1" applyNumberFormat="1" applyFont="1" applyBorder="1"/>
    <xf numFmtId="9" fontId="0" fillId="0" borderId="34" xfId="1" applyNumberFormat="1" applyFont="1" applyBorder="1"/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44" fontId="0" fillId="0" borderId="40" xfId="0" applyNumberFormat="1" applyBorder="1"/>
    <xf numFmtId="0" fontId="0" fillId="2" borderId="9" xfId="0" applyFill="1" applyBorder="1"/>
    <xf numFmtId="167" fontId="0" fillId="0" borderId="0" xfId="0" applyNumberFormat="1"/>
    <xf numFmtId="44" fontId="0" fillId="0" borderId="0" xfId="0" applyNumberFormat="1"/>
    <xf numFmtId="0" fontId="0" fillId="0" borderId="0" xfId="0" quotePrefix="1" applyFill="1" applyBorder="1" applyAlignment="1">
      <alignment horizontal="center"/>
    </xf>
    <xf numFmtId="0" fontId="2" fillId="0" borderId="41" xfId="0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B76B-D2F5-4F55-82CE-3EE73BB52F18}">
  <dimension ref="B1:O12"/>
  <sheetViews>
    <sheetView zoomScale="40" zoomScaleNormal="40" workbookViewId="0">
      <selection activeCell="B2" sqref="B2:I12"/>
    </sheetView>
  </sheetViews>
  <sheetFormatPr defaultRowHeight="46.5" x14ac:dyDescent="0.7"/>
  <cols>
    <col min="1" max="1" width="1.0390625" customWidth="1"/>
    <col min="2" max="2" width="4.33203125" customWidth="1"/>
    <col min="3" max="3" width="15.75" customWidth="1"/>
    <col min="4" max="4" width="15.95703125" customWidth="1"/>
    <col min="5" max="5" width="7.7890625" customWidth="1"/>
    <col min="7" max="7" width="6.875" customWidth="1"/>
    <col min="9" max="9" width="7" customWidth="1"/>
    <col min="10" max="10" width="1.58203125" customWidth="1"/>
    <col min="11" max="11" width="1.625" customWidth="1"/>
    <col min="12" max="12" width="11.08203125" customWidth="1"/>
    <col min="13" max="13" width="14.5390625" customWidth="1"/>
    <col min="14" max="14" width="10.20703125" customWidth="1"/>
    <col min="15" max="15" width="11.875" customWidth="1"/>
  </cols>
  <sheetData>
    <row r="1" spans="2:15" ht="52.5" customHeight="1" x14ac:dyDescent="0.7"/>
    <row r="2" spans="2:15" ht="93" x14ac:dyDescent="0.7">
      <c r="B2" s="4" t="s">
        <v>0</v>
      </c>
      <c r="C2" s="4" t="s">
        <v>1</v>
      </c>
      <c r="D2" s="4" t="s">
        <v>2</v>
      </c>
      <c r="E2" s="5" t="s">
        <v>24</v>
      </c>
      <c r="F2" s="5" t="s">
        <v>3</v>
      </c>
      <c r="G2" s="4" t="s">
        <v>4</v>
      </c>
      <c r="H2" s="4" t="s">
        <v>5</v>
      </c>
      <c r="I2" s="5" t="s">
        <v>23</v>
      </c>
      <c r="L2" s="11" t="s">
        <v>25</v>
      </c>
      <c r="M2" s="12" t="s">
        <v>1</v>
      </c>
      <c r="N2" s="11" t="s">
        <v>26</v>
      </c>
      <c r="O2" s="12" t="s">
        <v>27</v>
      </c>
    </row>
    <row r="3" spans="2:15" x14ac:dyDescent="0.7">
      <c r="B3">
        <v>154</v>
      </c>
      <c r="C3" s="6" t="s">
        <v>6</v>
      </c>
      <c r="D3" s="7" t="s">
        <v>16</v>
      </c>
      <c r="E3" s="8">
        <v>168</v>
      </c>
      <c r="F3" s="9">
        <v>136.30000000000001</v>
      </c>
      <c r="G3" s="10">
        <v>0.13</v>
      </c>
      <c r="H3" s="9">
        <v>100</v>
      </c>
      <c r="I3" s="10">
        <v>0.08</v>
      </c>
      <c r="L3" s="13">
        <v>665</v>
      </c>
      <c r="M3" s="14" t="str">
        <f>VLOOKUP(L3,B3:C12,2,FALSE)</f>
        <v>Ковалев Эдуард</v>
      </c>
      <c r="N3" s="13">
        <v>456</v>
      </c>
      <c r="O3" s="28">
        <f>M7-O11</f>
        <v>15829.824000000001</v>
      </c>
    </row>
    <row r="4" spans="2:15" x14ac:dyDescent="0.7">
      <c r="B4">
        <v>240</v>
      </c>
      <c r="C4" s="6" t="s">
        <v>7</v>
      </c>
      <c r="D4" s="7" t="s">
        <v>17</v>
      </c>
      <c r="E4" s="8">
        <v>80</v>
      </c>
      <c r="F4" s="9">
        <v>146.4</v>
      </c>
      <c r="G4" s="10">
        <v>0.13</v>
      </c>
      <c r="H4" s="9">
        <v>200</v>
      </c>
      <c r="I4" s="10">
        <v>7.0000000000000007E-2</v>
      </c>
      <c r="L4" s="17" t="s">
        <v>2</v>
      </c>
    </row>
    <row r="5" spans="2:15" x14ac:dyDescent="0.7">
      <c r="B5">
        <v>319</v>
      </c>
      <c r="C5" s="6" t="s">
        <v>8</v>
      </c>
      <c r="D5" s="7" t="s">
        <v>18</v>
      </c>
      <c r="E5" s="8">
        <v>176</v>
      </c>
      <c r="F5" s="9">
        <v>120.5</v>
      </c>
      <c r="G5" s="10">
        <v>0.14000000000000001</v>
      </c>
      <c r="H5" s="9">
        <v>300</v>
      </c>
      <c r="I5" s="10">
        <v>0.03</v>
      </c>
      <c r="L5" s="16" t="str">
        <f>VLOOKUP(L3,B3:D12,3,FALSE)</f>
        <v>Цех 14, участок 1</v>
      </c>
      <c r="M5" s="18"/>
    </row>
    <row r="6" spans="2:15" x14ac:dyDescent="0.7">
      <c r="B6">
        <v>331</v>
      </c>
      <c r="C6" s="6" t="s">
        <v>9</v>
      </c>
      <c r="D6" s="7" t="s">
        <v>19</v>
      </c>
      <c r="E6" s="8">
        <v>168</v>
      </c>
      <c r="F6" s="9">
        <v>110</v>
      </c>
      <c r="G6" s="10">
        <v>0.1</v>
      </c>
      <c r="H6" s="9">
        <v>300</v>
      </c>
      <c r="I6" s="10">
        <v>0.05</v>
      </c>
      <c r="M6" s="15" t="s">
        <v>28</v>
      </c>
      <c r="N6" s="15" t="s">
        <v>29</v>
      </c>
      <c r="O6" s="15" t="s">
        <v>30</v>
      </c>
    </row>
    <row r="7" spans="2:15" x14ac:dyDescent="0.7">
      <c r="B7">
        <v>428</v>
      </c>
      <c r="C7" s="6" t="s">
        <v>10</v>
      </c>
      <c r="D7" s="7" t="s">
        <v>20</v>
      </c>
      <c r="E7" s="8">
        <v>144</v>
      </c>
      <c r="F7" s="9">
        <v>120.8</v>
      </c>
      <c r="G7" s="10">
        <v>0.13</v>
      </c>
      <c r="H7" s="9">
        <v>100</v>
      </c>
      <c r="I7" s="10">
        <v>0.05</v>
      </c>
      <c r="M7" s="25">
        <f>M8*M9</f>
        <v>18480</v>
      </c>
      <c r="N7" s="21" t="s">
        <v>31</v>
      </c>
      <c r="O7" s="25">
        <f>VLOOKUP(L3, B3:G12,6,FALSE)*(M7-O8-O9)</f>
        <v>2365.3760000000002</v>
      </c>
    </row>
    <row r="8" spans="2:15" x14ac:dyDescent="0.7">
      <c r="B8">
        <v>451</v>
      </c>
      <c r="C8" s="6" t="s">
        <v>11</v>
      </c>
      <c r="D8" s="7" t="s">
        <v>20</v>
      </c>
      <c r="E8" s="8">
        <v>120</v>
      </c>
      <c r="F8" s="9">
        <v>120.8</v>
      </c>
      <c r="G8" s="10">
        <v>0.13</v>
      </c>
      <c r="H8" s="9">
        <v>200</v>
      </c>
      <c r="I8" s="10">
        <v>7.0000000000000007E-2</v>
      </c>
      <c r="L8" t="s">
        <v>34</v>
      </c>
      <c r="M8" s="21">
        <f>VLOOKUP(L3,B3:E12,4,FALSE)</f>
        <v>168</v>
      </c>
      <c r="N8" s="22" t="s">
        <v>5</v>
      </c>
      <c r="O8" s="26">
        <f>VLOOKUP(L3,B3:H12,7,FALSE)</f>
        <v>100</v>
      </c>
    </row>
    <row r="9" spans="2:15" x14ac:dyDescent="0.7">
      <c r="B9">
        <v>527</v>
      </c>
      <c r="C9" s="6" t="s">
        <v>12</v>
      </c>
      <c r="D9" s="7" t="s">
        <v>21</v>
      </c>
      <c r="E9" s="8">
        <v>168</v>
      </c>
      <c r="F9" s="9">
        <v>136.30000000000001</v>
      </c>
      <c r="G9" s="10">
        <v>0.14000000000000001</v>
      </c>
      <c r="H9" s="9">
        <v>300</v>
      </c>
      <c r="I9" s="10">
        <v>0.04</v>
      </c>
      <c r="L9" t="s">
        <v>35</v>
      </c>
      <c r="M9" s="24">
        <f>VLOOKUP(L3,B3:F12,5,FALSE)</f>
        <v>110</v>
      </c>
      <c r="N9" s="22" t="s">
        <v>32</v>
      </c>
      <c r="O9" s="24">
        <f>VLOOKUP(L3,B3:I12,8,FALSE) * M7</f>
        <v>184.8</v>
      </c>
    </row>
    <row r="10" spans="2:15" x14ac:dyDescent="0.7">
      <c r="B10">
        <v>540</v>
      </c>
      <c r="C10" s="6" t="s">
        <v>13</v>
      </c>
      <c r="D10" s="7" t="s">
        <v>21</v>
      </c>
      <c r="E10" s="8">
        <v>184</v>
      </c>
      <c r="F10" s="9">
        <v>146.4</v>
      </c>
      <c r="G10" s="10">
        <v>0.1</v>
      </c>
      <c r="H10" s="9">
        <v>200</v>
      </c>
      <c r="I10" s="10">
        <v>0.05</v>
      </c>
      <c r="M10" s="23"/>
      <c r="N10" s="23"/>
      <c r="O10" s="23"/>
    </row>
    <row r="11" spans="2:15" x14ac:dyDescent="0.7">
      <c r="B11">
        <v>665</v>
      </c>
      <c r="C11" s="6" t="s">
        <v>14</v>
      </c>
      <c r="D11" s="7" t="s">
        <v>22</v>
      </c>
      <c r="E11" s="8">
        <v>168</v>
      </c>
      <c r="F11" s="9">
        <v>110</v>
      </c>
      <c r="G11" s="10">
        <v>0.13</v>
      </c>
      <c r="H11" s="9">
        <v>100</v>
      </c>
      <c r="I11" s="10">
        <v>0.01</v>
      </c>
      <c r="M11" s="20"/>
      <c r="N11" s="14" t="s">
        <v>33</v>
      </c>
      <c r="O11" s="27">
        <f>SUM(O7:O9)</f>
        <v>2650.1760000000004</v>
      </c>
    </row>
    <row r="12" spans="2:15" x14ac:dyDescent="0.7">
      <c r="B12">
        <v>981</v>
      </c>
      <c r="C12" t="s">
        <v>15</v>
      </c>
      <c r="D12" s="7" t="s">
        <v>22</v>
      </c>
      <c r="E12" s="8">
        <v>88</v>
      </c>
      <c r="F12" s="9">
        <v>120.5</v>
      </c>
      <c r="G12" s="10">
        <v>0.13</v>
      </c>
      <c r="H12" s="9">
        <v>100</v>
      </c>
      <c r="I12" s="10">
        <v>0.08</v>
      </c>
    </row>
  </sheetData>
  <mergeCells count="1">
    <mergeCell ref="L5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59D7-7535-4BEB-995C-1373410AD863}">
  <dimension ref="B2:G24"/>
  <sheetViews>
    <sheetView zoomScale="40" zoomScaleNormal="40" workbookViewId="0">
      <selection activeCell="B2" sqref="B2:G24"/>
    </sheetView>
  </sheetViews>
  <sheetFormatPr defaultRowHeight="46.5" x14ac:dyDescent="0.7"/>
  <cols>
    <col min="1" max="1" width="3.45703125" customWidth="1"/>
    <col min="2" max="2" width="23.9140625" customWidth="1"/>
    <col min="3" max="3" width="18.08203125" customWidth="1"/>
    <col min="4" max="4" width="19.58203125" customWidth="1"/>
    <col min="6" max="6" width="17.875" customWidth="1"/>
    <col min="7" max="7" width="17.08203125" customWidth="1"/>
  </cols>
  <sheetData>
    <row r="2" spans="2:7" ht="47.25" thickBot="1" x14ac:dyDescent="0.75">
      <c r="B2" s="114" t="s">
        <v>137</v>
      </c>
      <c r="C2" s="114" t="s">
        <v>138</v>
      </c>
      <c r="D2" s="114" t="s">
        <v>139</v>
      </c>
      <c r="F2" s="114" t="s">
        <v>184</v>
      </c>
      <c r="G2" s="114" t="s">
        <v>139</v>
      </c>
    </row>
    <row r="3" spans="2:7" x14ac:dyDescent="0.7">
      <c r="B3" t="s">
        <v>140</v>
      </c>
      <c r="C3" t="s">
        <v>162</v>
      </c>
      <c r="D3" s="116" t="e">
        <f>VLOOKUP(C3,F$3:G$23, 2,FALSE)</f>
        <v>#N/A</v>
      </c>
      <c r="F3" t="s">
        <v>171</v>
      </c>
      <c r="G3" s="9">
        <v>33247178</v>
      </c>
    </row>
    <row r="4" spans="2:7" x14ac:dyDescent="0.7">
      <c r="B4" t="s">
        <v>141</v>
      </c>
      <c r="C4" t="s">
        <v>163</v>
      </c>
      <c r="D4" s="116">
        <f>VLOOKUP(C4,F$3:G$23, 2,FALSE)</f>
        <v>62157026</v>
      </c>
      <c r="F4" t="s">
        <v>174</v>
      </c>
      <c r="G4" s="9">
        <v>45302040</v>
      </c>
    </row>
    <row r="5" spans="2:7" x14ac:dyDescent="0.7">
      <c r="B5" t="s">
        <v>142</v>
      </c>
      <c r="C5" t="s">
        <v>164</v>
      </c>
      <c r="D5" s="116" t="e">
        <f>VLOOKUP(C5,F$3:G$23, 2,FALSE)</f>
        <v>#N/A</v>
      </c>
      <c r="F5" t="s">
        <v>175</v>
      </c>
      <c r="G5" s="9">
        <v>51744999</v>
      </c>
    </row>
    <row r="6" spans="2:7" x14ac:dyDescent="0.7">
      <c r="B6" t="s">
        <v>143</v>
      </c>
      <c r="C6" t="s">
        <v>165</v>
      </c>
      <c r="D6" s="116" t="e">
        <f>VLOOKUP(C6,F$3:G$23, 2,FALSE)</f>
        <v>#N/A</v>
      </c>
      <c r="F6" t="s">
        <v>163</v>
      </c>
      <c r="G6" s="9">
        <v>62157026</v>
      </c>
    </row>
    <row r="7" spans="2:7" x14ac:dyDescent="0.7">
      <c r="B7" t="s">
        <v>144</v>
      </c>
      <c r="C7" t="s">
        <v>166</v>
      </c>
      <c r="D7" s="116" t="e">
        <f>VLOOKUP(C7,F$3:G$23, 2,FALSE)</f>
        <v>#N/A</v>
      </c>
      <c r="F7" t="s">
        <v>169</v>
      </c>
      <c r="G7" s="9">
        <v>68970486</v>
      </c>
    </row>
    <row r="8" spans="2:7" x14ac:dyDescent="0.7">
      <c r="B8" t="s">
        <v>145</v>
      </c>
      <c r="C8" t="s">
        <v>167</v>
      </c>
      <c r="D8" s="116" t="e">
        <f>VLOOKUP(C8,F$3:G$23, 2,FALSE)</f>
        <v>#N/A</v>
      </c>
      <c r="F8" t="s">
        <v>183</v>
      </c>
      <c r="G8" s="9">
        <v>36615404</v>
      </c>
    </row>
    <row r="9" spans="2:7" x14ac:dyDescent="0.7">
      <c r="B9" t="s">
        <v>146</v>
      </c>
      <c r="C9" t="s">
        <v>168</v>
      </c>
      <c r="D9" s="116">
        <f>VLOOKUP(C9,F$3:G$23, 2,FALSE)</f>
        <v>40266501</v>
      </c>
      <c r="F9" t="s">
        <v>176</v>
      </c>
      <c r="G9" s="9">
        <v>35212678</v>
      </c>
    </row>
    <row r="10" spans="2:7" x14ac:dyDescent="0.7">
      <c r="B10" t="s">
        <v>147</v>
      </c>
      <c r="C10" t="s">
        <v>169</v>
      </c>
      <c r="D10" s="116">
        <f>VLOOKUP(C10,F$3:G$23, 2,FALSE)</f>
        <v>68970486</v>
      </c>
      <c r="F10" t="s">
        <v>168</v>
      </c>
      <c r="G10" s="9">
        <v>40266501</v>
      </c>
    </row>
    <row r="11" spans="2:7" x14ac:dyDescent="0.7">
      <c r="B11" t="s">
        <v>148</v>
      </c>
      <c r="C11" t="s">
        <v>170</v>
      </c>
      <c r="D11" s="116" t="e">
        <f>VLOOKUP(C11,F$3:G$23, 2,FALSE)</f>
        <v>#N/A</v>
      </c>
      <c r="F11" t="s">
        <v>180</v>
      </c>
      <c r="G11" s="9">
        <v>36325782</v>
      </c>
    </row>
    <row r="12" spans="2:7" x14ac:dyDescent="0.7">
      <c r="B12" t="s">
        <v>149</v>
      </c>
      <c r="C12" t="s">
        <v>171</v>
      </c>
      <c r="D12" s="116">
        <f>VLOOKUP(C12,F$3:G$23, 2,FALSE)</f>
        <v>33247178</v>
      </c>
      <c r="F12" t="s">
        <v>173</v>
      </c>
      <c r="G12" s="115">
        <v>45789521</v>
      </c>
    </row>
    <row r="13" spans="2:7" x14ac:dyDescent="0.7">
      <c r="B13" t="s">
        <v>150</v>
      </c>
      <c r="C13" t="s">
        <v>172</v>
      </c>
      <c r="D13" s="116" t="e">
        <f>VLOOKUP(C13,F$3:G$23, 2,FALSE)</f>
        <v>#N/A</v>
      </c>
    </row>
    <row r="14" spans="2:7" x14ac:dyDescent="0.7">
      <c r="B14" t="s">
        <v>151</v>
      </c>
      <c r="C14" t="s">
        <v>173</v>
      </c>
      <c r="D14" s="116">
        <f>VLOOKUP(C14,F$3:G$23, 2,FALSE)</f>
        <v>45789521</v>
      </c>
    </row>
    <row r="15" spans="2:7" x14ac:dyDescent="0.7">
      <c r="B15" t="s">
        <v>152</v>
      </c>
      <c r="C15" t="s">
        <v>174</v>
      </c>
      <c r="D15" s="116">
        <f>VLOOKUP(C15,F$3:G$23, 2,FALSE)</f>
        <v>45302040</v>
      </c>
    </row>
    <row r="16" spans="2:7" x14ac:dyDescent="0.7">
      <c r="B16" t="s">
        <v>153</v>
      </c>
      <c r="C16" t="s">
        <v>175</v>
      </c>
      <c r="D16" s="116">
        <f>VLOOKUP(C16,F$3:G$23, 2,FALSE)</f>
        <v>51744999</v>
      </c>
    </row>
    <row r="17" spans="2:4" x14ac:dyDescent="0.7">
      <c r="B17" t="s">
        <v>154</v>
      </c>
      <c r="C17" t="s">
        <v>176</v>
      </c>
      <c r="D17" s="116">
        <f>VLOOKUP(C17,F$3:G$23, 2,FALSE)</f>
        <v>35212678</v>
      </c>
    </row>
    <row r="18" spans="2:4" x14ac:dyDescent="0.7">
      <c r="B18" t="s">
        <v>155</v>
      </c>
      <c r="C18" t="s">
        <v>177</v>
      </c>
      <c r="D18" s="116" t="e">
        <f>VLOOKUP(C18,F$3:G$23, 2,FALSE)</f>
        <v>#N/A</v>
      </c>
    </row>
    <row r="19" spans="2:4" x14ac:dyDescent="0.7">
      <c r="B19" t="s">
        <v>156</v>
      </c>
      <c r="C19" t="s">
        <v>178</v>
      </c>
      <c r="D19" s="116" t="e">
        <f>VLOOKUP(C19,F$3:G$23, 2,FALSE)</f>
        <v>#N/A</v>
      </c>
    </row>
    <row r="20" spans="2:4" x14ac:dyDescent="0.7">
      <c r="B20" t="s">
        <v>157</v>
      </c>
      <c r="C20" t="s">
        <v>179</v>
      </c>
      <c r="D20" s="116" t="e">
        <f>VLOOKUP(C20,F$3:G$23, 2,FALSE)</f>
        <v>#N/A</v>
      </c>
    </row>
    <row r="21" spans="2:4" x14ac:dyDescent="0.7">
      <c r="B21" t="s">
        <v>158</v>
      </c>
      <c r="C21" t="s">
        <v>180</v>
      </c>
      <c r="D21" s="116">
        <f>VLOOKUP(C21,F$3:G$23, 2,FALSE)</f>
        <v>36325782</v>
      </c>
    </row>
    <row r="22" spans="2:4" x14ac:dyDescent="0.7">
      <c r="B22" t="s">
        <v>159</v>
      </c>
      <c r="C22" t="s">
        <v>181</v>
      </c>
      <c r="D22" s="116" t="e">
        <f>VLOOKUP(C22,F$3:G$23, 2,FALSE)</f>
        <v>#N/A</v>
      </c>
    </row>
    <row r="23" spans="2:4" x14ac:dyDescent="0.7">
      <c r="B23" t="s">
        <v>160</v>
      </c>
      <c r="C23" t="s">
        <v>182</v>
      </c>
      <c r="D23" s="116" t="e">
        <f>VLOOKUP(C23,F$3:G$23, 2,FALSE)</f>
        <v>#N/A</v>
      </c>
    </row>
    <row r="24" spans="2:4" x14ac:dyDescent="0.7">
      <c r="B24" t="s">
        <v>161</v>
      </c>
      <c r="C24" t="s">
        <v>183</v>
      </c>
      <c r="D24" s="116">
        <f>VLOOKUP(C24,F$3:G$23, 2,FALSE)</f>
        <v>36615404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5CF6-8E80-4D5A-9A89-1487001DA717}">
  <dimension ref="B2:G28"/>
  <sheetViews>
    <sheetView zoomScale="40" zoomScaleNormal="40" workbookViewId="0">
      <selection activeCell="F5" sqref="F5"/>
    </sheetView>
  </sheetViews>
  <sheetFormatPr defaultRowHeight="46.5" x14ac:dyDescent="0.7"/>
  <cols>
    <col min="2" max="2" width="22.95703125" bestFit="1" customWidth="1"/>
    <col min="3" max="3" width="18.58203125" bestFit="1" customWidth="1"/>
    <col min="4" max="4" width="15.45703125" bestFit="1" customWidth="1"/>
    <col min="6" max="6" width="18.58203125" bestFit="1" customWidth="1"/>
    <col min="7" max="7" width="16.2890625" customWidth="1"/>
  </cols>
  <sheetData>
    <row r="2" spans="2:7" ht="47.25" thickBot="1" x14ac:dyDescent="0.75">
      <c r="B2" s="114" t="s">
        <v>137</v>
      </c>
      <c r="C2" s="114" t="s">
        <v>138</v>
      </c>
      <c r="D2" s="114" t="s">
        <v>139</v>
      </c>
      <c r="F2" s="114" t="s">
        <v>184</v>
      </c>
      <c r="G2" s="114" t="s">
        <v>139</v>
      </c>
    </row>
    <row r="3" spans="2:7" x14ac:dyDescent="0.7">
      <c r="B3" t="s">
        <v>140</v>
      </c>
      <c r="C3" t="s">
        <v>162</v>
      </c>
      <c r="D3" s="115">
        <f>IFERROR(VLOOKUP(C3,F$3:G$23, 2,FALSE),"")</f>
        <v>25415465</v>
      </c>
      <c r="F3" t="s">
        <v>171</v>
      </c>
      <c r="G3" s="9">
        <v>33247178</v>
      </c>
    </row>
    <row r="4" spans="2:7" x14ac:dyDescent="0.7">
      <c r="B4" t="s">
        <v>141</v>
      </c>
      <c r="C4" t="s">
        <v>163</v>
      </c>
      <c r="D4" s="115">
        <f t="shared" ref="D4:D24" si="0">IFERROR(VLOOKUP(C4,F$3:G$23, 2,FALSE),"")</f>
        <v>62157026</v>
      </c>
      <c r="F4" t="s">
        <v>174</v>
      </c>
      <c r="G4" s="9">
        <v>45302040</v>
      </c>
    </row>
    <row r="5" spans="2:7" x14ac:dyDescent="0.7">
      <c r="B5" t="s">
        <v>142</v>
      </c>
      <c r="C5" t="s">
        <v>164</v>
      </c>
      <c r="D5" s="115" t="str">
        <f t="shared" si="0"/>
        <v/>
      </c>
      <c r="F5" t="s">
        <v>175</v>
      </c>
      <c r="G5" s="9">
        <v>51744999</v>
      </c>
    </row>
    <row r="6" spans="2:7" x14ac:dyDescent="0.7">
      <c r="B6" t="s">
        <v>143</v>
      </c>
      <c r="C6" t="s">
        <v>165</v>
      </c>
      <c r="D6" s="115" t="str">
        <f t="shared" si="0"/>
        <v/>
      </c>
      <c r="F6" t="s">
        <v>163</v>
      </c>
      <c r="G6" s="9">
        <v>62157026</v>
      </c>
    </row>
    <row r="7" spans="2:7" x14ac:dyDescent="0.7">
      <c r="B7" t="s">
        <v>144</v>
      </c>
      <c r="C7" t="s">
        <v>166</v>
      </c>
      <c r="D7" s="115">
        <f t="shared" si="0"/>
        <v>46251256</v>
      </c>
      <c r="F7" t="s">
        <v>169</v>
      </c>
      <c r="G7" s="9">
        <v>68970486</v>
      </c>
    </row>
    <row r="8" spans="2:7" x14ac:dyDescent="0.7">
      <c r="B8" t="s">
        <v>145</v>
      </c>
      <c r="C8" t="s">
        <v>167</v>
      </c>
      <c r="D8" s="115" t="str">
        <f t="shared" si="0"/>
        <v/>
      </c>
      <c r="F8" t="s">
        <v>183</v>
      </c>
      <c r="G8" s="9">
        <v>36615404</v>
      </c>
    </row>
    <row r="9" spans="2:7" x14ac:dyDescent="0.7">
      <c r="B9" t="s">
        <v>146</v>
      </c>
      <c r="C9" t="s">
        <v>168</v>
      </c>
      <c r="D9" s="115">
        <f t="shared" si="0"/>
        <v>40266501</v>
      </c>
      <c r="F9" t="s">
        <v>176</v>
      </c>
      <c r="G9" s="9">
        <v>35212678</v>
      </c>
    </row>
    <row r="10" spans="2:7" x14ac:dyDescent="0.7">
      <c r="B10" t="s">
        <v>147</v>
      </c>
      <c r="C10" t="s">
        <v>169</v>
      </c>
      <c r="D10" s="115">
        <f t="shared" si="0"/>
        <v>68970486</v>
      </c>
      <c r="F10" t="s">
        <v>168</v>
      </c>
      <c r="G10" s="9">
        <v>40266501</v>
      </c>
    </row>
    <row r="11" spans="2:7" x14ac:dyDescent="0.7">
      <c r="B11" t="s">
        <v>148</v>
      </c>
      <c r="C11" t="s">
        <v>170</v>
      </c>
      <c r="D11" s="115" t="str">
        <f t="shared" si="0"/>
        <v/>
      </c>
      <c r="F11" t="s">
        <v>180</v>
      </c>
      <c r="G11" s="9">
        <v>36325782</v>
      </c>
    </row>
    <row r="12" spans="2:7" x14ac:dyDescent="0.7">
      <c r="B12" t="s">
        <v>149</v>
      </c>
      <c r="C12" t="s">
        <v>171</v>
      </c>
      <c r="D12" s="115">
        <f t="shared" si="0"/>
        <v>33247178</v>
      </c>
      <c r="F12" t="s">
        <v>173</v>
      </c>
      <c r="G12" s="115">
        <v>45789521</v>
      </c>
    </row>
    <row r="13" spans="2:7" x14ac:dyDescent="0.7">
      <c r="B13" t="s">
        <v>150</v>
      </c>
      <c r="C13" t="s">
        <v>172</v>
      </c>
      <c r="D13" s="115" t="str">
        <f t="shared" si="0"/>
        <v/>
      </c>
      <c r="F13" t="s">
        <v>162</v>
      </c>
      <c r="G13" s="115">
        <v>25415465</v>
      </c>
    </row>
    <row r="14" spans="2:7" x14ac:dyDescent="0.7">
      <c r="B14" t="s">
        <v>151</v>
      </c>
      <c r="C14" t="s">
        <v>173</v>
      </c>
      <c r="D14" s="115">
        <f t="shared" si="0"/>
        <v>45789521</v>
      </c>
      <c r="F14" t="s">
        <v>166</v>
      </c>
      <c r="G14" s="115">
        <v>46251256</v>
      </c>
    </row>
    <row r="15" spans="2:7" x14ac:dyDescent="0.7">
      <c r="B15" t="s">
        <v>152</v>
      </c>
      <c r="C15" t="s">
        <v>174</v>
      </c>
      <c r="D15" s="115">
        <f t="shared" si="0"/>
        <v>45302040</v>
      </c>
    </row>
    <row r="16" spans="2:7" x14ac:dyDescent="0.7">
      <c r="B16" t="s">
        <v>153</v>
      </c>
      <c r="C16" t="s">
        <v>175</v>
      </c>
      <c r="D16" s="115">
        <f t="shared" si="0"/>
        <v>51744999</v>
      </c>
    </row>
    <row r="17" spans="2:4" x14ac:dyDescent="0.7">
      <c r="B17" t="s">
        <v>154</v>
      </c>
      <c r="C17" t="s">
        <v>176</v>
      </c>
      <c r="D17" s="115">
        <f t="shared" si="0"/>
        <v>35212678</v>
      </c>
    </row>
    <row r="18" spans="2:4" x14ac:dyDescent="0.7">
      <c r="B18" t="s">
        <v>155</v>
      </c>
      <c r="C18" t="s">
        <v>177</v>
      </c>
      <c r="D18" s="115" t="str">
        <f t="shared" si="0"/>
        <v/>
      </c>
    </row>
    <row r="19" spans="2:4" x14ac:dyDescent="0.7">
      <c r="B19" t="s">
        <v>156</v>
      </c>
      <c r="C19" t="s">
        <v>178</v>
      </c>
      <c r="D19" s="115" t="str">
        <f t="shared" si="0"/>
        <v/>
      </c>
    </row>
    <row r="20" spans="2:4" x14ac:dyDescent="0.7">
      <c r="B20" t="s">
        <v>157</v>
      </c>
      <c r="C20" t="s">
        <v>179</v>
      </c>
      <c r="D20" s="115" t="str">
        <f t="shared" si="0"/>
        <v/>
      </c>
    </row>
    <row r="21" spans="2:4" x14ac:dyDescent="0.7">
      <c r="B21" t="s">
        <v>158</v>
      </c>
      <c r="C21" t="s">
        <v>180</v>
      </c>
      <c r="D21" s="115">
        <f t="shared" si="0"/>
        <v>36325782</v>
      </c>
    </row>
    <row r="22" spans="2:4" x14ac:dyDescent="0.7">
      <c r="B22" t="s">
        <v>159</v>
      </c>
      <c r="C22" t="s">
        <v>181</v>
      </c>
      <c r="D22" s="115" t="str">
        <f t="shared" si="0"/>
        <v/>
      </c>
    </row>
    <row r="23" spans="2:4" x14ac:dyDescent="0.7">
      <c r="B23" t="s">
        <v>160</v>
      </c>
      <c r="C23" t="s">
        <v>182</v>
      </c>
      <c r="D23" s="115" t="str">
        <f t="shared" si="0"/>
        <v/>
      </c>
    </row>
    <row r="24" spans="2:4" x14ac:dyDescent="0.7">
      <c r="B24" t="s">
        <v>161</v>
      </c>
      <c r="C24" t="s">
        <v>183</v>
      </c>
      <c r="D24" s="115">
        <f t="shared" si="0"/>
        <v>36615404</v>
      </c>
    </row>
    <row r="28" spans="2:4" x14ac:dyDescent="0.7">
      <c r="B28" t="str">
        <f>IFERROR(5/0,"Деление на 0")</f>
        <v>Деление на 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95A9-15BC-47EE-B71A-3B5281A1E83B}">
  <dimension ref="B2:E14"/>
  <sheetViews>
    <sheetView tabSelected="1" zoomScale="40" zoomScaleNormal="40" workbookViewId="0">
      <selection activeCell="G9" sqref="G9"/>
    </sheetView>
  </sheetViews>
  <sheetFormatPr defaultRowHeight="46.5" x14ac:dyDescent="0.7"/>
  <cols>
    <col min="2" max="2" width="15.4140625" customWidth="1"/>
    <col min="3" max="3" width="10.45703125" customWidth="1"/>
    <col min="4" max="4" width="11.95703125" customWidth="1"/>
    <col min="5" max="5" width="12.5" customWidth="1"/>
  </cols>
  <sheetData>
    <row r="2" spans="2:5" x14ac:dyDescent="0.7">
      <c r="B2" s="59" t="s">
        <v>36</v>
      </c>
      <c r="C2" s="59" t="s">
        <v>119</v>
      </c>
      <c r="D2" s="59" t="s">
        <v>126</v>
      </c>
      <c r="E2" s="59" t="s">
        <v>127</v>
      </c>
    </row>
    <row r="3" spans="2:5" x14ac:dyDescent="0.7">
      <c r="B3" s="13" t="s">
        <v>121</v>
      </c>
      <c r="C3" s="13">
        <v>13</v>
      </c>
      <c r="D3" s="13" t="s">
        <v>129</v>
      </c>
      <c r="E3" s="13" t="s">
        <v>135</v>
      </c>
    </row>
    <row r="4" spans="2:5" x14ac:dyDescent="0.7">
      <c r="B4" s="13" t="s">
        <v>122</v>
      </c>
      <c r="C4" s="13">
        <v>33</v>
      </c>
      <c r="D4" s="13" t="s">
        <v>130</v>
      </c>
      <c r="E4" s="13" t="s">
        <v>136</v>
      </c>
    </row>
    <row r="5" spans="2:5" x14ac:dyDescent="0.7">
      <c r="B5" s="13" t="s">
        <v>120</v>
      </c>
      <c r="C5" s="13">
        <v>23</v>
      </c>
      <c r="D5" s="13" t="s">
        <v>128</v>
      </c>
      <c r="E5" s="13" t="s">
        <v>134</v>
      </c>
    </row>
    <row r="6" spans="2:5" x14ac:dyDescent="0.7">
      <c r="B6" s="13" t="s">
        <v>123</v>
      </c>
      <c r="C6" s="13">
        <v>21</v>
      </c>
      <c r="D6" s="13" t="s">
        <v>131</v>
      </c>
      <c r="E6" s="13" t="s">
        <v>135</v>
      </c>
    </row>
    <row r="7" spans="2:5" x14ac:dyDescent="0.7">
      <c r="B7" s="13" t="s">
        <v>124</v>
      </c>
      <c r="C7" s="13">
        <v>15</v>
      </c>
      <c r="D7" s="13" t="s">
        <v>132</v>
      </c>
      <c r="E7" s="13" t="s">
        <v>134</v>
      </c>
    </row>
    <row r="8" spans="2:5" x14ac:dyDescent="0.7">
      <c r="B8" s="13" t="s">
        <v>125</v>
      </c>
      <c r="C8" s="13">
        <v>32</v>
      </c>
      <c r="D8" s="13" t="s">
        <v>133</v>
      </c>
      <c r="E8" s="13" t="s">
        <v>136</v>
      </c>
    </row>
    <row r="9" spans="2:5" x14ac:dyDescent="0.7">
      <c r="B9" s="19"/>
      <c r="C9" s="19"/>
      <c r="D9" s="19"/>
      <c r="E9" s="19"/>
    </row>
    <row r="10" spans="2:5" ht="47.25" thickBot="1" x14ac:dyDescent="0.75"/>
    <row r="11" spans="2:5" x14ac:dyDescent="0.7">
      <c r="B11" s="72" t="s">
        <v>36</v>
      </c>
      <c r="C11" s="80" t="s">
        <v>121</v>
      </c>
      <c r="E11" s="117" t="s">
        <v>185</v>
      </c>
    </row>
    <row r="12" spans="2:5" x14ac:dyDescent="0.7">
      <c r="B12" s="82" t="s">
        <v>119</v>
      </c>
      <c r="C12" s="118">
        <f>LOOKUP("Воронеж",B3:B8,C3:C8)</f>
        <v>13</v>
      </c>
    </row>
    <row r="13" spans="2:5" x14ac:dyDescent="0.7">
      <c r="B13" s="82" t="s">
        <v>126</v>
      </c>
      <c r="C13" s="84" t="str">
        <f>LOOKUP(C11, B3:B8, D3:D8)</f>
        <v>7 м/с</v>
      </c>
    </row>
    <row r="14" spans="2:5" ht="47.25" thickBot="1" x14ac:dyDescent="0.75">
      <c r="B14" s="75" t="s">
        <v>127</v>
      </c>
      <c r="C14" s="81" t="str">
        <f>LOOKUP(C11, B3:B8, E3:E8)</f>
        <v>Ясно</v>
      </c>
    </row>
  </sheetData>
  <autoFilter ref="B2:E2" xr:uid="{D8F695A9-15BC-47EE-B71A-3B5281A1E83B}">
    <sortState xmlns:xlrd2="http://schemas.microsoft.com/office/spreadsheetml/2017/richdata2" ref="B3:E8">
      <sortCondition ref="B2"/>
    </sortState>
  </autoFilter>
  <sortState xmlns:xlrd2="http://schemas.microsoft.com/office/spreadsheetml/2017/richdata2" ref="B3:E9">
    <sortCondition ref="B2:B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B91B-986A-48CD-91EC-377A7F8F7219}">
  <dimension ref="A1:C9"/>
  <sheetViews>
    <sheetView topLeftCell="A4" zoomScale="40" zoomScaleNormal="40" workbookViewId="0">
      <selection activeCell="B7" sqref="B7"/>
    </sheetView>
  </sheetViews>
  <sheetFormatPr defaultRowHeight="46.5" x14ac:dyDescent="0.7"/>
  <cols>
    <col min="1" max="1" width="27.45703125" customWidth="1"/>
    <col min="2" max="2" width="22.08203125" customWidth="1"/>
  </cols>
  <sheetData>
    <row r="1" spans="1:3" ht="81.75" thickBot="1" x14ac:dyDescent="0.75">
      <c r="A1" s="39" t="s">
        <v>86</v>
      </c>
      <c r="B1" s="38" t="s">
        <v>87</v>
      </c>
      <c r="C1" s="33"/>
    </row>
    <row r="2" spans="1:3" ht="81.75" thickBot="1" x14ac:dyDescent="0.75">
      <c r="A2" s="40" t="s">
        <v>88</v>
      </c>
      <c r="B2" s="37">
        <v>40</v>
      </c>
      <c r="C2" s="33"/>
    </row>
    <row r="3" spans="1:3" ht="81.75" thickBot="1" x14ac:dyDescent="0.75">
      <c r="A3" s="41" t="s">
        <v>89</v>
      </c>
      <c r="B3" s="35">
        <v>30</v>
      </c>
      <c r="C3" s="33"/>
    </row>
    <row r="4" spans="1:3" ht="81.75" thickBot="1" x14ac:dyDescent="0.75">
      <c r="A4" s="41" t="s">
        <v>90</v>
      </c>
      <c r="B4" s="35">
        <v>20</v>
      </c>
      <c r="C4" s="33"/>
    </row>
    <row r="5" spans="1:3" ht="81.75" thickBot="1" x14ac:dyDescent="0.75">
      <c r="A5" s="42" t="s">
        <v>91</v>
      </c>
      <c r="B5" s="36">
        <v>10</v>
      </c>
      <c r="C5" s="34"/>
    </row>
    <row r="7" spans="1:3" ht="81" x14ac:dyDescent="0.7">
      <c r="A7" s="43" t="s">
        <v>92</v>
      </c>
      <c r="B7">
        <f>MATCH(39,B2:B5,1)</f>
        <v>4</v>
      </c>
    </row>
    <row r="8" spans="1:3" ht="81" x14ac:dyDescent="0.7">
      <c r="A8" s="43" t="s">
        <v>93</v>
      </c>
      <c r="B8">
        <f>MATCH(40, B2:B5,0)</f>
        <v>1</v>
      </c>
    </row>
    <row r="9" spans="1:3" ht="81" x14ac:dyDescent="0.7">
      <c r="A9" s="43" t="s">
        <v>94</v>
      </c>
      <c r="B9">
        <f>MATCH(37, B2:B5,-1)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3984-8401-49F5-9183-E700329F9898}">
  <dimension ref="A1:C7"/>
  <sheetViews>
    <sheetView zoomScale="40" zoomScaleNormal="40" workbookViewId="0">
      <selection activeCell="B6" sqref="B6"/>
    </sheetView>
  </sheetViews>
  <sheetFormatPr defaultRowHeight="46.5" x14ac:dyDescent="0.7"/>
  <cols>
    <col min="1" max="1" width="29.25" customWidth="1"/>
    <col min="2" max="2" width="24.70703125" customWidth="1"/>
  </cols>
  <sheetData>
    <row r="1" spans="1:3" ht="69.75" thickBot="1" x14ac:dyDescent="0.75">
      <c r="A1" s="45" t="s">
        <v>96</v>
      </c>
      <c r="B1" s="45" t="s">
        <v>96</v>
      </c>
      <c r="C1" s="44"/>
    </row>
    <row r="2" spans="1:3" ht="62.25" thickBot="1" x14ac:dyDescent="0.75">
      <c r="A2" s="49" t="s">
        <v>90</v>
      </c>
      <c r="B2" s="46" t="s">
        <v>97</v>
      </c>
      <c r="C2" s="31"/>
    </row>
    <row r="3" spans="1:3" ht="62.25" thickBot="1" x14ac:dyDescent="0.75">
      <c r="A3" s="50" t="s">
        <v>88</v>
      </c>
      <c r="B3" s="47" t="s">
        <v>91</v>
      </c>
      <c r="C3" s="32"/>
    </row>
    <row r="4" spans="1:3" ht="62.25" thickBot="1" x14ac:dyDescent="0.95">
      <c r="A4" s="51" t="s">
        <v>89</v>
      </c>
      <c r="B4" s="48" t="s">
        <v>98</v>
      </c>
    </row>
    <row r="6" spans="1:3" x14ac:dyDescent="0.7">
      <c r="A6" t="s">
        <v>99</v>
      </c>
      <c r="B6" t="str">
        <f>INDEX(A2:B4,1,2)</f>
        <v>Лимоны</v>
      </c>
    </row>
    <row r="7" spans="1:3" x14ac:dyDescent="0.7">
      <c r="A7" t="s">
        <v>100</v>
      </c>
      <c r="B7" t="str">
        <f>INDEX(A2:B4, 3,1)</f>
        <v>Апельсины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C95CA-F84E-4338-9314-9C6505F20EEB}">
  <dimension ref="B2:I25"/>
  <sheetViews>
    <sheetView zoomScale="40" zoomScaleNormal="40" workbookViewId="0">
      <selection activeCell="G7" sqref="G7"/>
    </sheetView>
  </sheetViews>
  <sheetFormatPr defaultRowHeight="46.5" x14ac:dyDescent="0.7"/>
  <cols>
    <col min="2" max="2" width="14.6640625" customWidth="1"/>
    <col min="4" max="4" width="13.33203125" customWidth="1"/>
    <col min="6" max="6" width="11.95703125" customWidth="1"/>
    <col min="7" max="7" width="13.875" customWidth="1"/>
  </cols>
  <sheetData>
    <row r="2" spans="2:9" ht="47.25" thickBot="1" x14ac:dyDescent="0.75">
      <c r="B2" s="29" t="s">
        <v>36</v>
      </c>
      <c r="C2" s="29" t="s">
        <v>37</v>
      </c>
      <c r="D2" s="29" t="s">
        <v>38</v>
      </c>
    </row>
    <row r="3" spans="2:9" ht="47.25" thickBot="1" x14ac:dyDescent="0.75">
      <c r="B3" t="s">
        <v>39</v>
      </c>
      <c r="C3" t="s">
        <v>62</v>
      </c>
      <c r="D3">
        <v>6493</v>
      </c>
    </row>
    <row r="4" spans="2:9" ht="47.25" thickBot="1" x14ac:dyDescent="0.75">
      <c r="B4" t="s">
        <v>40</v>
      </c>
      <c r="C4" t="s">
        <v>63</v>
      </c>
      <c r="D4">
        <v>4369</v>
      </c>
      <c r="F4" t="s">
        <v>37</v>
      </c>
      <c r="G4" s="30" t="s">
        <v>77</v>
      </c>
      <c r="I4" t="s">
        <v>95</v>
      </c>
    </row>
    <row r="5" spans="2:9" x14ac:dyDescent="0.7">
      <c r="B5" t="s">
        <v>41</v>
      </c>
      <c r="C5" t="s">
        <v>64</v>
      </c>
      <c r="D5">
        <v>4505</v>
      </c>
      <c r="F5" t="s">
        <v>36</v>
      </c>
      <c r="G5" t="str">
        <f>INDEX(B3:D25,MATCH(G4,C3:C25,0),1)</f>
        <v>Талса</v>
      </c>
      <c r="I5">
        <f>MATCH(G4,C3:C25,0)</f>
        <v>16</v>
      </c>
    </row>
    <row r="6" spans="2:9" x14ac:dyDescent="0.7">
      <c r="B6" t="s">
        <v>42</v>
      </c>
      <c r="C6" t="s">
        <v>65</v>
      </c>
      <c r="D6">
        <v>8745</v>
      </c>
      <c r="F6" t="s">
        <v>101</v>
      </c>
      <c r="G6">
        <f>VLOOKUP(G4,C3:D25,2,FALSE)</f>
        <v>8567</v>
      </c>
    </row>
    <row r="7" spans="2:9" x14ac:dyDescent="0.7">
      <c r="B7" t="s">
        <v>43</v>
      </c>
      <c r="C7" t="s">
        <v>66</v>
      </c>
      <c r="D7">
        <v>6273</v>
      </c>
      <c r="F7" t="s">
        <v>85</v>
      </c>
      <c r="G7">
        <f>INDEX(B3:D25, I5,3)</f>
        <v>8567</v>
      </c>
    </row>
    <row r="8" spans="2:9" x14ac:dyDescent="0.7">
      <c r="B8" t="s">
        <v>44</v>
      </c>
      <c r="C8" t="s">
        <v>67</v>
      </c>
      <c r="D8">
        <v>9384</v>
      </c>
    </row>
    <row r="9" spans="2:9" x14ac:dyDescent="0.7">
      <c r="B9" t="s">
        <v>45</v>
      </c>
      <c r="C9" t="s">
        <v>68</v>
      </c>
      <c r="D9">
        <v>5654</v>
      </c>
    </row>
    <row r="10" spans="2:9" x14ac:dyDescent="0.7">
      <c r="B10" t="s">
        <v>46</v>
      </c>
      <c r="C10" t="s">
        <v>69</v>
      </c>
      <c r="D10">
        <v>3972</v>
      </c>
    </row>
    <row r="11" spans="2:9" x14ac:dyDescent="0.7">
      <c r="B11" t="s">
        <v>47</v>
      </c>
      <c r="C11" t="s">
        <v>70</v>
      </c>
      <c r="D11">
        <v>8816</v>
      </c>
    </row>
    <row r="12" spans="2:9" x14ac:dyDescent="0.7">
      <c r="B12" t="s">
        <v>48</v>
      </c>
      <c r="C12" t="s">
        <v>71</v>
      </c>
      <c r="D12">
        <v>3331</v>
      </c>
    </row>
    <row r="13" spans="2:9" x14ac:dyDescent="0.7">
      <c r="B13" t="s">
        <v>49</v>
      </c>
      <c r="C13" t="s">
        <v>72</v>
      </c>
      <c r="D13">
        <v>3335</v>
      </c>
    </row>
    <row r="14" spans="2:9" x14ac:dyDescent="0.7">
      <c r="B14" t="s">
        <v>50</v>
      </c>
      <c r="C14" t="s">
        <v>73</v>
      </c>
      <c r="D14">
        <v>2608</v>
      </c>
    </row>
    <row r="15" spans="2:9" x14ac:dyDescent="0.7">
      <c r="B15" t="s">
        <v>51</v>
      </c>
      <c r="C15" t="s">
        <v>74</v>
      </c>
      <c r="D15">
        <v>4122</v>
      </c>
    </row>
    <row r="16" spans="2:9" x14ac:dyDescent="0.7">
      <c r="B16" t="s">
        <v>52</v>
      </c>
      <c r="C16" t="s">
        <v>75</v>
      </c>
      <c r="D16">
        <v>1022</v>
      </c>
    </row>
    <row r="17" spans="2:4" x14ac:dyDescent="0.7">
      <c r="B17" t="s">
        <v>53</v>
      </c>
      <c r="C17" t="s">
        <v>76</v>
      </c>
      <c r="D17">
        <v>7681</v>
      </c>
    </row>
    <row r="18" spans="2:4" x14ac:dyDescent="0.7">
      <c r="B18" t="s">
        <v>54</v>
      </c>
      <c r="C18" t="s">
        <v>77</v>
      </c>
      <c r="D18">
        <v>8567</v>
      </c>
    </row>
    <row r="19" spans="2:4" x14ac:dyDescent="0.7">
      <c r="B19" t="s">
        <v>55</v>
      </c>
      <c r="C19" t="s">
        <v>78</v>
      </c>
      <c r="D19">
        <v>3507</v>
      </c>
    </row>
    <row r="20" spans="2:4" x14ac:dyDescent="0.7">
      <c r="B20" t="s">
        <v>56</v>
      </c>
      <c r="C20" t="s">
        <v>79</v>
      </c>
      <c r="D20">
        <v>7326</v>
      </c>
    </row>
    <row r="21" spans="2:4" x14ac:dyDescent="0.7">
      <c r="B21" t="s">
        <v>57</v>
      </c>
      <c r="C21" t="s">
        <v>80</v>
      </c>
      <c r="D21">
        <v>4643</v>
      </c>
    </row>
    <row r="22" spans="2:4" x14ac:dyDescent="0.7">
      <c r="B22" t="s">
        <v>58</v>
      </c>
      <c r="C22" t="s">
        <v>81</v>
      </c>
      <c r="D22">
        <v>8304</v>
      </c>
    </row>
    <row r="23" spans="2:4" x14ac:dyDescent="0.7">
      <c r="B23" t="s">
        <v>59</v>
      </c>
      <c r="C23" t="s">
        <v>82</v>
      </c>
      <c r="D23">
        <v>7676</v>
      </c>
    </row>
    <row r="24" spans="2:4" x14ac:dyDescent="0.7">
      <c r="B24" t="s">
        <v>60</v>
      </c>
      <c r="C24" t="s">
        <v>83</v>
      </c>
      <c r="D24">
        <v>4938</v>
      </c>
    </row>
    <row r="25" spans="2:4" x14ac:dyDescent="0.7">
      <c r="B25" t="s">
        <v>61</v>
      </c>
      <c r="C25" t="s">
        <v>84</v>
      </c>
      <c r="D25">
        <v>1701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14F8-F365-4822-B6B1-7BDC6E6EE886}">
  <dimension ref="B2:G25"/>
  <sheetViews>
    <sheetView topLeftCell="A5" zoomScale="40" zoomScaleNormal="40" workbookViewId="0">
      <selection activeCell="G5" sqref="G5"/>
    </sheetView>
  </sheetViews>
  <sheetFormatPr defaultRowHeight="46.5" x14ac:dyDescent="0.7"/>
  <cols>
    <col min="2" max="2" width="14.6640625" customWidth="1"/>
    <col min="4" max="4" width="13.6640625" customWidth="1"/>
    <col min="6" max="7" width="15.0390625" customWidth="1"/>
  </cols>
  <sheetData>
    <row r="2" spans="2:7" ht="47.25" thickBot="1" x14ac:dyDescent="0.75">
      <c r="B2" s="29" t="s">
        <v>36</v>
      </c>
      <c r="C2" s="29" t="s">
        <v>37</v>
      </c>
      <c r="D2" s="29" t="s">
        <v>38</v>
      </c>
    </row>
    <row r="3" spans="2:7" ht="47.25" thickBot="1" x14ac:dyDescent="0.75">
      <c r="B3" t="s">
        <v>39</v>
      </c>
      <c r="C3" t="s">
        <v>62</v>
      </c>
      <c r="D3">
        <v>6493</v>
      </c>
    </row>
    <row r="4" spans="2:7" ht="47.25" thickBot="1" x14ac:dyDescent="0.75">
      <c r="B4" t="s">
        <v>40</v>
      </c>
      <c r="C4" t="s">
        <v>63</v>
      </c>
      <c r="D4">
        <v>4369</v>
      </c>
      <c r="F4" t="s">
        <v>37</v>
      </c>
      <c r="G4" s="30" t="s">
        <v>76</v>
      </c>
    </row>
    <row r="5" spans="2:7" x14ac:dyDescent="0.7">
      <c r="B5" t="s">
        <v>41</v>
      </c>
      <c r="C5" t="s">
        <v>64</v>
      </c>
      <c r="D5">
        <v>4505</v>
      </c>
      <c r="F5" t="s">
        <v>36</v>
      </c>
      <c r="G5" t="str">
        <f>LOOKUP(G4,C3:C25,B3:B25)</f>
        <v>Толедо</v>
      </c>
    </row>
    <row r="6" spans="2:7" x14ac:dyDescent="0.7">
      <c r="B6" t="s">
        <v>42</v>
      </c>
      <c r="C6" t="s">
        <v>65</v>
      </c>
      <c r="D6">
        <v>8745</v>
      </c>
      <c r="F6" t="s">
        <v>85</v>
      </c>
      <c r="G6">
        <f>LOOKUP(G4,C3:C25,D3:D25)</f>
        <v>7681</v>
      </c>
    </row>
    <row r="7" spans="2:7" x14ac:dyDescent="0.7">
      <c r="B7" t="s">
        <v>43</v>
      </c>
      <c r="C7" t="s">
        <v>66</v>
      </c>
      <c r="D7">
        <v>6273</v>
      </c>
    </row>
    <row r="8" spans="2:7" x14ac:dyDescent="0.7">
      <c r="B8" t="s">
        <v>44</v>
      </c>
      <c r="C8" t="s">
        <v>67</v>
      </c>
      <c r="D8">
        <v>9384</v>
      </c>
    </row>
    <row r="9" spans="2:7" x14ac:dyDescent="0.7">
      <c r="B9" t="s">
        <v>45</v>
      </c>
      <c r="C9" t="s">
        <v>68</v>
      </c>
      <c r="D9">
        <v>5654</v>
      </c>
    </row>
    <row r="10" spans="2:7" x14ac:dyDescent="0.7">
      <c r="B10" t="s">
        <v>46</v>
      </c>
      <c r="C10" t="s">
        <v>69</v>
      </c>
      <c r="D10">
        <v>3972</v>
      </c>
    </row>
    <row r="11" spans="2:7" x14ac:dyDescent="0.7">
      <c r="B11" t="s">
        <v>47</v>
      </c>
      <c r="C11" t="s">
        <v>70</v>
      </c>
      <c r="D11">
        <v>8816</v>
      </c>
    </row>
    <row r="12" spans="2:7" x14ac:dyDescent="0.7">
      <c r="B12" t="s">
        <v>48</v>
      </c>
      <c r="C12" t="s">
        <v>71</v>
      </c>
      <c r="D12">
        <v>3331</v>
      </c>
    </row>
    <row r="13" spans="2:7" x14ac:dyDescent="0.7">
      <c r="B13" t="s">
        <v>49</v>
      </c>
      <c r="C13" t="s">
        <v>72</v>
      </c>
      <c r="D13">
        <v>3335</v>
      </c>
    </row>
    <row r="14" spans="2:7" x14ac:dyDescent="0.7">
      <c r="B14" t="s">
        <v>50</v>
      </c>
      <c r="C14" t="s">
        <v>73</v>
      </c>
      <c r="D14">
        <v>2608</v>
      </c>
    </row>
    <row r="15" spans="2:7" x14ac:dyDescent="0.7">
      <c r="B15" t="s">
        <v>51</v>
      </c>
      <c r="C15" t="s">
        <v>74</v>
      </c>
      <c r="D15">
        <v>4122</v>
      </c>
    </row>
    <row r="16" spans="2:7" x14ac:dyDescent="0.7">
      <c r="B16" t="s">
        <v>52</v>
      </c>
      <c r="C16" t="s">
        <v>75</v>
      </c>
      <c r="D16">
        <v>1022</v>
      </c>
    </row>
    <row r="17" spans="2:4" x14ac:dyDescent="0.7">
      <c r="B17" t="s">
        <v>53</v>
      </c>
      <c r="C17" t="s">
        <v>76</v>
      </c>
      <c r="D17">
        <v>7681</v>
      </c>
    </row>
    <row r="18" spans="2:4" x14ac:dyDescent="0.7">
      <c r="B18" t="s">
        <v>54</v>
      </c>
      <c r="C18" t="s">
        <v>77</v>
      </c>
      <c r="D18">
        <v>8567</v>
      </c>
    </row>
    <row r="19" spans="2:4" x14ac:dyDescent="0.7">
      <c r="B19" t="s">
        <v>55</v>
      </c>
      <c r="C19" t="s">
        <v>78</v>
      </c>
      <c r="D19">
        <v>3507</v>
      </c>
    </row>
    <row r="20" spans="2:4" x14ac:dyDescent="0.7">
      <c r="B20" t="s">
        <v>56</v>
      </c>
      <c r="C20" t="s">
        <v>79</v>
      </c>
      <c r="D20">
        <v>7326</v>
      </c>
    </row>
    <row r="21" spans="2:4" x14ac:dyDescent="0.7">
      <c r="B21" t="s">
        <v>57</v>
      </c>
      <c r="C21" t="s">
        <v>80</v>
      </c>
      <c r="D21">
        <v>4643</v>
      </c>
    </row>
    <row r="22" spans="2:4" x14ac:dyDescent="0.7">
      <c r="B22" t="s">
        <v>58</v>
      </c>
      <c r="C22" t="s">
        <v>81</v>
      </c>
      <c r="D22">
        <v>8304</v>
      </c>
    </row>
    <row r="23" spans="2:4" x14ac:dyDescent="0.7">
      <c r="B23" t="s">
        <v>59</v>
      </c>
      <c r="C23" t="s">
        <v>82</v>
      </c>
      <c r="D23">
        <v>7676</v>
      </c>
    </row>
    <row r="24" spans="2:4" x14ac:dyDescent="0.7">
      <c r="B24" t="s">
        <v>60</v>
      </c>
      <c r="C24" t="s">
        <v>83</v>
      </c>
      <c r="D24">
        <v>4938</v>
      </c>
    </row>
    <row r="25" spans="2:4" x14ac:dyDescent="0.7">
      <c r="B25" t="s">
        <v>61</v>
      </c>
      <c r="C25" t="s">
        <v>84</v>
      </c>
      <c r="D25">
        <v>1701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C99A-64C0-4FFA-AF9D-C9385B379E64}">
  <dimension ref="B2:L12"/>
  <sheetViews>
    <sheetView zoomScale="40" zoomScaleNormal="40" workbookViewId="0">
      <selection activeCell="L5" sqref="L5"/>
    </sheetView>
  </sheetViews>
  <sheetFormatPr defaultRowHeight="46.5" x14ac:dyDescent="0.7"/>
  <cols>
    <col min="1" max="1" width="1.70703125" customWidth="1"/>
    <col min="3" max="3" width="19.33203125" bestFit="1" customWidth="1"/>
    <col min="4" max="4" width="15.45703125" bestFit="1" customWidth="1"/>
    <col min="5" max="5" width="5.5390625" bestFit="1" customWidth="1"/>
    <col min="7" max="7" width="5.75" bestFit="1" customWidth="1"/>
    <col min="9" max="9" width="5.4140625" bestFit="1" customWidth="1"/>
    <col min="11" max="11" width="11.6640625" customWidth="1"/>
    <col min="12" max="12" width="16.45703125" customWidth="1"/>
  </cols>
  <sheetData>
    <row r="2" spans="2:12" ht="93" x14ac:dyDescent="0.7">
      <c r="B2" s="4" t="s">
        <v>0</v>
      </c>
      <c r="C2" s="4" t="s">
        <v>1</v>
      </c>
      <c r="D2" s="4" t="s">
        <v>2</v>
      </c>
      <c r="E2" s="5" t="s">
        <v>24</v>
      </c>
      <c r="F2" s="5" t="s">
        <v>3</v>
      </c>
      <c r="G2" s="4" t="s">
        <v>4</v>
      </c>
      <c r="H2" s="4" t="s">
        <v>5</v>
      </c>
      <c r="I2" s="5" t="s">
        <v>23</v>
      </c>
      <c r="K2" s="3" t="s">
        <v>102</v>
      </c>
    </row>
    <row r="3" spans="2:12" x14ac:dyDescent="0.7">
      <c r="B3">
        <v>154</v>
      </c>
      <c r="C3" s="6" t="s">
        <v>6</v>
      </c>
      <c r="D3" s="7" t="s">
        <v>16</v>
      </c>
      <c r="E3" s="8">
        <v>168</v>
      </c>
      <c r="F3" s="9">
        <v>136.30000000000001</v>
      </c>
      <c r="G3" s="10">
        <v>0.13</v>
      </c>
      <c r="H3" s="9">
        <v>100</v>
      </c>
      <c r="I3" s="10">
        <v>0.08</v>
      </c>
      <c r="K3" s="2">
        <v>981</v>
      </c>
    </row>
    <row r="4" spans="2:12" x14ac:dyDescent="0.7">
      <c r="B4">
        <v>240</v>
      </c>
      <c r="C4" s="6" t="s">
        <v>7</v>
      </c>
      <c r="D4" s="7" t="s">
        <v>17</v>
      </c>
      <c r="E4" s="8">
        <v>80</v>
      </c>
      <c r="F4" s="9">
        <v>146.4</v>
      </c>
      <c r="G4" s="10">
        <v>0.13</v>
      </c>
      <c r="H4" s="9">
        <v>200</v>
      </c>
      <c r="I4" s="10">
        <v>7.0000000000000007E-2</v>
      </c>
    </row>
    <row r="5" spans="2:12" x14ac:dyDescent="0.7">
      <c r="B5">
        <v>319</v>
      </c>
      <c r="C5" s="6" t="s">
        <v>8</v>
      </c>
      <c r="D5" s="7" t="s">
        <v>18</v>
      </c>
      <c r="E5" s="8">
        <v>176</v>
      </c>
      <c r="F5" s="9">
        <v>120.5</v>
      </c>
      <c r="G5" s="10">
        <v>0.14000000000000001</v>
      </c>
      <c r="H5" s="9">
        <v>300</v>
      </c>
      <c r="I5" s="10">
        <v>0.03</v>
      </c>
      <c r="K5" t="s">
        <v>1</v>
      </c>
      <c r="L5" t="str">
        <f>LOOKUP(K3,B3:B12,C3:C12)</f>
        <v>Сергеев Василий</v>
      </c>
    </row>
    <row r="6" spans="2:12" x14ac:dyDescent="0.7">
      <c r="B6">
        <v>331</v>
      </c>
      <c r="C6" s="6" t="s">
        <v>9</v>
      </c>
      <c r="D6" s="7" t="s">
        <v>19</v>
      </c>
      <c r="E6" s="8">
        <v>168</v>
      </c>
      <c r="F6" s="9">
        <v>110</v>
      </c>
      <c r="G6" s="10">
        <v>0.1</v>
      </c>
      <c r="H6" s="9">
        <v>300</v>
      </c>
      <c r="I6" s="10">
        <v>0.05</v>
      </c>
      <c r="K6" t="s">
        <v>103</v>
      </c>
      <c r="L6" t="str">
        <f>LOOKUP(K3,B3:B12,D3:D12)</f>
        <v>Цех 14, участок 1</v>
      </c>
    </row>
    <row r="7" spans="2:12" x14ac:dyDescent="0.7">
      <c r="B7">
        <v>428</v>
      </c>
      <c r="C7" s="6" t="s">
        <v>10</v>
      </c>
      <c r="D7" s="7" t="s">
        <v>20</v>
      </c>
      <c r="E7" s="8">
        <v>144</v>
      </c>
      <c r="F7" s="9">
        <v>120.8</v>
      </c>
      <c r="G7" s="10">
        <v>0.13</v>
      </c>
      <c r="H7" s="9">
        <v>100</v>
      </c>
      <c r="I7" s="10">
        <v>0.05</v>
      </c>
      <c r="K7" t="s">
        <v>104</v>
      </c>
      <c r="L7" s="52">
        <f>LOOKUP(K3,B3:B12, G3:G12)</f>
        <v>0.13</v>
      </c>
    </row>
    <row r="8" spans="2:12" x14ac:dyDescent="0.7">
      <c r="B8">
        <v>451</v>
      </c>
      <c r="C8" s="6" t="s">
        <v>11</v>
      </c>
      <c r="D8" s="7" t="s">
        <v>20</v>
      </c>
      <c r="E8" s="8">
        <v>120</v>
      </c>
      <c r="F8" s="9">
        <v>120.8</v>
      </c>
      <c r="G8" s="10">
        <v>0.13</v>
      </c>
      <c r="H8" s="9">
        <v>200</v>
      </c>
      <c r="I8" s="10">
        <v>7.0000000000000007E-2</v>
      </c>
      <c r="K8" t="s">
        <v>105</v>
      </c>
      <c r="L8" s="52">
        <f>LOOKUP(K3,B3:B12,I3:I12)</f>
        <v>0.08</v>
      </c>
    </row>
    <row r="9" spans="2:12" x14ac:dyDescent="0.7">
      <c r="B9">
        <v>527</v>
      </c>
      <c r="C9" s="6" t="s">
        <v>12</v>
      </c>
      <c r="D9" s="7" t="s">
        <v>21</v>
      </c>
      <c r="E9" s="8">
        <v>168</v>
      </c>
      <c r="F9" s="9">
        <v>136.30000000000001</v>
      </c>
      <c r="G9" s="10">
        <v>0.14000000000000001</v>
      </c>
      <c r="H9" s="9">
        <v>300</v>
      </c>
      <c r="I9" s="10">
        <v>0.04</v>
      </c>
    </row>
    <row r="10" spans="2:12" x14ac:dyDescent="0.7">
      <c r="B10">
        <v>540</v>
      </c>
      <c r="C10" s="6" t="s">
        <v>13</v>
      </c>
      <c r="D10" s="7" t="s">
        <v>21</v>
      </c>
      <c r="E10" s="8">
        <v>184</v>
      </c>
      <c r="F10" s="9">
        <v>146.4</v>
      </c>
      <c r="G10" s="10">
        <v>0.1</v>
      </c>
      <c r="H10" s="9">
        <v>200</v>
      </c>
      <c r="I10" s="10">
        <v>0.05</v>
      </c>
      <c r="K10" s="53" t="s">
        <v>1</v>
      </c>
    </row>
    <row r="11" spans="2:12" x14ac:dyDescent="0.7">
      <c r="B11">
        <v>665</v>
      </c>
      <c r="C11" s="6" t="s">
        <v>14</v>
      </c>
      <c r="D11" s="7" t="s">
        <v>22</v>
      </c>
      <c r="E11" s="8">
        <v>168</v>
      </c>
      <c r="F11" s="9">
        <v>110</v>
      </c>
      <c r="G11" s="10">
        <v>0.13</v>
      </c>
      <c r="H11" s="9">
        <v>100</v>
      </c>
      <c r="I11" s="10">
        <v>0.01</v>
      </c>
      <c r="K11" t="s">
        <v>10</v>
      </c>
    </row>
    <row r="12" spans="2:12" x14ac:dyDescent="0.7">
      <c r="B12">
        <v>981</v>
      </c>
      <c r="C12" t="s">
        <v>15</v>
      </c>
      <c r="D12" s="7" t="s">
        <v>22</v>
      </c>
      <c r="E12" s="8">
        <v>88</v>
      </c>
      <c r="F12" s="9">
        <v>120.5</v>
      </c>
      <c r="G12" s="10">
        <v>0.13</v>
      </c>
      <c r="H12" s="9">
        <v>100</v>
      </c>
      <c r="I12" s="10">
        <v>0.08</v>
      </c>
      <c r="K12" t="s">
        <v>102</v>
      </c>
      <c r="L12">
        <f>LOOKUP(K11,C3:C12,B3:B12)</f>
        <v>428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6373-F0B0-4112-AA6E-7A0828FD23B6}">
  <dimension ref="A1:I12"/>
  <sheetViews>
    <sheetView zoomScale="40" zoomScaleNormal="40" workbookViewId="0">
      <selection activeCell="C12" sqref="C12"/>
    </sheetView>
  </sheetViews>
  <sheetFormatPr defaultRowHeight="46.5" x14ac:dyDescent="0.7"/>
  <cols>
    <col min="1" max="1" width="22.625" customWidth="1"/>
    <col min="2" max="2" width="22.08203125" customWidth="1"/>
    <col min="3" max="3" width="18.33203125" customWidth="1"/>
    <col min="4" max="4" width="8.58203125" customWidth="1"/>
    <col min="5" max="5" width="3.70703125" customWidth="1"/>
    <col min="6" max="6" width="18.5" customWidth="1"/>
  </cols>
  <sheetData>
    <row r="1" spans="1:9" ht="53.25" thickBot="1" x14ac:dyDescent="0.75">
      <c r="A1" s="57" t="s">
        <v>106</v>
      </c>
      <c r="B1" s="57" t="s">
        <v>107</v>
      </c>
      <c r="C1" s="57" t="s">
        <v>108</v>
      </c>
      <c r="G1" s="3" t="s">
        <v>109</v>
      </c>
      <c r="H1" s="3" t="s">
        <v>110</v>
      </c>
      <c r="I1" s="3" t="s">
        <v>111</v>
      </c>
    </row>
    <row r="2" spans="1:9" ht="53.25" thickBot="1" x14ac:dyDescent="0.75">
      <c r="A2" s="60">
        <v>4</v>
      </c>
      <c r="B2" s="61">
        <v>4</v>
      </c>
      <c r="C2" s="61">
        <v>9</v>
      </c>
      <c r="D2" s="62" t="s">
        <v>109</v>
      </c>
      <c r="F2" s="54" t="s">
        <v>106</v>
      </c>
      <c r="G2" s="55">
        <v>4</v>
      </c>
      <c r="H2" s="55">
        <v>5</v>
      </c>
      <c r="I2" s="55">
        <v>6</v>
      </c>
    </row>
    <row r="3" spans="1:9" ht="53.25" thickBot="1" x14ac:dyDescent="0.75">
      <c r="A3" s="63">
        <v>5</v>
      </c>
      <c r="B3" s="58">
        <v>7</v>
      </c>
      <c r="C3" s="58">
        <v>10</v>
      </c>
      <c r="D3" s="64" t="s">
        <v>110</v>
      </c>
      <c r="F3" s="54" t="s">
        <v>107</v>
      </c>
      <c r="G3" s="55">
        <v>4</v>
      </c>
      <c r="H3" s="55">
        <v>7</v>
      </c>
      <c r="I3" s="55">
        <v>8</v>
      </c>
    </row>
    <row r="4" spans="1:9" ht="53.25" thickBot="1" x14ac:dyDescent="0.75">
      <c r="A4" s="65">
        <v>6</v>
      </c>
      <c r="B4" s="66">
        <v>8</v>
      </c>
      <c r="C4" s="66">
        <v>11</v>
      </c>
      <c r="D4" s="67" t="s">
        <v>111</v>
      </c>
      <c r="F4" s="54" t="s">
        <v>108</v>
      </c>
      <c r="G4" s="55">
        <v>9</v>
      </c>
      <c r="H4" s="55">
        <v>10</v>
      </c>
      <c r="I4" s="55">
        <v>11</v>
      </c>
    </row>
    <row r="5" spans="1:9" ht="52.5" x14ac:dyDescent="0.7">
      <c r="A5" s="68"/>
      <c r="B5" s="68"/>
      <c r="C5" s="68"/>
      <c r="D5" s="70"/>
      <c r="F5" s="56"/>
      <c r="G5" s="68"/>
      <c r="H5" s="68"/>
      <c r="I5" s="68"/>
    </row>
    <row r="6" spans="1:9" ht="52.5" x14ac:dyDescent="0.7">
      <c r="A6" s="69" t="s">
        <v>117</v>
      </c>
      <c r="B6" s="68" t="s">
        <v>107</v>
      </c>
      <c r="C6" s="68"/>
      <c r="D6" s="70"/>
      <c r="F6" s="56"/>
      <c r="G6" s="68"/>
      <c r="H6" s="68"/>
      <c r="I6" s="68"/>
    </row>
    <row r="8" spans="1:9" ht="52.5" x14ac:dyDescent="0.7">
      <c r="A8" t="s">
        <v>114</v>
      </c>
      <c r="B8">
        <f>HLOOKUP(LEFT(A8,3), A1:C2,2,FALSE)</f>
        <v>4</v>
      </c>
      <c r="F8" s="56" t="s">
        <v>112</v>
      </c>
      <c r="G8">
        <f>INDEX(G2:I4,1,3)</f>
        <v>6</v>
      </c>
    </row>
    <row r="9" spans="1:9" ht="52.5" x14ac:dyDescent="0.7">
      <c r="A9" t="s">
        <v>115</v>
      </c>
      <c r="B9">
        <f>HLOOKUP(B6,A1:C3,3,FALSE)</f>
        <v>7</v>
      </c>
      <c r="F9" s="56" t="s">
        <v>113</v>
      </c>
      <c r="G9">
        <f>VLOOKUP(LEFT(F9,3),F2:I4,4,FALSE)</f>
        <v>6</v>
      </c>
    </row>
    <row r="10" spans="1:9" x14ac:dyDescent="0.7">
      <c r="A10" t="s">
        <v>116</v>
      </c>
      <c r="B10">
        <f>HLOOKUP("Болты",A1:C4,4,FALSE)</f>
        <v>11</v>
      </c>
    </row>
    <row r="11" spans="1:9" x14ac:dyDescent="0.7">
      <c r="A11" t="s">
        <v>112</v>
      </c>
      <c r="B11">
        <f>HLOOKUP("Оси",A1:C4,4,FALSE)</f>
        <v>6</v>
      </c>
    </row>
    <row r="12" spans="1:9" ht="52.5" x14ac:dyDescent="0.7">
      <c r="A12" t="s">
        <v>118</v>
      </c>
      <c r="B12" s="71">
        <f>HLOOKUP("Болты",A1:C3,3,FALSE)</f>
        <v>10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04F1-22F8-4A11-891A-2694460298A2}">
  <dimension ref="B1:H10"/>
  <sheetViews>
    <sheetView zoomScale="40" zoomScaleNormal="40" workbookViewId="0">
      <selection activeCell="B7" sqref="B7:C10"/>
    </sheetView>
  </sheetViews>
  <sheetFormatPr defaultRowHeight="46.5" x14ac:dyDescent="0.7"/>
  <cols>
    <col min="2" max="2" width="11.7890625" bestFit="1" customWidth="1"/>
    <col min="8" max="8" width="10.4140625" customWidth="1"/>
  </cols>
  <sheetData>
    <row r="1" spans="2:8" ht="47.25" thickBot="1" x14ac:dyDescent="0.75"/>
    <row r="2" spans="2:8" x14ac:dyDescent="0.7">
      <c r="B2" s="72" t="s">
        <v>36</v>
      </c>
      <c r="C2" s="76" t="s">
        <v>120</v>
      </c>
      <c r="D2" s="76" t="s">
        <v>121</v>
      </c>
      <c r="E2" s="76" t="s">
        <v>122</v>
      </c>
      <c r="F2" s="76" t="s">
        <v>123</v>
      </c>
      <c r="G2" s="76" t="s">
        <v>124</v>
      </c>
      <c r="H2" s="77" t="s">
        <v>125</v>
      </c>
    </row>
    <row r="3" spans="2:8" x14ac:dyDescent="0.7">
      <c r="B3" s="82" t="s">
        <v>119</v>
      </c>
      <c r="C3" s="13">
        <v>23</v>
      </c>
      <c r="D3" s="13">
        <v>13</v>
      </c>
      <c r="E3" s="13">
        <v>33</v>
      </c>
      <c r="F3" s="13">
        <v>21</v>
      </c>
      <c r="G3" s="13">
        <v>15</v>
      </c>
      <c r="H3" s="83">
        <v>32</v>
      </c>
    </row>
    <row r="4" spans="2:8" x14ac:dyDescent="0.7">
      <c r="B4" s="82" t="s">
        <v>126</v>
      </c>
      <c r="C4" s="13" t="s">
        <v>128</v>
      </c>
      <c r="D4" s="13" t="s">
        <v>129</v>
      </c>
      <c r="E4" s="13" t="s">
        <v>130</v>
      </c>
      <c r="F4" s="13" t="s">
        <v>131</v>
      </c>
      <c r="G4" s="13" t="s">
        <v>132</v>
      </c>
      <c r="H4" s="83" t="s">
        <v>133</v>
      </c>
    </row>
    <row r="5" spans="2:8" ht="47.25" thickBot="1" x14ac:dyDescent="0.75">
      <c r="B5" s="75" t="s">
        <v>127</v>
      </c>
      <c r="C5" s="78" t="s">
        <v>134</v>
      </c>
      <c r="D5" s="78" t="s">
        <v>135</v>
      </c>
      <c r="E5" s="78" t="s">
        <v>136</v>
      </c>
      <c r="F5" s="78" t="s">
        <v>135</v>
      </c>
      <c r="G5" s="78" t="s">
        <v>134</v>
      </c>
      <c r="H5" s="79" t="s">
        <v>136</v>
      </c>
    </row>
    <row r="6" spans="2:8" ht="47.25" thickBot="1" x14ac:dyDescent="0.75"/>
    <row r="7" spans="2:8" x14ac:dyDescent="0.7">
      <c r="B7" s="72" t="s">
        <v>36</v>
      </c>
      <c r="C7" s="80" t="s">
        <v>121</v>
      </c>
    </row>
    <row r="8" spans="2:8" x14ac:dyDescent="0.7">
      <c r="B8" s="82" t="s">
        <v>119</v>
      </c>
      <c r="C8" s="84">
        <f>HLOOKUP(C7,C2:H3,2,FALSE)</f>
        <v>13</v>
      </c>
    </row>
    <row r="9" spans="2:8" x14ac:dyDescent="0.7">
      <c r="B9" s="82" t="s">
        <v>126</v>
      </c>
      <c r="C9" s="84" t="str">
        <f>HLOOKUP(C7, C2:H4,3,FALSE)</f>
        <v>7 м/с</v>
      </c>
    </row>
    <row r="10" spans="2:8" ht="47.25" thickBot="1" x14ac:dyDescent="0.75">
      <c r="B10" s="75" t="s">
        <v>127</v>
      </c>
      <c r="C10" s="81" t="str">
        <f>HLOOKUP(C7, C2:H5, 4,FALSE)</f>
        <v>Ясно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8371-5316-4A7D-A7D4-3E3F19CA9236}">
  <dimension ref="B1:L14"/>
  <sheetViews>
    <sheetView zoomScale="40" zoomScaleNormal="40" workbookViewId="0">
      <selection activeCell="F12" sqref="F12"/>
    </sheetView>
  </sheetViews>
  <sheetFormatPr defaultRowHeight="46.5" x14ac:dyDescent="0.7"/>
  <cols>
    <col min="2" max="2" width="15.125" customWidth="1"/>
    <col min="3" max="3" width="16.95703125" customWidth="1"/>
    <col min="4" max="4" width="8.6640625" customWidth="1"/>
    <col min="5" max="5" width="10.83203125" customWidth="1"/>
    <col min="7" max="7" width="10.2890625" customWidth="1"/>
    <col min="8" max="8" width="10" customWidth="1"/>
    <col min="9" max="9" width="9.7890625" customWidth="1"/>
    <col min="10" max="10" width="10.125" customWidth="1"/>
  </cols>
  <sheetData>
    <row r="1" spans="2:12" ht="13.5" customHeight="1" thickBot="1" x14ac:dyDescent="0.75"/>
    <row r="2" spans="2:12" x14ac:dyDescent="0.7">
      <c r="B2" s="104" t="s">
        <v>0</v>
      </c>
      <c r="C2" s="97">
        <v>154</v>
      </c>
      <c r="D2" s="73">
        <v>240</v>
      </c>
      <c r="E2" s="73">
        <v>319</v>
      </c>
      <c r="F2" s="73">
        <v>331</v>
      </c>
      <c r="G2" s="73">
        <v>428</v>
      </c>
      <c r="H2" s="73">
        <v>451</v>
      </c>
      <c r="I2" s="73">
        <v>527</v>
      </c>
      <c r="J2" s="73">
        <v>540</v>
      </c>
      <c r="K2" s="73">
        <v>665</v>
      </c>
      <c r="L2" s="74">
        <v>981</v>
      </c>
    </row>
    <row r="3" spans="2:12" ht="93" x14ac:dyDescent="0.7">
      <c r="B3" s="105" t="s">
        <v>1</v>
      </c>
      <c r="C3" s="98" t="s">
        <v>6</v>
      </c>
      <c r="D3" s="85" t="s">
        <v>7</v>
      </c>
      <c r="E3" s="85" t="s">
        <v>8</v>
      </c>
      <c r="F3" s="85" t="s">
        <v>9</v>
      </c>
      <c r="G3" s="85" t="s">
        <v>10</v>
      </c>
      <c r="H3" s="85" t="s">
        <v>11</v>
      </c>
      <c r="I3" s="85" t="s">
        <v>12</v>
      </c>
      <c r="J3" s="85" t="s">
        <v>13</v>
      </c>
      <c r="K3" s="85" t="s">
        <v>14</v>
      </c>
      <c r="L3" s="90" t="s">
        <v>15</v>
      </c>
    </row>
    <row r="4" spans="2:12" s="1" customFormat="1" ht="93" x14ac:dyDescent="0.7">
      <c r="B4" s="106" t="s">
        <v>2</v>
      </c>
      <c r="C4" s="99" t="s">
        <v>16</v>
      </c>
      <c r="D4" s="86" t="s">
        <v>17</v>
      </c>
      <c r="E4" s="86" t="s">
        <v>18</v>
      </c>
      <c r="F4" s="86" t="s">
        <v>19</v>
      </c>
      <c r="G4" s="86" t="s">
        <v>20</v>
      </c>
      <c r="H4" s="86" t="s">
        <v>20</v>
      </c>
      <c r="I4" s="86" t="s">
        <v>21</v>
      </c>
      <c r="J4" s="86" t="s">
        <v>21</v>
      </c>
      <c r="K4" s="86" t="s">
        <v>22</v>
      </c>
      <c r="L4" s="91" t="s">
        <v>22</v>
      </c>
    </row>
    <row r="5" spans="2:12" x14ac:dyDescent="0.7">
      <c r="B5" s="106" t="s">
        <v>24</v>
      </c>
      <c r="C5" s="100">
        <v>168</v>
      </c>
      <c r="D5" s="87">
        <v>80</v>
      </c>
      <c r="E5" s="87">
        <v>176</v>
      </c>
      <c r="F5" s="87">
        <v>168</v>
      </c>
      <c r="G5" s="87">
        <v>144</v>
      </c>
      <c r="H5" s="87">
        <v>120</v>
      </c>
      <c r="I5" s="87">
        <v>168</v>
      </c>
      <c r="J5" s="87">
        <v>184</v>
      </c>
      <c r="K5" s="87">
        <v>168</v>
      </c>
      <c r="L5" s="92">
        <v>88</v>
      </c>
    </row>
    <row r="6" spans="2:12" x14ac:dyDescent="0.7">
      <c r="B6" s="106" t="s">
        <v>3</v>
      </c>
      <c r="C6" s="101">
        <v>136.30000000000001</v>
      </c>
      <c r="D6" s="88">
        <v>146.4</v>
      </c>
      <c r="E6" s="88">
        <v>120.5</v>
      </c>
      <c r="F6" s="88">
        <v>110</v>
      </c>
      <c r="G6" s="88">
        <v>120.8</v>
      </c>
      <c r="H6" s="88">
        <v>120.8</v>
      </c>
      <c r="I6" s="88">
        <v>136.30000000000001</v>
      </c>
      <c r="J6" s="88">
        <v>146.4</v>
      </c>
      <c r="K6" s="88">
        <v>110</v>
      </c>
      <c r="L6" s="93">
        <v>120.5</v>
      </c>
    </row>
    <row r="7" spans="2:12" x14ac:dyDescent="0.7">
      <c r="B7" s="105" t="s">
        <v>4</v>
      </c>
      <c r="C7" s="102">
        <v>0.13</v>
      </c>
      <c r="D7" s="89">
        <v>0.13</v>
      </c>
      <c r="E7" s="89">
        <v>0.14000000000000001</v>
      </c>
      <c r="F7" s="89">
        <v>0.1</v>
      </c>
      <c r="G7" s="89">
        <v>0.13</v>
      </c>
      <c r="H7" s="89">
        <v>0.13</v>
      </c>
      <c r="I7" s="89">
        <v>0.14000000000000001</v>
      </c>
      <c r="J7" s="89">
        <v>0.1</v>
      </c>
      <c r="K7" s="89">
        <v>0.13</v>
      </c>
      <c r="L7" s="94">
        <v>0.13</v>
      </c>
    </row>
    <row r="8" spans="2:12" x14ac:dyDescent="0.7">
      <c r="B8" s="105" t="s">
        <v>5</v>
      </c>
      <c r="C8" s="101">
        <v>100</v>
      </c>
      <c r="D8" s="88">
        <v>200</v>
      </c>
      <c r="E8" s="88">
        <v>300</v>
      </c>
      <c r="F8" s="88">
        <v>300</v>
      </c>
      <c r="G8" s="88">
        <v>100</v>
      </c>
      <c r="H8" s="88">
        <v>200</v>
      </c>
      <c r="I8" s="88">
        <v>300</v>
      </c>
      <c r="J8" s="88">
        <v>200</v>
      </c>
      <c r="K8" s="88">
        <v>100</v>
      </c>
      <c r="L8" s="93">
        <v>100</v>
      </c>
    </row>
    <row r="9" spans="2:12" ht="47.25" thickBot="1" x14ac:dyDescent="0.75">
      <c r="B9" s="107" t="s">
        <v>23</v>
      </c>
      <c r="C9" s="103">
        <v>0.08</v>
      </c>
      <c r="D9" s="95">
        <v>7.0000000000000007E-2</v>
      </c>
      <c r="E9" s="95">
        <v>0.03</v>
      </c>
      <c r="F9" s="95">
        <v>0.05</v>
      </c>
      <c r="G9" s="95">
        <v>0.05</v>
      </c>
      <c r="H9" s="95">
        <v>7.0000000000000007E-2</v>
      </c>
      <c r="I9" s="95">
        <v>0.04</v>
      </c>
      <c r="J9" s="95">
        <v>0.05</v>
      </c>
      <c r="K9" s="95">
        <v>0.01</v>
      </c>
      <c r="L9" s="96">
        <v>0.08</v>
      </c>
    </row>
    <row r="10" spans="2:12" ht="28.5" customHeight="1" thickBot="1" x14ac:dyDescent="0.75"/>
    <row r="11" spans="2:12" x14ac:dyDescent="0.7">
      <c r="B11" s="110" t="s">
        <v>102</v>
      </c>
      <c r="C11" s="108">
        <v>665</v>
      </c>
    </row>
    <row r="12" spans="2:12" x14ac:dyDescent="0.7">
      <c r="B12" s="111" t="s">
        <v>1</v>
      </c>
      <c r="C12" s="109" t="str">
        <f>HLOOKUP(C11,C2:L3,2,FALSE)</f>
        <v>Ковалев Эдуард</v>
      </c>
    </row>
    <row r="13" spans="2:12" x14ac:dyDescent="0.7">
      <c r="B13" s="111" t="s">
        <v>103</v>
      </c>
      <c r="C13" s="109" t="str">
        <f>HLOOKUP(C11, C2:L4,3,FALSE)</f>
        <v>Цех 14, участок 1</v>
      </c>
    </row>
    <row r="14" spans="2:12" ht="47.25" thickBot="1" x14ac:dyDescent="0.75">
      <c r="B14" s="112" t="s">
        <v>5</v>
      </c>
      <c r="C14" s="113">
        <f>HLOOKUP(C11,C2:L8,7,FALSE)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ВПР</vt:lpstr>
      <vt:lpstr>ПОИСКПОЗ</vt:lpstr>
      <vt:lpstr>ИНДЕКС</vt:lpstr>
      <vt:lpstr>ПОИСКПОЗ+ИНДЕКС</vt:lpstr>
      <vt:lpstr>ПРОСМОТР</vt:lpstr>
      <vt:lpstr>ПРОСМТОР 2</vt:lpstr>
      <vt:lpstr>ГПР</vt:lpstr>
      <vt:lpstr>ГПР 2</vt:lpstr>
      <vt:lpstr>ГПР 3</vt:lpstr>
      <vt:lpstr>ВПР ОШ</vt:lpstr>
      <vt:lpstr>ЕСЛИОШИБКА</vt:lpstr>
      <vt:lpstr>ПРОСМОТР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Басов</dc:creator>
  <cp:lastModifiedBy>Денис Басов</cp:lastModifiedBy>
  <dcterms:created xsi:type="dcterms:W3CDTF">2023-09-11T11:11:26Z</dcterms:created>
  <dcterms:modified xsi:type="dcterms:W3CDTF">2023-09-11T16:04:48Z</dcterms:modified>
</cp:coreProperties>
</file>