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12.09\"/>
    </mc:Choice>
  </mc:AlternateContent>
  <xr:revisionPtr revIDLastSave="0" documentId="13_ncr:1_{79CC7E1F-13C5-4F5F-B22F-D3630248431B}" xr6:coauthVersionLast="47" xr6:coauthVersionMax="47" xr10:uidLastSave="{00000000-0000-0000-0000-000000000000}"/>
  <bookViews>
    <workbookView xWindow="10" yWindow="10" windowWidth="19180" windowHeight="10330" tabRatio="944" firstSheet="6" activeTab="15" xr2:uid="{A8864BA8-ACCE-4CCA-A4F8-7777A07CBCF8}"/>
  </bookViews>
  <sheets>
    <sheet name="ВПР" sheetId="1" r:id="rId1"/>
    <sheet name="ПОИСКПОЗ" sheetId="3" r:id="rId2"/>
    <sheet name="ИНДЕКС" sheetId="4" r:id="rId3"/>
    <sheet name="ПОИСКПОЗ+ИНДЕКС" sheetId="2" r:id="rId4"/>
    <sheet name="ПРОСМОТР" sheetId="5" r:id="rId5"/>
    <sheet name="ПРОСМТОР 2" sheetId="6" r:id="rId6"/>
    <sheet name="ГПР" sheetId="7" r:id="rId7"/>
    <sheet name="ГПР 2" sheetId="8" r:id="rId8"/>
    <sheet name="ГПР 3" sheetId="9" r:id="rId9"/>
    <sheet name="ВПР ОШ" sheetId="10" r:id="rId10"/>
    <sheet name="ЕСЛИОШИБКА" sheetId="11" r:id="rId11"/>
    <sheet name="ПРОСМОТР 3" sheetId="12" r:id="rId12"/>
    <sheet name="ВПР прибл. поиск" sheetId="13" r:id="rId13"/>
    <sheet name="Поиск неск. критериям" sheetId="14" r:id="rId14"/>
    <sheet name="Поиск неск. крит 2" sheetId="15" r:id="rId15"/>
    <sheet name="Поиск посл. значения" sheetId="16" r:id="rId16"/>
  </sheets>
  <definedNames>
    <definedName name="_xlnm._FilterDatabase" localSheetId="14" hidden="1">'Поиск неск. крит 2'!$B$2:$E$45</definedName>
    <definedName name="_xlnm._FilterDatabase" localSheetId="11" hidden="1">'ПРОСМОТР 3'!$B$2:$E$2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F6" i="16"/>
  <c r="H7" i="15"/>
  <c r="H10" i="15"/>
  <c r="H9" i="15"/>
  <c r="G12" i="14"/>
  <c r="G11" i="14"/>
  <c r="G5" i="14"/>
  <c r="G6" i="14"/>
  <c r="G7" i="14"/>
  <c r="G8" i="14"/>
  <c r="G4" i="14"/>
  <c r="D8" i="14"/>
  <c r="E8" i="14"/>
  <c r="F8" i="14"/>
  <c r="C8" i="14"/>
  <c r="D15" i="13"/>
  <c r="G14" i="13" s="1"/>
  <c r="D14" i="13"/>
  <c r="M3" i="1"/>
  <c r="C14" i="12"/>
  <c r="C13" i="12"/>
  <c r="C12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3" i="11"/>
  <c r="B28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3" i="10"/>
  <c r="C14" i="9"/>
  <c r="C13" i="9"/>
  <c r="C12" i="9"/>
  <c r="C10" i="8"/>
  <c r="C9" i="8"/>
  <c r="C8" i="8"/>
  <c r="B12" i="7"/>
  <c r="B11" i="7"/>
  <c r="B10" i="7"/>
  <c r="B9" i="7"/>
  <c r="B8" i="7"/>
  <c r="G9" i="7"/>
  <c r="G8" i="7"/>
  <c r="L12" i="6"/>
  <c r="L8" i="6"/>
  <c r="L7" i="6"/>
  <c r="L6" i="6"/>
  <c r="L5" i="6"/>
  <c r="G6" i="5"/>
  <c r="G5" i="5"/>
  <c r="G6" i="2"/>
  <c r="G5" i="2"/>
  <c r="I5" i="2"/>
  <c r="G7" i="2" s="1"/>
  <c r="B7" i="4"/>
  <c r="B6" i="4"/>
  <c r="B8" i="3"/>
  <c r="B9" i="3"/>
  <c r="B7" i="3"/>
  <c r="M8" i="1"/>
  <c r="M7" i="1" s="1"/>
  <c r="O9" i="1" s="1"/>
  <c r="O8" i="1"/>
  <c r="M9" i="1"/>
  <c r="L5" i="1"/>
  <c r="C13" i="14" l="1"/>
  <c r="G13" i="13"/>
  <c r="D16" i="13"/>
  <c r="G12" i="13"/>
  <c r="O7" i="1"/>
  <c r="O11" i="1" s="1"/>
  <c r="O3" i="1" s="1"/>
</calcChain>
</file>

<file path=xl/sharedStrings.xml><?xml version="1.0" encoding="utf-8"?>
<sst xmlns="http://schemas.openxmlformats.org/spreadsheetml/2006/main" count="620" uniqueCount="297">
  <si>
    <t>id</t>
  </si>
  <si>
    <t>ФИО</t>
  </si>
  <si>
    <t>Цех/Участок</t>
  </si>
  <si>
    <t>Часовая ставка</t>
  </si>
  <si>
    <t>Налог</t>
  </si>
  <si>
    <t>Страховка</t>
  </si>
  <si>
    <t>Алексеева Ирина</t>
  </si>
  <si>
    <t>Бондарь Наталия</t>
  </si>
  <si>
    <t>Винницкий Павел</t>
  </si>
  <si>
    <t>Грач Леонид</t>
  </si>
  <si>
    <t>Гринфельд Михаил</t>
  </si>
  <si>
    <t>Дашкевич Маргарита</t>
  </si>
  <si>
    <t>Дулин Евгений</t>
  </si>
  <si>
    <t>Ермолаева Полина</t>
  </si>
  <si>
    <t>Ковалев Эдуард</t>
  </si>
  <si>
    <t>Сергеев Василий</t>
  </si>
  <si>
    <t>Цех 12, участок 8</t>
  </si>
  <si>
    <t>Цех 12, участок 2</t>
  </si>
  <si>
    <t>Цех 12, участок 1</t>
  </si>
  <si>
    <t>Цех 10, участок 1</t>
  </si>
  <si>
    <t>Цех 10, участок 2</t>
  </si>
  <si>
    <t>Цех 14, участок 3</t>
  </si>
  <si>
    <t>Цех 14, участок 1</t>
  </si>
  <si>
    <t>Пенс. фонд</t>
  </si>
  <si>
    <t>Отр. часов</t>
  </si>
  <si>
    <t>ID работника</t>
  </si>
  <si>
    <t>№ документа</t>
  </si>
  <si>
    <t>К выплате</t>
  </si>
  <si>
    <t>Начислено</t>
  </si>
  <si>
    <t>Вычеты</t>
  </si>
  <si>
    <t>Сумма</t>
  </si>
  <si>
    <t>Налоги</t>
  </si>
  <si>
    <t>Пенс. Фонд</t>
  </si>
  <si>
    <t>Всего</t>
  </si>
  <si>
    <t>Отработано</t>
  </si>
  <si>
    <t>Ставка</t>
  </si>
  <si>
    <t>Город</t>
  </si>
  <si>
    <t>Штат</t>
  </si>
  <si>
    <t>№ Магазина</t>
  </si>
  <si>
    <t>Чендлер</t>
  </si>
  <si>
    <t>Глендейл</t>
  </si>
  <si>
    <t>Форт-Коллинз</t>
  </si>
  <si>
    <t>Гейнесвиль</t>
  </si>
  <si>
    <t>Пеория</t>
  </si>
  <si>
    <t>Индианополис</t>
  </si>
  <si>
    <t>Лафайет</t>
  </si>
  <si>
    <t>Гранд-Рапидс</t>
  </si>
  <si>
    <t>Сент-Луис</t>
  </si>
  <si>
    <t>Биллингс</t>
  </si>
  <si>
    <t>Роли</t>
  </si>
  <si>
    <t>Манчестер</t>
  </si>
  <si>
    <t>Элизабет</t>
  </si>
  <si>
    <t>Альбукерк</t>
  </si>
  <si>
    <t>Толедо</t>
  </si>
  <si>
    <t>Талса</t>
  </si>
  <si>
    <t>Портленд</t>
  </si>
  <si>
    <t>Эри</t>
  </si>
  <si>
    <t>Провиденс</t>
  </si>
  <si>
    <t>Кларксвиль</t>
  </si>
  <si>
    <t>Карролтон</t>
  </si>
  <si>
    <t>Такома</t>
  </si>
  <si>
    <t>Грин-Бей</t>
  </si>
  <si>
    <t>AZ</t>
  </si>
  <si>
    <t>CA</t>
  </si>
  <si>
    <t>CO</t>
  </si>
  <si>
    <t>FL</t>
  </si>
  <si>
    <t>IL</t>
  </si>
  <si>
    <t>IN</t>
  </si>
  <si>
    <t>LA</t>
  </si>
  <si>
    <t>MI</t>
  </si>
  <si>
    <t>MO</t>
  </si>
  <si>
    <t>MT</t>
  </si>
  <si>
    <t>NC</t>
  </si>
  <si>
    <t>NH</t>
  </si>
  <si>
    <t>NJ</t>
  </si>
  <si>
    <t>NM</t>
  </si>
  <si>
    <t>OH</t>
  </si>
  <si>
    <t>OK</t>
  </si>
  <si>
    <t>OR</t>
  </si>
  <si>
    <t>PA</t>
  </si>
  <si>
    <t>RI</t>
  </si>
  <si>
    <t>TN</t>
  </si>
  <si>
    <t>TX</t>
  </si>
  <si>
    <t>WA</t>
  </si>
  <si>
    <t>WI</t>
  </si>
  <si>
    <t>Магазин</t>
  </si>
  <si>
    <t>Продукт</t>
  </si>
  <si>
    <t>Количество</t>
  </si>
  <si>
    <t>Бананы</t>
  </si>
  <si>
    <t>Апельсины</t>
  </si>
  <si>
    <t>Яблоки</t>
  </si>
  <si>
    <t>Груши</t>
  </si>
  <si>
    <t>Меньше</t>
  </si>
  <si>
    <t>Равно</t>
  </si>
  <si>
    <t>Больше</t>
  </si>
  <si>
    <t>Позиция</t>
  </si>
  <si>
    <t>Данные</t>
  </si>
  <si>
    <t>Лимоны</t>
  </si>
  <si>
    <t>Дыни</t>
  </si>
  <si>
    <t>Первая строка, второй столбец</t>
  </si>
  <si>
    <t>Третья строка, первый столбец</t>
  </si>
  <si>
    <t>Магазин ВПР</t>
  </si>
  <si>
    <t>ID</t>
  </si>
  <si>
    <t>ЦЕХ</t>
  </si>
  <si>
    <t>НАЛОГ</t>
  </si>
  <si>
    <t>ПЕНС. ФОНД</t>
  </si>
  <si>
    <t>Оси</t>
  </si>
  <si>
    <t>Подшипники</t>
  </si>
  <si>
    <t>Болты</t>
  </si>
  <si>
    <t>Январь</t>
  </si>
  <si>
    <t>Февраль</t>
  </si>
  <si>
    <t>Март</t>
  </si>
  <si>
    <t>Оси за март</t>
  </si>
  <si>
    <t>Оси за март ВПР</t>
  </si>
  <si>
    <t>Оси за январь</t>
  </si>
  <si>
    <t>Подшипники за февраль</t>
  </si>
  <si>
    <t>Болты за март</t>
  </si>
  <si>
    <t>Категория детали</t>
  </si>
  <si>
    <t>Болты за февраль</t>
  </si>
  <si>
    <t>Температура</t>
  </si>
  <si>
    <t>Пермь</t>
  </si>
  <si>
    <t>Воронеж</t>
  </si>
  <si>
    <t>Пенза</t>
  </si>
  <si>
    <t>Самара</t>
  </si>
  <si>
    <t>Сочи</t>
  </si>
  <si>
    <t>Ярославль</t>
  </si>
  <si>
    <t>Ветер</t>
  </si>
  <si>
    <t>Осадки</t>
  </si>
  <si>
    <t>4 м/с</t>
  </si>
  <si>
    <t>7 м/с</t>
  </si>
  <si>
    <t>2 м/с</t>
  </si>
  <si>
    <t>12 м/с</t>
  </si>
  <si>
    <t>8 м/с</t>
  </si>
  <si>
    <t>10 м/с</t>
  </si>
  <si>
    <t>Дождь</t>
  </si>
  <si>
    <t>Ясно</t>
  </si>
  <si>
    <t>Облачно</t>
  </si>
  <si>
    <t>Компания</t>
  </si>
  <si>
    <t>Руководитель</t>
  </si>
  <si>
    <t>Годовой доход</t>
  </si>
  <si>
    <t>Activision Blizzard</t>
  </si>
  <si>
    <t xml:space="preserve">Корпорация CBS </t>
  </si>
  <si>
    <t>Cheniere Energy</t>
  </si>
  <si>
    <t>Credit Acceptance</t>
  </si>
  <si>
    <t>Discovery Communications</t>
  </si>
  <si>
    <t>Disney (Walt)</t>
  </si>
  <si>
    <t>Корпорация Exxon Mobil</t>
  </si>
  <si>
    <t>Gamco Investors</t>
  </si>
  <si>
    <t>HCA Holdings</t>
  </si>
  <si>
    <t>Honeywell International</t>
  </si>
  <si>
    <t xml:space="preserve">Jefferies Group Llc </t>
  </si>
  <si>
    <t>Level 3 Communications</t>
  </si>
  <si>
    <t>Liberty Interactive</t>
  </si>
  <si>
    <t>Корпорация Mckesson</t>
  </si>
  <si>
    <t>Nike</t>
  </si>
  <si>
    <t>Nuance Communications</t>
  </si>
  <si>
    <t xml:space="preserve">Корпорация Oracle </t>
  </si>
  <si>
    <t xml:space="preserve">Корпорация Pall </t>
  </si>
  <si>
    <t>Ralph Lauren</t>
  </si>
  <si>
    <t>Tesla Motors</t>
  </si>
  <si>
    <t>Viacom</t>
  </si>
  <si>
    <t>Yahoo</t>
  </si>
  <si>
    <t xml:space="preserve">Robert A. Kotick </t>
  </si>
  <si>
    <t xml:space="preserve">Leslie Moonves </t>
  </si>
  <si>
    <t xml:space="preserve">Charif Souki </t>
  </si>
  <si>
    <t xml:space="preserve">Brett A. Roberts </t>
  </si>
  <si>
    <t xml:space="preserve">David M. Zaslav </t>
  </si>
  <si>
    <t xml:space="preserve">Robert A. Iger </t>
  </si>
  <si>
    <t xml:space="preserve">R. W. Tillerson </t>
  </si>
  <si>
    <t xml:space="preserve">Mario J. Gabelli </t>
  </si>
  <si>
    <t xml:space="preserve">Richard M. Bracken </t>
  </si>
  <si>
    <t xml:space="preserve">David M. Cote </t>
  </si>
  <si>
    <t xml:space="preserve">Richard B. Handler </t>
  </si>
  <si>
    <t xml:space="preserve">James Q. Crowe </t>
  </si>
  <si>
    <t xml:space="preserve">Gregory B. Maffei </t>
  </si>
  <si>
    <t xml:space="preserve">John H. Hammergren </t>
  </si>
  <si>
    <t xml:space="preserve">Mark G. Parker </t>
  </si>
  <si>
    <t xml:space="preserve">Paul A. Ricci </t>
  </si>
  <si>
    <t xml:space="preserve">Lawrence J. Ellison </t>
  </si>
  <si>
    <t xml:space="preserve">Lawrence Kingsley </t>
  </si>
  <si>
    <t xml:space="preserve">Ralph Lauren </t>
  </si>
  <si>
    <t xml:space="preserve">Elon Musk </t>
  </si>
  <si>
    <t xml:space="preserve">Philippe P. Dauman </t>
  </si>
  <si>
    <t xml:space="preserve">Marissa A. Mayer </t>
  </si>
  <si>
    <t>Имя</t>
  </si>
  <si>
    <t>=ПРОСМОТР(G4;C3:C25;B3:B25)</t>
  </si>
  <si>
    <t>Зарплата от</t>
  </si>
  <si>
    <t xml:space="preserve"> но не более</t>
  </si>
  <si>
    <t>Базовая сумма</t>
  </si>
  <si>
    <t>Зарплата:</t>
  </si>
  <si>
    <t>Не облагаемые пособия:</t>
  </si>
  <si>
    <t>Сумма пособий:</t>
  </si>
  <si>
    <t>Зарплата без пособий:</t>
  </si>
  <si>
    <t>Взимаемый налог:</t>
  </si>
  <si>
    <t>Вычисление подоходного налога</t>
  </si>
  <si>
    <t>Процентная счасть</t>
  </si>
  <si>
    <t>(2050-1023)*15%</t>
  </si>
  <si>
    <t>Процентная ставка</t>
  </si>
  <si>
    <t>Продажи по регионам</t>
  </si>
  <si>
    <t>Регион</t>
  </si>
  <si>
    <t>Итого</t>
  </si>
  <si>
    <t>Юг</t>
  </si>
  <si>
    <t>Север</t>
  </si>
  <si>
    <t>Запад</t>
  </si>
  <si>
    <t>Восток</t>
  </si>
  <si>
    <t>Регион:</t>
  </si>
  <si>
    <t>Год:</t>
  </si>
  <si>
    <t>Продажи:</t>
  </si>
  <si>
    <t>Позиция региона</t>
  </si>
  <si>
    <t>Позиция года</t>
  </si>
  <si>
    <t>Подразделение</t>
  </si>
  <si>
    <t>Менеджер</t>
  </si>
  <si>
    <t>Бюджет</t>
  </si>
  <si>
    <t>Центр</t>
  </si>
  <si>
    <t>Северо-восток</t>
  </si>
  <si>
    <t>Юго-запад</t>
  </si>
  <si>
    <t>Юридический отдел</t>
  </si>
  <si>
    <t>Транспортный отдел</t>
  </si>
  <si>
    <t>Отдел связи с клиентами</t>
  </si>
  <si>
    <t>Отдел  ИТ</t>
  </si>
  <si>
    <t>Производственный отдел</t>
  </si>
  <si>
    <t>Отдел сбыта</t>
  </si>
  <si>
    <t>Отдел снабжения</t>
  </si>
  <si>
    <t>Отдел гарантийного обслуживания</t>
  </si>
  <si>
    <t>Бухгалтерия</t>
  </si>
  <si>
    <t>Отдел кадров</t>
  </si>
  <si>
    <t>Отдел бизнес-исследований</t>
  </si>
  <si>
    <t>Отдел маркетинга</t>
  </si>
  <si>
    <t>Отдел технического контроля</t>
  </si>
  <si>
    <t>Отдел лицензирования</t>
  </si>
  <si>
    <t>Руководство предприятия</t>
  </si>
  <si>
    <t>Конструкторский отдел</t>
  </si>
  <si>
    <t>Плановый отдел</t>
  </si>
  <si>
    <t>Финансовый отдел</t>
  </si>
  <si>
    <t>Владимир Рыков</t>
  </si>
  <si>
    <t>Дмитрий Улевой</t>
  </si>
  <si>
    <t>Иван Броневой</t>
  </si>
  <si>
    <t>Леонид Викторов</t>
  </si>
  <si>
    <t>Людмила Борисова</t>
  </si>
  <si>
    <t>Маргарита Уварова</t>
  </si>
  <si>
    <t>Михаил Ожегов</t>
  </si>
  <si>
    <t>Петр Юркин</t>
  </si>
  <si>
    <t>Сергей Ринкин</t>
  </si>
  <si>
    <t>Федор Еромолаев</t>
  </si>
  <si>
    <t>Борисов Сергей</t>
  </si>
  <si>
    <t>Вольский Арнольд</t>
  </si>
  <si>
    <t>Давыдов Владимир</t>
  </si>
  <si>
    <t>Гурский Михаил</t>
  </si>
  <si>
    <t>Жуковский</t>
  </si>
  <si>
    <t>Кущ Валентина</t>
  </si>
  <si>
    <t>Малевский Александр</t>
  </si>
  <si>
    <t>Онопко Федер</t>
  </si>
  <si>
    <t>Ружников Петр</t>
  </si>
  <si>
    <t>Уваров  Даниил</t>
  </si>
  <si>
    <t>Цепко Валентин</t>
  </si>
  <si>
    <t>Алексеев Тимофей</t>
  </si>
  <si>
    <t>Бутов Владислав</t>
  </si>
  <si>
    <t>Волошин Александр</t>
  </si>
  <si>
    <t>Гомельский Илья</t>
  </si>
  <si>
    <t>Довгань Яков</t>
  </si>
  <si>
    <t>Ефимов Геннадий</t>
  </si>
  <si>
    <t>Жуков Василий</t>
  </si>
  <si>
    <t>Масин Тарас</t>
  </si>
  <si>
    <t>Панина Ирина</t>
  </si>
  <si>
    <t>Романова Людмила</t>
  </si>
  <si>
    <t>Сонина Ольга</t>
  </si>
  <si>
    <t>Томский Мирослав</t>
  </si>
  <si>
    <t>Удалова Ольга</t>
  </si>
  <si>
    <t>Уланов Максим</t>
  </si>
  <si>
    <t>Федоров Владимир</t>
  </si>
  <si>
    <t>Харламов Юрий</t>
  </si>
  <si>
    <t>Хорькова Татьяна</t>
  </si>
  <si>
    <t>Цветаева Нина</t>
  </si>
  <si>
    <t>Яковлев Вячеслав</t>
  </si>
  <si>
    <t>Самуэлсон Давид</t>
  </si>
  <si>
    <t>Кателин Костантин</t>
  </si>
  <si>
    <t>Марцев Махаил</t>
  </si>
  <si>
    <t>Подразделение:</t>
  </si>
  <si>
    <t>Бюджет:</t>
  </si>
  <si>
    <t>Поиск региона</t>
  </si>
  <si>
    <t>Поиск подразделения</t>
  </si>
  <si>
    <t>Номер</t>
  </si>
  <si>
    <t>накладной</t>
  </si>
  <si>
    <t>единиц</t>
  </si>
  <si>
    <t>А-6787</t>
  </si>
  <si>
    <t>А-4374</t>
  </si>
  <si>
    <t>А-5061</t>
  </si>
  <si>
    <t>А-4305</t>
  </si>
  <si>
    <t>А-1477</t>
  </si>
  <si>
    <t>А-5552</t>
  </si>
  <si>
    <t>А-8685</t>
  </si>
  <si>
    <t>А-1491</t>
  </si>
  <si>
    <t>А-2408</t>
  </si>
  <si>
    <t>А-6513</t>
  </si>
  <si>
    <t>Последняя</t>
  </si>
  <si>
    <t>накладная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</si>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</sst>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(* #,##0_);_(* \(#,##0\);_(* &quot;-&quot;??_);_(@_)"/>
    <numFmt numFmtId="165" formatCode="#,##0.00\ &quot;₽&quot;"/>
    <numFmt numFmtId="166" formatCode="_(* #,##0_);_(* \(#,##0\);_(* &quot;-&quot;_);_(@_)"/>
    <numFmt numFmtId="167" formatCode="_(* #,##0.00_);_(* \(#,##0.00\);_(* &quot;-&quot;??_);_(@_)"/>
    <numFmt numFmtId="168" formatCode="0.0%"/>
  </numFmts>
  <fonts count="15" x14ac:knownFonts="1">
    <font>
      <sz val="3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36"/>
      <name val="Calibri"/>
      <family val="2"/>
      <charset val="204"/>
      <scheme val="minor"/>
    </font>
    <font>
      <sz val="8"/>
      <color rgb="FF363636"/>
      <name val="Segoe UI"/>
      <family val="2"/>
      <charset val="204"/>
    </font>
    <font>
      <b/>
      <sz val="57.6"/>
      <color rgb="FF393939"/>
      <name val="Segoe UI"/>
      <family val="2"/>
      <charset val="204"/>
    </font>
    <font>
      <sz val="57.6"/>
      <color rgb="FF1E1E1E"/>
      <name val="Segoe UI"/>
      <family val="2"/>
      <charset val="204"/>
    </font>
    <font>
      <sz val="36"/>
      <color rgb="FF333333"/>
      <name val="Segoe UI"/>
      <family val="2"/>
      <charset val="204"/>
    </font>
    <font>
      <b/>
      <sz val="48"/>
      <color rgb="FF393939"/>
      <name val="Segoe UI"/>
      <family val="2"/>
      <charset val="204"/>
    </font>
    <font>
      <sz val="48"/>
      <color theme="1"/>
      <name val="Calibri"/>
      <family val="2"/>
      <charset val="204"/>
      <scheme val="minor"/>
    </font>
    <font>
      <sz val="48"/>
      <color rgb="FF1E1E1E"/>
      <name val="Calibri"/>
      <family val="2"/>
      <charset val="204"/>
      <scheme val="minor"/>
    </font>
    <font>
      <b/>
      <sz val="36"/>
      <color rgb="FF393939"/>
      <name val="Segoe UI"/>
      <family val="2"/>
      <charset val="204"/>
    </font>
    <font>
      <sz val="36"/>
      <color rgb="FF1E1E1E"/>
      <name val="Segoe UI"/>
      <family val="2"/>
      <charset val="204"/>
    </font>
    <font>
      <sz val="18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indexed="62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1" applyNumberFormat="1" applyFont="1"/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5" fontId="0" fillId="0" borderId="4" xfId="0" applyNumberFormat="1" applyBorder="1"/>
    <xf numFmtId="165" fontId="2" fillId="0" borderId="7" xfId="0" applyNumberFormat="1" applyFont="1" applyBorder="1"/>
    <xf numFmtId="165" fontId="0" fillId="0" borderId="6" xfId="0" applyNumberFormat="1" applyBorder="1"/>
    <xf numFmtId="165" fontId="0" fillId="0" borderId="3" xfId="0" applyNumberFormat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3" fillId="7" borderId="11" xfId="0" applyFont="1" applyFill="1" applyBorder="1" applyAlignment="1">
      <alignment vertical="top" wrapText="1"/>
    </xf>
    <xf numFmtId="0" fontId="0" fillId="5" borderId="12" xfId="0" applyFill="1" applyBorder="1"/>
    <xf numFmtId="0" fontId="3" fillId="8" borderId="11" xfId="0" applyFont="1" applyFill="1" applyBorder="1" applyAlignment="1">
      <alignment vertical="top" wrapText="1"/>
    </xf>
    <xf numFmtId="0" fontId="0" fillId="8" borderId="12" xfId="0" applyFill="1" applyBorder="1"/>
    <xf numFmtId="0" fontId="5" fillId="7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0" fontId="5" fillId="7" borderId="19" xfId="0" applyFont="1" applyFill="1" applyBorder="1" applyAlignment="1">
      <alignment vertical="center" wrapText="1"/>
    </xf>
    <xf numFmtId="0" fontId="5" fillId="7" borderId="20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8" fillId="0" borderId="22" xfId="0" applyFont="1" applyBorder="1"/>
    <xf numFmtId="0" fontId="9" fillId="7" borderId="23" xfId="0" applyFont="1" applyFill="1" applyBorder="1" applyAlignment="1">
      <alignment vertical="center" wrapText="1"/>
    </xf>
    <xf numFmtId="0" fontId="9" fillId="7" borderId="19" xfId="0" applyFont="1" applyFill="1" applyBorder="1" applyAlignment="1">
      <alignment vertical="center" wrapText="1"/>
    </xf>
    <xf numFmtId="0" fontId="8" fillId="0" borderId="24" xfId="0" applyFont="1" applyBorder="1"/>
    <xf numFmtId="10" fontId="0" fillId="0" borderId="0" xfId="0" applyNumberFormat="1"/>
    <xf numFmtId="0" fontId="0" fillId="2" borderId="0" xfId="0" applyFill="1"/>
    <xf numFmtId="0" fontId="10" fillId="6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11" fillId="7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11" fillId="7" borderId="30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0" fillId="2" borderId="32" xfId="0" applyFill="1" applyBorder="1"/>
    <xf numFmtId="0" fontId="11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8" borderId="0" xfId="0" applyFill="1"/>
    <xf numFmtId="0" fontId="11" fillId="8" borderId="3" xfId="0" applyFont="1" applyFill="1" applyBorder="1" applyAlignment="1">
      <alignment horizontal="right" vertical="center" wrapText="1"/>
    </xf>
    <xf numFmtId="0" fontId="0" fillId="2" borderId="25" xfId="0" applyFill="1" applyBorder="1"/>
    <xf numFmtId="0" fontId="0" fillId="0" borderId="26" xfId="0" applyBorder="1"/>
    <xf numFmtId="0" fontId="0" fillId="0" borderId="27" xfId="0" applyBorder="1"/>
    <xf numFmtId="0" fontId="0" fillId="2" borderId="30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8" xfId="0" applyFill="1" applyBorder="1"/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164" fontId="0" fillId="0" borderId="3" xfId="1" applyNumberFormat="1" applyFont="1" applyBorder="1"/>
    <xf numFmtId="165" fontId="0" fillId="0" borderId="3" xfId="1" applyNumberFormat="1" applyFont="1" applyBorder="1"/>
    <xf numFmtId="9" fontId="0" fillId="0" borderId="3" xfId="1" applyNumberFormat="1" applyFont="1" applyBorder="1"/>
    <xf numFmtId="0" fontId="0" fillId="0" borderId="29" xfId="0" applyBorder="1" applyAlignment="1">
      <alignment wrapText="1"/>
    </xf>
    <xf numFmtId="49" fontId="0" fillId="0" borderId="29" xfId="0" applyNumberFormat="1" applyBorder="1" applyAlignment="1">
      <alignment wrapText="1"/>
    </xf>
    <xf numFmtId="164" fontId="0" fillId="0" borderId="29" xfId="1" applyNumberFormat="1" applyFont="1" applyBorder="1"/>
    <xf numFmtId="165" fontId="0" fillId="0" borderId="29" xfId="1" applyNumberFormat="1" applyFont="1" applyBorder="1"/>
    <xf numFmtId="9" fontId="0" fillId="0" borderId="29" xfId="1" applyNumberFormat="1" applyFont="1" applyBorder="1"/>
    <xf numFmtId="9" fontId="0" fillId="0" borderId="31" xfId="1" applyNumberFormat="1" applyFont="1" applyBorder="1"/>
    <xf numFmtId="9" fontId="0" fillId="0" borderId="32" xfId="1" applyNumberFormat="1" applyFont="1" applyBorder="1"/>
    <xf numFmtId="0" fontId="0" fillId="0" borderId="33" xfId="0" applyBorder="1"/>
    <xf numFmtId="0" fontId="0" fillId="0" borderId="6" xfId="0" applyBorder="1" applyAlignment="1">
      <alignment wrapText="1"/>
    </xf>
    <xf numFmtId="49" fontId="0" fillId="0" borderId="6" xfId="0" applyNumberFormat="1" applyBorder="1" applyAlignment="1">
      <alignment wrapText="1"/>
    </xf>
    <xf numFmtId="164" fontId="0" fillId="0" borderId="6" xfId="1" applyNumberFormat="1" applyFont="1" applyBorder="1"/>
    <xf numFmtId="165" fontId="0" fillId="0" borderId="6" xfId="1" applyNumberFormat="1" applyFont="1" applyBorder="1"/>
    <xf numFmtId="9" fontId="0" fillId="0" borderId="6" xfId="1" applyNumberFormat="1" applyFont="1" applyBorder="1"/>
    <xf numFmtId="9" fontId="0" fillId="0" borderId="34" xfId="1" applyNumberFormat="1" applyFont="1" applyBorder="1"/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44" fontId="0" fillId="0" borderId="40" xfId="0" applyNumberFormat="1" applyBorder="1"/>
    <xf numFmtId="0" fontId="0" fillId="2" borderId="9" xfId="0" applyFill="1" applyBorder="1"/>
    <xf numFmtId="165" fontId="0" fillId="0" borderId="0" xfId="0" applyNumberFormat="1"/>
    <xf numFmtId="44" fontId="0" fillId="0" borderId="0" xfId="0" applyNumberFormat="1"/>
    <xf numFmtId="0" fontId="0" fillId="0" borderId="0" xfId="0" quotePrefix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4" fillId="0" borderId="0" xfId="0" applyFont="1" applyAlignment="1">
      <alignment horizontal="center"/>
    </xf>
    <xf numFmtId="3" fontId="0" fillId="0" borderId="0" xfId="0" applyNumberFormat="1"/>
    <xf numFmtId="0" fontId="0" fillId="9" borderId="0" xfId="0" applyFill="1"/>
    <xf numFmtId="166" fontId="0" fillId="8" borderId="0" xfId="0" applyNumberFormat="1" applyFill="1"/>
    <xf numFmtId="167" fontId="0" fillId="8" borderId="0" xfId="0" applyNumberFormat="1" applyFill="1"/>
    <xf numFmtId="168" fontId="0" fillId="8" borderId="0" xfId="0" applyNumberFormat="1" applyFill="1"/>
    <xf numFmtId="0" fontId="0" fillId="2" borderId="1" xfId="0" applyFill="1" applyBorder="1" applyAlignment="1">
      <alignment horizontal="center"/>
    </xf>
    <xf numFmtId="0" fontId="0" fillId="0" borderId="42" xfId="0" applyBorder="1"/>
    <xf numFmtId="0" fontId="0" fillId="2" borderId="0" xfId="0" applyFill="1" applyBorder="1" applyAlignment="1">
      <alignment horizontal="center"/>
    </xf>
    <xf numFmtId="0" fontId="13" fillId="0" borderId="44" xfId="0" applyFont="1" applyBorder="1"/>
    <xf numFmtId="0" fontId="0" fillId="0" borderId="0" xfId="0" applyAlignment="1">
      <alignment horizontal="right"/>
    </xf>
    <xf numFmtId="0" fontId="0" fillId="4" borderId="3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9" borderId="9" xfId="0" applyFill="1" applyBorder="1"/>
    <xf numFmtId="0" fontId="0" fillId="10" borderId="45" xfId="0" applyFill="1" applyBorder="1"/>
    <xf numFmtId="0" fontId="0" fillId="0" borderId="45" xfId="0" applyBorder="1"/>
    <xf numFmtId="0" fontId="0" fillId="11" borderId="45" xfId="0" applyFill="1" applyBorder="1"/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44" fontId="0" fillId="0" borderId="0" xfId="2" applyFont="1"/>
    <xf numFmtId="0" fontId="0" fillId="2" borderId="43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166" fontId="0" fillId="0" borderId="3" xfId="0" applyNumberFormat="1" applyBorder="1"/>
    <xf numFmtId="167" fontId="0" fillId="0" borderId="3" xfId="0" applyNumberFormat="1" applyBorder="1"/>
    <xf numFmtId="0" fontId="0" fillId="2" borderId="3" xfId="0" applyFill="1" applyBorder="1" applyAlignment="1">
      <alignment horizontal="left"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B76B-D2F5-4F55-82CE-3EE73BB52F18}">
  <dimension ref="B1:O12"/>
  <sheetViews>
    <sheetView zoomScale="40" zoomScaleNormal="40" workbookViewId="0">
      <selection activeCell="N14" sqref="N14"/>
    </sheetView>
  </sheetViews>
  <sheetFormatPr defaultRowHeight="46.5" x14ac:dyDescent="0.7"/>
  <cols>
    <col min="1" max="1" width="1.0390625" customWidth="1"/>
    <col min="2" max="2" width="4.33203125" customWidth="1"/>
    <col min="3" max="3" width="15.75" customWidth="1"/>
    <col min="4" max="4" width="15.95703125" customWidth="1"/>
    <col min="5" max="5" width="7.7890625" customWidth="1"/>
    <col min="7" max="7" width="6.875" customWidth="1"/>
    <col min="9" max="9" width="7" customWidth="1"/>
    <col min="10" max="10" width="1.58203125" customWidth="1"/>
    <col min="11" max="11" width="1.625" customWidth="1"/>
    <col min="12" max="12" width="11.08203125" customWidth="1"/>
    <col min="13" max="13" width="14.5390625" customWidth="1"/>
    <col min="14" max="14" width="10.20703125" customWidth="1"/>
    <col min="15" max="15" width="11.875" customWidth="1"/>
  </cols>
  <sheetData>
    <row r="1" spans="2:15" ht="52.5" customHeight="1" x14ac:dyDescent="0.7"/>
    <row r="2" spans="2:15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L2" s="11" t="s">
        <v>25</v>
      </c>
      <c r="M2" s="12" t="s">
        <v>1</v>
      </c>
      <c r="N2" s="11" t="s">
        <v>26</v>
      </c>
      <c r="O2" s="12" t="s">
        <v>27</v>
      </c>
    </row>
    <row r="3" spans="2:15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L3" s="13">
        <v>665</v>
      </c>
      <c r="M3" s="14" t="str">
        <f>VLOOKUP(L3,B3:C12,2,FALSE)</f>
        <v>Ковалев Эдуард</v>
      </c>
      <c r="N3" s="13">
        <v>456</v>
      </c>
      <c r="O3" s="25">
        <f>M7-O11</f>
        <v>15829.824000000001</v>
      </c>
    </row>
    <row r="4" spans="2:15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  <c r="L4" s="16" t="s">
        <v>2</v>
      </c>
    </row>
    <row r="5" spans="2:15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L5" s="116" t="str">
        <f>VLOOKUP(L3,B3:D12,3,FALSE)</f>
        <v>Цех 14, участок 1</v>
      </c>
      <c r="M5" s="117"/>
    </row>
    <row r="6" spans="2:15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M6" s="15" t="s">
        <v>28</v>
      </c>
      <c r="N6" s="15" t="s">
        <v>29</v>
      </c>
      <c r="O6" s="15" t="s">
        <v>30</v>
      </c>
    </row>
    <row r="7" spans="2:15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M7" s="22">
        <f>M8*M9</f>
        <v>18480</v>
      </c>
      <c r="N7" s="18" t="s">
        <v>31</v>
      </c>
      <c r="O7" s="22">
        <f>VLOOKUP(L3, B3:G12,6,FALSE)*(M7-O8-O9)</f>
        <v>2365.3760000000002</v>
      </c>
    </row>
    <row r="8" spans="2:15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L8" t="s">
        <v>34</v>
      </c>
      <c r="M8" s="18">
        <f>VLOOKUP(L3,B3:E12,4,FALSE)</f>
        <v>168</v>
      </c>
      <c r="N8" s="19" t="s">
        <v>5</v>
      </c>
      <c r="O8" s="23">
        <f>VLOOKUP(L3,B3:H12,7,FALSE)</f>
        <v>100</v>
      </c>
    </row>
    <row r="9" spans="2:15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  <c r="L9" t="s">
        <v>35</v>
      </c>
      <c r="M9" s="21">
        <f>VLOOKUP(L3,B3:F12,5,FALSE)</f>
        <v>110</v>
      </c>
      <c r="N9" s="19" t="s">
        <v>32</v>
      </c>
      <c r="O9" s="21">
        <f>VLOOKUP(L3,B3:I12,8,FALSE) * M7</f>
        <v>184.8</v>
      </c>
    </row>
    <row r="10" spans="2:15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M10" s="20"/>
      <c r="N10" s="20"/>
      <c r="O10" s="20"/>
    </row>
    <row r="11" spans="2:15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M11" s="17"/>
      <c r="N11" s="14" t="s">
        <v>33</v>
      </c>
      <c r="O11" s="24">
        <f>SUM(O7:O9)</f>
        <v>2650.1760000000004</v>
      </c>
    </row>
    <row r="12" spans="2:15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</row>
  </sheetData>
  <mergeCells count="1">
    <mergeCell ref="L5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59D7-7535-4BEB-995C-1373410AD863}">
  <dimension ref="B2:G24"/>
  <sheetViews>
    <sheetView zoomScale="40" zoomScaleNormal="40" workbookViewId="0">
      <selection activeCell="B2" sqref="B2:G24"/>
    </sheetView>
  </sheetViews>
  <sheetFormatPr defaultRowHeight="46.5" x14ac:dyDescent="0.7"/>
  <cols>
    <col min="1" max="1" width="3.45703125" customWidth="1"/>
    <col min="2" max="2" width="23.9140625" customWidth="1"/>
    <col min="3" max="3" width="18.08203125" customWidth="1"/>
    <col min="4" max="4" width="19.58203125" customWidth="1"/>
    <col min="6" max="6" width="17.875" customWidth="1"/>
    <col min="7" max="7" width="17.08203125" customWidth="1"/>
  </cols>
  <sheetData>
    <row r="2" spans="2:7" ht="47.25" thickBot="1" x14ac:dyDescent="0.75">
      <c r="B2" s="111" t="s">
        <v>137</v>
      </c>
      <c r="C2" s="111" t="s">
        <v>138</v>
      </c>
      <c r="D2" s="111" t="s">
        <v>139</v>
      </c>
      <c r="F2" s="111" t="s">
        <v>184</v>
      </c>
      <c r="G2" s="111" t="s">
        <v>139</v>
      </c>
    </row>
    <row r="3" spans="2:7" x14ac:dyDescent="0.7">
      <c r="B3" t="s">
        <v>140</v>
      </c>
      <c r="C3" t="s">
        <v>162</v>
      </c>
      <c r="D3" s="113" t="e">
        <f t="shared" ref="D3:D24" si="0">VLOOKUP(C3,F$3:G$23, 2,FALSE)</f>
        <v>#N/A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3">
        <f t="shared" si="0"/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3" t="e">
        <f t="shared" si="0"/>
        <v>#N/A</v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3" t="e">
        <f t="shared" si="0"/>
        <v>#N/A</v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3" t="e">
        <f t="shared" si="0"/>
        <v>#N/A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3" t="e">
        <f t="shared" si="0"/>
        <v>#N/A</v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3">
        <f t="shared" si="0"/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3">
        <f t="shared" si="0"/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3" t="e">
        <f t="shared" si="0"/>
        <v>#N/A</v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3">
        <f t="shared" si="0"/>
        <v>33247178</v>
      </c>
      <c r="F12" t="s">
        <v>173</v>
      </c>
      <c r="G12" s="112">
        <v>45789521</v>
      </c>
    </row>
    <row r="13" spans="2:7" x14ac:dyDescent="0.7">
      <c r="B13" t="s">
        <v>150</v>
      </c>
      <c r="C13" t="s">
        <v>172</v>
      </c>
      <c r="D13" s="113" t="e">
        <f t="shared" si="0"/>
        <v>#N/A</v>
      </c>
    </row>
    <row r="14" spans="2:7" x14ac:dyDescent="0.7">
      <c r="B14" t="s">
        <v>151</v>
      </c>
      <c r="C14" t="s">
        <v>173</v>
      </c>
      <c r="D14" s="113">
        <f t="shared" si="0"/>
        <v>45789521</v>
      </c>
    </row>
    <row r="15" spans="2:7" x14ac:dyDescent="0.7">
      <c r="B15" t="s">
        <v>152</v>
      </c>
      <c r="C15" t="s">
        <v>174</v>
      </c>
      <c r="D15" s="113">
        <f t="shared" si="0"/>
        <v>45302040</v>
      </c>
    </row>
    <row r="16" spans="2:7" x14ac:dyDescent="0.7">
      <c r="B16" t="s">
        <v>153</v>
      </c>
      <c r="C16" t="s">
        <v>175</v>
      </c>
      <c r="D16" s="113">
        <f t="shared" si="0"/>
        <v>51744999</v>
      </c>
    </row>
    <row r="17" spans="2:4" x14ac:dyDescent="0.7">
      <c r="B17" t="s">
        <v>154</v>
      </c>
      <c r="C17" t="s">
        <v>176</v>
      </c>
      <c r="D17" s="113">
        <f t="shared" si="0"/>
        <v>35212678</v>
      </c>
    </row>
    <row r="18" spans="2:4" x14ac:dyDescent="0.7">
      <c r="B18" t="s">
        <v>155</v>
      </c>
      <c r="C18" t="s">
        <v>177</v>
      </c>
      <c r="D18" s="113" t="e">
        <f t="shared" si="0"/>
        <v>#N/A</v>
      </c>
    </row>
    <row r="19" spans="2:4" x14ac:dyDescent="0.7">
      <c r="B19" t="s">
        <v>156</v>
      </c>
      <c r="C19" t="s">
        <v>178</v>
      </c>
      <c r="D19" s="113" t="e">
        <f t="shared" si="0"/>
        <v>#N/A</v>
      </c>
    </row>
    <row r="20" spans="2:4" x14ac:dyDescent="0.7">
      <c r="B20" t="s">
        <v>157</v>
      </c>
      <c r="C20" t="s">
        <v>179</v>
      </c>
      <c r="D20" s="113" t="e">
        <f t="shared" si="0"/>
        <v>#N/A</v>
      </c>
    </row>
    <row r="21" spans="2:4" x14ac:dyDescent="0.7">
      <c r="B21" t="s">
        <v>158</v>
      </c>
      <c r="C21" t="s">
        <v>180</v>
      </c>
      <c r="D21" s="113">
        <f t="shared" si="0"/>
        <v>36325782</v>
      </c>
    </row>
    <row r="22" spans="2:4" x14ac:dyDescent="0.7">
      <c r="B22" t="s">
        <v>159</v>
      </c>
      <c r="C22" t="s">
        <v>181</v>
      </c>
      <c r="D22" s="113" t="e">
        <f t="shared" si="0"/>
        <v>#N/A</v>
      </c>
    </row>
    <row r="23" spans="2:4" x14ac:dyDescent="0.7">
      <c r="B23" t="s">
        <v>160</v>
      </c>
      <c r="C23" t="s">
        <v>182</v>
      </c>
      <c r="D23" s="113" t="e">
        <f t="shared" si="0"/>
        <v>#N/A</v>
      </c>
    </row>
    <row r="24" spans="2:4" x14ac:dyDescent="0.7">
      <c r="B24" t="s">
        <v>161</v>
      </c>
      <c r="C24" t="s">
        <v>183</v>
      </c>
      <c r="D24" s="113">
        <f t="shared" si="0"/>
        <v>36615404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CF6-8E80-4D5A-9A89-1487001DA717}">
  <dimension ref="B2:G28"/>
  <sheetViews>
    <sheetView zoomScale="40" zoomScaleNormal="40" workbookViewId="0">
      <selection activeCell="F5" sqref="F5"/>
    </sheetView>
  </sheetViews>
  <sheetFormatPr defaultRowHeight="46.5" x14ac:dyDescent="0.7"/>
  <cols>
    <col min="2" max="2" width="22.95703125" bestFit="1" customWidth="1"/>
    <col min="3" max="3" width="18.58203125" bestFit="1" customWidth="1"/>
    <col min="4" max="4" width="15.45703125" bestFit="1" customWidth="1"/>
    <col min="6" max="6" width="18.58203125" bestFit="1" customWidth="1"/>
    <col min="7" max="7" width="16.2890625" customWidth="1"/>
  </cols>
  <sheetData>
    <row r="2" spans="2:7" ht="47.25" thickBot="1" x14ac:dyDescent="0.75">
      <c r="B2" s="111" t="s">
        <v>137</v>
      </c>
      <c r="C2" s="111" t="s">
        <v>138</v>
      </c>
      <c r="D2" s="111" t="s">
        <v>139</v>
      </c>
      <c r="F2" s="111" t="s">
        <v>184</v>
      </c>
      <c r="G2" s="111" t="s">
        <v>139</v>
      </c>
    </row>
    <row r="3" spans="2:7" x14ac:dyDescent="0.7">
      <c r="B3" t="s">
        <v>140</v>
      </c>
      <c r="C3" t="s">
        <v>162</v>
      </c>
      <c r="D3" s="112">
        <f>IFERROR(VLOOKUP(C3,F$3:G$23, 2,FALSE),"")</f>
        <v>25415465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2">
        <f t="shared" ref="D4:D24" si="0">IFERROR(VLOOKUP(C4,F$3:G$23, 2,FALSE),"")</f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2" t="str">
        <f t="shared" si="0"/>
        <v/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2" t="str">
        <f t="shared" si="0"/>
        <v/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2">
        <f t="shared" si="0"/>
        <v>46251256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2" t="str">
        <f t="shared" si="0"/>
        <v/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2">
        <f t="shared" si="0"/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2">
        <f t="shared" si="0"/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2" t="str">
        <f t="shared" si="0"/>
        <v/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2">
        <f t="shared" si="0"/>
        <v>33247178</v>
      </c>
      <c r="F12" t="s">
        <v>173</v>
      </c>
      <c r="G12" s="112">
        <v>45789521</v>
      </c>
    </row>
    <row r="13" spans="2:7" x14ac:dyDescent="0.7">
      <c r="B13" t="s">
        <v>150</v>
      </c>
      <c r="C13" t="s">
        <v>172</v>
      </c>
      <c r="D13" s="112" t="str">
        <f t="shared" si="0"/>
        <v/>
      </c>
      <c r="F13" t="s">
        <v>162</v>
      </c>
      <c r="G13" s="112">
        <v>25415465</v>
      </c>
    </row>
    <row r="14" spans="2:7" x14ac:dyDescent="0.7">
      <c r="B14" t="s">
        <v>151</v>
      </c>
      <c r="C14" t="s">
        <v>173</v>
      </c>
      <c r="D14" s="112">
        <f t="shared" si="0"/>
        <v>45789521</v>
      </c>
      <c r="F14" t="s">
        <v>166</v>
      </c>
      <c r="G14" s="112">
        <v>46251256</v>
      </c>
    </row>
    <row r="15" spans="2:7" x14ac:dyDescent="0.7">
      <c r="B15" t="s">
        <v>152</v>
      </c>
      <c r="C15" t="s">
        <v>174</v>
      </c>
      <c r="D15" s="112">
        <f t="shared" si="0"/>
        <v>45302040</v>
      </c>
    </row>
    <row r="16" spans="2:7" x14ac:dyDescent="0.7">
      <c r="B16" t="s">
        <v>153</v>
      </c>
      <c r="C16" t="s">
        <v>175</v>
      </c>
      <c r="D16" s="112">
        <f t="shared" si="0"/>
        <v>51744999</v>
      </c>
    </row>
    <row r="17" spans="2:4" x14ac:dyDescent="0.7">
      <c r="B17" t="s">
        <v>154</v>
      </c>
      <c r="C17" t="s">
        <v>176</v>
      </c>
      <c r="D17" s="112">
        <f t="shared" si="0"/>
        <v>35212678</v>
      </c>
    </row>
    <row r="18" spans="2:4" x14ac:dyDescent="0.7">
      <c r="B18" t="s">
        <v>155</v>
      </c>
      <c r="C18" t="s">
        <v>177</v>
      </c>
      <c r="D18" s="112" t="str">
        <f t="shared" si="0"/>
        <v/>
      </c>
    </row>
    <row r="19" spans="2:4" x14ac:dyDescent="0.7">
      <c r="B19" t="s">
        <v>156</v>
      </c>
      <c r="C19" t="s">
        <v>178</v>
      </c>
      <c r="D19" s="112" t="str">
        <f t="shared" si="0"/>
        <v/>
      </c>
    </row>
    <row r="20" spans="2:4" x14ac:dyDescent="0.7">
      <c r="B20" t="s">
        <v>157</v>
      </c>
      <c r="C20" t="s">
        <v>179</v>
      </c>
      <c r="D20" s="112" t="str">
        <f t="shared" si="0"/>
        <v/>
      </c>
    </row>
    <row r="21" spans="2:4" x14ac:dyDescent="0.7">
      <c r="B21" t="s">
        <v>158</v>
      </c>
      <c r="C21" t="s">
        <v>180</v>
      </c>
      <c r="D21" s="112">
        <f t="shared" si="0"/>
        <v>36325782</v>
      </c>
    </row>
    <row r="22" spans="2:4" x14ac:dyDescent="0.7">
      <c r="B22" t="s">
        <v>159</v>
      </c>
      <c r="C22" t="s">
        <v>181</v>
      </c>
      <c r="D22" s="112" t="str">
        <f t="shared" si="0"/>
        <v/>
      </c>
    </row>
    <row r="23" spans="2:4" x14ac:dyDescent="0.7">
      <c r="B23" t="s">
        <v>160</v>
      </c>
      <c r="C23" t="s">
        <v>182</v>
      </c>
      <c r="D23" s="112" t="str">
        <f t="shared" si="0"/>
        <v/>
      </c>
    </row>
    <row r="24" spans="2:4" x14ac:dyDescent="0.7">
      <c r="B24" t="s">
        <v>161</v>
      </c>
      <c r="C24" t="s">
        <v>183</v>
      </c>
      <c r="D24" s="112">
        <f t="shared" si="0"/>
        <v>36615404</v>
      </c>
    </row>
    <row r="28" spans="2:4" x14ac:dyDescent="0.7">
      <c r="B28" t="str">
        <f>IFERROR(5/0,"Деление на 0")</f>
        <v>Деление на 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95A9-15BC-47EE-B71A-3B5281A1E83B}">
  <dimension ref="B2:E14"/>
  <sheetViews>
    <sheetView zoomScale="40" zoomScaleNormal="40" workbookViewId="0">
      <selection activeCell="E9" sqref="E9"/>
    </sheetView>
  </sheetViews>
  <sheetFormatPr defaultRowHeight="46.5" x14ac:dyDescent="0.7"/>
  <cols>
    <col min="2" max="2" width="15.4140625" customWidth="1"/>
    <col min="3" max="3" width="10.45703125" customWidth="1"/>
    <col min="4" max="4" width="11.95703125" customWidth="1"/>
    <col min="5" max="5" width="12.5" customWidth="1"/>
  </cols>
  <sheetData>
    <row r="2" spans="2:5" x14ac:dyDescent="0.7">
      <c r="B2" s="56" t="s">
        <v>36</v>
      </c>
      <c r="C2" s="56" t="s">
        <v>119</v>
      </c>
      <c r="D2" s="56" t="s">
        <v>126</v>
      </c>
      <c r="E2" s="56" t="s">
        <v>127</v>
      </c>
    </row>
    <row r="3" spans="2:5" x14ac:dyDescent="0.7">
      <c r="B3" s="13" t="s">
        <v>121</v>
      </c>
      <c r="C3" s="13">
        <v>13</v>
      </c>
      <c r="D3" s="13" t="s">
        <v>129</v>
      </c>
      <c r="E3" s="13" t="s">
        <v>135</v>
      </c>
    </row>
    <row r="4" spans="2:5" x14ac:dyDescent="0.7">
      <c r="B4" s="13" t="s">
        <v>122</v>
      </c>
      <c r="C4" s="13">
        <v>33</v>
      </c>
      <c r="D4" s="13" t="s">
        <v>130</v>
      </c>
      <c r="E4" s="13" t="s">
        <v>136</v>
      </c>
    </row>
    <row r="5" spans="2:5" x14ac:dyDescent="0.7">
      <c r="B5" s="13" t="s">
        <v>120</v>
      </c>
      <c r="C5" s="13">
        <v>23</v>
      </c>
      <c r="D5" s="13" t="s">
        <v>128</v>
      </c>
      <c r="E5" s="13" t="s">
        <v>134</v>
      </c>
    </row>
    <row r="6" spans="2:5" x14ac:dyDescent="0.7">
      <c r="B6" s="13" t="s">
        <v>123</v>
      </c>
      <c r="C6" s="13">
        <v>21</v>
      </c>
      <c r="D6" s="13" t="s">
        <v>131</v>
      </c>
      <c r="E6" s="13" t="s">
        <v>135</v>
      </c>
    </row>
    <row r="7" spans="2:5" x14ac:dyDescent="0.7">
      <c r="B7" s="13" t="s">
        <v>124</v>
      </c>
      <c r="C7" s="13">
        <v>15</v>
      </c>
      <c r="D7" s="13" t="s">
        <v>132</v>
      </c>
      <c r="E7" s="13" t="s">
        <v>134</v>
      </c>
    </row>
    <row r="8" spans="2:5" x14ac:dyDescent="0.7">
      <c r="B8" s="13" t="s">
        <v>125</v>
      </c>
      <c r="C8" s="13">
        <v>32</v>
      </c>
      <c r="D8" s="13" t="s">
        <v>133</v>
      </c>
      <c r="E8" s="13" t="s">
        <v>136</v>
      </c>
    </row>
    <row r="10" spans="2:5" ht="47.25" thickBot="1" x14ac:dyDescent="0.75"/>
    <row r="11" spans="2:5" x14ac:dyDescent="0.7">
      <c r="B11" s="69" t="s">
        <v>36</v>
      </c>
      <c r="C11" s="77" t="s">
        <v>121</v>
      </c>
      <c r="E11" s="114" t="s">
        <v>185</v>
      </c>
    </row>
    <row r="12" spans="2:5" x14ac:dyDescent="0.7">
      <c r="B12" s="79" t="s">
        <v>119</v>
      </c>
      <c r="C12" s="115">
        <f>LOOKUP("Воронеж",B3:B8,C3:C8)</f>
        <v>13</v>
      </c>
    </row>
    <row r="13" spans="2:5" x14ac:dyDescent="0.7">
      <c r="B13" s="79" t="s">
        <v>126</v>
      </c>
      <c r="C13" s="81" t="str">
        <f>LOOKUP(C11, B3:B8, D3:D8)</f>
        <v>7 м/с</v>
      </c>
    </row>
    <row r="14" spans="2:5" ht="47.25" thickBot="1" x14ac:dyDescent="0.75">
      <c r="B14" s="72" t="s">
        <v>127</v>
      </c>
      <c r="C14" s="78" t="str">
        <f>LOOKUP(C11, B3:B8, E3:E8)</f>
        <v>Ясно</v>
      </c>
    </row>
  </sheetData>
  <autoFilter ref="B2:E2" xr:uid="{D8F695A9-15BC-47EE-B71A-3B5281A1E83B}">
    <sortState xmlns:xlrd2="http://schemas.microsoft.com/office/spreadsheetml/2017/richdata2" ref="B3:E8">
      <sortCondition ref="B2"/>
    </sortState>
  </autoFilter>
  <sortState xmlns:xlrd2="http://schemas.microsoft.com/office/spreadsheetml/2017/richdata2" ref="B3:E9">
    <sortCondition ref="B2:B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5D54-A02F-42E8-A3D5-254C59617C5B}">
  <dimension ref="B1:J16"/>
  <sheetViews>
    <sheetView zoomScale="40" zoomScaleNormal="40" workbookViewId="0">
      <selection activeCell="G12" sqref="G12"/>
    </sheetView>
  </sheetViews>
  <sheetFormatPr defaultRowHeight="46.5" x14ac:dyDescent="0.7"/>
  <cols>
    <col min="2" max="2" width="15.0390625" customWidth="1"/>
    <col min="3" max="3" width="13.45703125" customWidth="1"/>
    <col min="4" max="4" width="15.75" customWidth="1"/>
    <col min="6" max="6" width="17.5" customWidth="1"/>
    <col min="7" max="7" width="11.375" customWidth="1"/>
    <col min="8" max="8" width="16.875" customWidth="1"/>
  </cols>
  <sheetData>
    <row r="1" spans="2:10" ht="37.5" customHeight="1" x14ac:dyDescent="0.7">
      <c r="F1" s="124" t="s">
        <v>194</v>
      </c>
      <c r="G1" s="124"/>
      <c r="H1" s="124"/>
      <c r="I1" s="124"/>
      <c r="J1" s="124"/>
    </row>
    <row r="2" spans="2:10" x14ac:dyDescent="0.7">
      <c r="B2" s="118" t="s">
        <v>186</v>
      </c>
      <c r="C2" s="118" t="s">
        <v>187</v>
      </c>
      <c r="D2" s="118" t="s">
        <v>188</v>
      </c>
      <c r="E2" s="118" t="s">
        <v>35</v>
      </c>
    </row>
    <row r="3" spans="2:10" ht="39" customHeight="1" x14ac:dyDescent="0.7">
      <c r="B3" s="119">
        <v>0</v>
      </c>
      <c r="C3" s="119">
        <v>325</v>
      </c>
      <c r="D3" s="119">
        <v>0</v>
      </c>
      <c r="E3" s="121">
        <v>0</v>
      </c>
    </row>
    <row r="4" spans="2:10" x14ac:dyDescent="0.7">
      <c r="B4" s="119">
        <v>325</v>
      </c>
      <c r="C4" s="119">
        <v>1023</v>
      </c>
      <c r="D4" s="119">
        <v>0</v>
      </c>
      <c r="E4" s="121">
        <v>0.1</v>
      </c>
    </row>
    <row r="5" spans="2:10" s="67" customFormat="1" x14ac:dyDescent="0.7">
      <c r="B5" s="127">
        <v>1023</v>
      </c>
      <c r="C5" s="127">
        <v>3163</v>
      </c>
      <c r="D5" s="128">
        <v>69.8</v>
      </c>
      <c r="E5" s="129">
        <v>0.15</v>
      </c>
    </row>
    <row r="6" spans="2:10" x14ac:dyDescent="0.7">
      <c r="B6" s="119">
        <v>3163</v>
      </c>
      <c r="C6" s="119">
        <v>6050</v>
      </c>
      <c r="D6" s="120">
        <v>390.8</v>
      </c>
      <c r="E6" s="121">
        <v>0.25</v>
      </c>
    </row>
    <row r="7" spans="2:10" x14ac:dyDescent="0.7">
      <c r="B7" s="119">
        <v>6050</v>
      </c>
      <c r="C7" s="119">
        <v>9050</v>
      </c>
      <c r="D7" s="120">
        <v>1112.56</v>
      </c>
      <c r="E7" s="121">
        <v>0.28000000000000003</v>
      </c>
    </row>
    <row r="8" spans="2:10" s="67" customFormat="1" x14ac:dyDescent="0.7">
      <c r="B8" s="127">
        <v>9050</v>
      </c>
      <c r="C8" s="127">
        <v>15906</v>
      </c>
      <c r="D8" s="128">
        <v>3195.56</v>
      </c>
      <c r="E8" s="129">
        <v>0.33</v>
      </c>
    </row>
    <row r="9" spans="2:10" x14ac:dyDescent="0.7">
      <c r="B9" s="119">
        <v>15906</v>
      </c>
      <c r="C9" s="119">
        <v>17925</v>
      </c>
      <c r="D9" s="120">
        <v>4215.03</v>
      </c>
      <c r="E9" s="121">
        <v>0.35</v>
      </c>
    </row>
    <row r="10" spans="2:10" x14ac:dyDescent="0.7">
      <c r="B10" s="119">
        <v>17925</v>
      </c>
      <c r="C10" s="119"/>
      <c r="D10" s="120">
        <v>4921.68</v>
      </c>
      <c r="E10" s="121">
        <v>0.39600000000000002</v>
      </c>
    </row>
    <row r="11" spans="2:10" ht="22.5" customHeight="1" x14ac:dyDescent="0.7"/>
    <row r="12" spans="2:10" x14ac:dyDescent="0.7">
      <c r="B12" s="123" t="s">
        <v>189</v>
      </c>
      <c r="C12" s="123"/>
      <c r="D12" s="112">
        <v>3000</v>
      </c>
      <c r="F12" t="s">
        <v>188</v>
      </c>
      <c r="G12">
        <f>VLOOKUP(D15, B3:E10, 3,TRUE)</f>
        <v>69.8</v>
      </c>
    </row>
    <row r="13" spans="2:10" x14ac:dyDescent="0.7">
      <c r="B13" s="123" t="s">
        <v>190</v>
      </c>
      <c r="C13" s="123"/>
      <c r="D13" s="125">
        <v>3</v>
      </c>
      <c r="F13" t="s">
        <v>195</v>
      </c>
      <c r="G13" s="112">
        <f>(D15-VLOOKUP(D15, B3:E10, 1,TRUE))*G14</f>
        <v>229.04999999999998</v>
      </c>
      <c r="H13" t="s">
        <v>196</v>
      </c>
    </row>
    <row r="14" spans="2:10" x14ac:dyDescent="0.7">
      <c r="B14" s="123" t="s">
        <v>191</v>
      </c>
      <c r="C14" s="123"/>
      <c r="D14" s="112">
        <f>150*D13</f>
        <v>450</v>
      </c>
      <c r="F14" t="s">
        <v>197</v>
      </c>
      <c r="G14" s="49">
        <f>VLOOKUP(D15,B3:E10, 4, TRUE)</f>
        <v>0.15</v>
      </c>
    </row>
    <row r="15" spans="2:10" x14ac:dyDescent="0.7">
      <c r="B15" s="123" t="s">
        <v>192</v>
      </c>
      <c r="C15" s="123"/>
      <c r="D15" s="112">
        <f>D12-D14</f>
        <v>2550</v>
      </c>
    </row>
    <row r="16" spans="2:10" x14ac:dyDescent="0.7">
      <c r="B16" s="123" t="s">
        <v>193</v>
      </c>
      <c r="C16" s="123"/>
      <c r="D16" s="112">
        <f>VLOOKUP(D15, B3:E10, 3,TRUE) + (D15-VLOOKUP(D15, B3:E10, 1,TRUE))*VLOOKUP(D15,B3:E10, 4, TRUE)</f>
        <v>298.84999999999997</v>
      </c>
    </row>
  </sheetData>
  <mergeCells count="6">
    <mergeCell ref="B12:C12"/>
    <mergeCell ref="B13:C13"/>
    <mergeCell ref="B14:C14"/>
    <mergeCell ref="B15:C15"/>
    <mergeCell ref="B16:C16"/>
    <mergeCell ref="F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DB9-46DF-4BF6-8BB0-555C91000137}">
  <dimension ref="B2:G13"/>
  <sheetViews>
    <sheetView zoomScale="40" zoomScaleNormal="40" workbookViewId="0">
      <selection activeCell="C13" sqref="C13"/>
    </sheetView>
  </sheetViews>
  <sheetFormatPr defaultRowHeight="46.5" x14ac:dyDescent="0.7"/>
  <cols>
    <col min="2" max="2" width="10.95703125" customWidth="1"/>
    <col min="3" max="3" width="11.25" customWidth="1"/>
  </cols>
  <sheetData>
    <row r="2" spans="2:7" x14ac:dyDescent="0.7">
      <c r="B2" t="s">
        <v>198</v>
      </c>
    </row>
    <row r="3" spans="2:7" x14ac:dyDescent="0.7">
      <c r="B3" s="130" t="s">
        <v>199</v>
      </c>
      <c r="C3" s="130">
        <v>2010</v>
      </c>
      <c r="D3" s="130">
        <v>2011</v>
      </c>
      <c r="E3" s="130">
        <v>2012</v>
      </c>
      <c r="F3" s="130">
        <v>2013</v>
      </c>
      <c r="G3" s="132" t="s">
        <v>200</v>
      </c>
    </row>
    <row r="4" spans="2:7" x14ac:dyDescent="0.7">
      <c r="B4" t="s">
        <v>201</v>
      </c>
      <c r="C4">
        <v>2346</v>
      </c>
      <c r="D4">
        <v>5478</v>
      </c>
      <c r="E4">
        <v>8754</v>
      </c>
      <c r="F4">
        <v>6754</v>
      </c>
      <c r="G4" s="18">
        <f>SUM(C4:F4)</f>
        <v>23332</v>
      </c>
    </row>
    <row r="5" spans="2:7" x14ac:dyDescent="0.7">
      <c r="B5" t="s">
        <v>202</v>
      </c>
      <c r="C5">
        <v>3456</v>
      </c>
      <c r="D5">
        <v>7653</v>
      </c>
      <c r="E5">
        <v>4567</v>
      </c>
      <c r="F5">
        <v>2345</v>
      </c>
      <c r="G5" s="19">
        <f t="shared" ref="G5:G8" si="0">SUM(C5:F5)</f>
        <v>18021</v>
      </c>
    </row>
    <row r="6" spans="2:7" x14ac:dyDescent="0.7">
      <c r="B6" t="s">
        <v>203</v>
      </c>
      <c r="C6">
        <v>6532</v>
      </c>
      <c r="D6">
        <v>6789</v>
      </c>
      <c r="E6">
        <v>8764</v>
      </c>
      <c r="F6">
        <v>6542</v>
      </c>
      <c r="G6" s="19">
        <f t="shared" si="0"/>
        <v>28627</v>
      </c>
    </row>
    <row r="7" spans="2:7" x14ac:dyDescent="0.7">
      <c r="B7" t="s">
        <v>204</v>
      </c>
      <c r="C7">
        <v>5678</v>
      </c>
      <c r="D7">
        <v>6432</v>
      </c>
      <c r="E7">
        <v>5676</v>
      </c>
      <c r="F7">
        <v>3456</v>
      </c>
      <c r="G7" s="20">
        <f t="shared" si="0"/>
        <v>21242</v>
      </c>
    </row>
    <row r="8" spans="2:7" x14ac:dyDescent="0.7">
      <c r="B8" s="131" t="s">
        <v>33</v>
      </c>
      <c r="C8" s="131">
        <f>SUM(C4:C7)</f>
        <v>18012</v>
      </c>
      <c r="D8" s="131">
        <f t="shared" ref="D8:F8" si="1">SUM(D4:D7)</f>
        <v>26352</v>
      </c>
      <c r="E8" s="131">
        <f t="shared" si="1"/>
        <v>27761</v>
      </c>
      <c r="F8" s="131">
        <f t="shared" si="1"/>
        <v>19097</v>
      </c>
      <c r="G8" s="133">
        <f t="shared" si="0"/>
        <v>91222</v>
      </c>
    </row>
    <row r="11" spans="2:7" x14ac:dyDescent="0.7">
      <c r="B11" s="134" t="s">
        <v>205</v>
      </c>
      <c r="C11" s="135" t="s">
        <v>203</v>
      </c>
      <c r="E11" s="122" t="s">
        <v>208</v>
      </c>
      <c r="F11" s="122"/>
      <c r="G11">
        <f>MATCH(C11, B4:B7,0)</f>
        <v>3</v>
      </c>
    </row>
    <row r="12" spans="2:7" x14ac:dyDescent="0.7">
      <c r="B12" s="134" t="s">
        <v>206</v>
      </c>
      <c r="C12" s="135">
        <v>2012</v>
      </c>
      <c r="E12" s="122" t="s">
        <v>209</v>
      </c>
      <c r="F12" s="122"/>
      <c r="G12">
        <f>MATCH(C12,C3:F3,0)</f>
        <v>3</v>
      </c>
    </row>
    <row r="13" spans="2:7" x14ac:dyDescent="0.7">
      <c r="B13" s="134" t="s">
        <v>207</v>
      </c>
      <c r="C13" s="136">
        <f>INDEX(C4:F7, G11, G12)</f>
        <v>8764</v>
      </c>
    </row>
  </sheetData>
  <mergeCells count="2">
    <mergeCell ref="E11:F11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3817-2595-427B-AB35-BA8919F2E654}">
  <dimension ref="B2:H45"/>
  <sheetViews>
    <sheetView zoomScale="40" zoomScaleNormal="40" workbookViewId="0">
      <selection activeCell="H7" sqref="H7"/>
    </sheetView>
  </sheetViews>
  <sheetFormatPr defaultRowHeight="46.5" x14ac:dyDescent="0.7"/>
  <cols>
    <col min="2" max="2" width="13.5390625" customWidth="1"/>
    <col min="3" max="3" width="28.83203125" customWidth="1"/>
    <col min="4" max="4" width="19.625" customWidth="1"/>
    <col min="5" max="5" width="11.5390625" customWidth="1"/>
    <col min="6" max="6" width="2.625" customWidth="1"/>
    <col min="7" max="7" width="15.625" customWidth="1"/>
    <col min="8" max="8" width="17.20703125" customWidth="1"/>
  </cols>
  <sheetData>
    <row r="2" spans="2:8" ht="47.25" thickBot="1" x14ac:dyDescent="0.75">
      <c r="B2" s="137" t="s">
        <v>199</v>
      </c>
      <c r="C2" s="137" t="s">
        <v>210</v>
      </c>
      <c r="D2" s="137" t="s">
        <v>211</v>
      </c>
      <c r="E2" s="137" t="s">
        <v>212</v>
      </c>
    </row>
    <row r="3" spans="2:8" x14ac:dyDescent="0.7">
      <c r="B3" t="s">
        <v>213</v>
      </c>
      <c r="C3" t="s">
        <v>216</v>
      </c>
      <c r="D3" s="138" t="s">
        <v>234</v>
      </c>
      <c r="E3" s="119">
        <v>4406018</v>
      </c>
    </row>
    <row r="4" spans="2:8" x14ac:dyDescent="0.7">
      <c r="B4" t="s">
        <v>204</v>
      </c>
      <c r="C4" t="s">
        <v>216</v>
      </c>
      <c r="D4" s="138" t="s">
        <v>235</v>
      </c>
      <c r="E4" s="119">
        <v>2564165</v>
      </c>
    </row>
    <row r="5" spans="2:8" x14ac:dyDescent="0.7">
      <c r="B5" t="s">
        <v>202</v>
      </c>
      <c r="C5" t="s">
        <v>217</v>
      </c>
      <c r="D5" s="138" t="s">
        <v>236</v>
      </c>
      <c r="E5" s="119">
        <v>1443535</v>
      </c>
      <c r="G5" s="141" t="s">
        <v>205</v>
      </c>
      <c r="H5" s="126" t="s">
        <v>214</v>
      </c>
    </row>
    <row r="6" spans="2:8" x14ac:dyDescent="0.7">
      <c r="B6" t="s">
        <v>213</v>
      </c>
      <c r="C6" t="s">
        <v>218</v>
      </c>
      <c r="D6" s="138" t="s">
        <v>237</v>
      </c>
      <c r="E6" s="119">
        <v>2834014</v>
      </c>
      <c r="G6" s="141" t="s">
        <v>277</v>
      </c>
      <c r="H6" s="126" t="s">
        <v>219</v>
      </c>
    </row>
    <row r="7" spans="2:8" x14ac:dyDescent="0.7">
      <c r="B7" t="s">
        <v>214</v>
      </c>
      <c r="C7" t="s">
        <v>219</v>
      </c>
      <c r="D7" s="138" t="s">
        <v>238</v>
      </c>
      <c r="E7" s="119">
        <v>1119596</v>
      </c>
      <c r="G7" s="141" t="s">
        <v>278</v>
      </c>
      <c r="H7" s="143">
        <f>SUMPRODUCT((H5=B3:B45)*(H6=C3:C45)*(E3:E45))</f>
        <v>4242316</v>
      </c>
    </row>
    <row r="8" spans="2:8" x14ac:dyDescent="0.7">
      <c r="B8" t="s">
        <v>213</v>
      </c>
      <c r="C8" t="s">
        <v>220</v>
      </c>
      <c r="D8" s="138" t="s">
        <v>239</v>
      </c>
      <c r="E8" s="119">
        <v>2949401</v>
      </c>
    </row>
    <row r="9" spans="2:8" x14ac:dyDescent="0.7">
      <c r="B9" t="s">
        <v>213</v>
      </c>
      <c r="C9" t="s">
        <v>221</v>
      </c>
      <c r="D9" s="138" t="s">
        <v>240</v>
      </c>
      <c r="E9" s="119">
        <v>2371246</v>
      </c>
      <c r="G9" s="141" t="s">
        <v>279</v>
      </c>
      <c r="H9">
        <f>SUMPRODUCT(H5=B3:B45)</f>
        <v>0</v>
      </c>
    </row>
    <row r="10" spans="2:8" x14ac:dyDescent="0.7">
      <c r="B10" t="s">
        <v>204</v>
      </c>
      <c r="C10" t="s">
        <v>222</v>
      </c>
      <c r="D10" s="138" t="s">
        <v>241</v>
      </c>
      <c r="E10" s="119">
        <v>3043499</v>
      </c>
      <c r="G10" s="142" t="s">
        <v>280</v>
      </c>
      <c r="H10">
        <f>SUMPRODUCT(H6=C3:C45)</f>
        <v>0</v>
      </c>
    </row>
    <row r="11" spans="2:8" x14ac:dyDescent="0.7">
      <c r="B11" t="s">
        <v>213</v>
      </c>
      <c r="C11" t="s">
        <v>223</v>
      </c>
      <c r="D11" s="138" t="s">
        <v>242</v>
      </c>
      <c r="E11" s="119">
        <v>1621716</v>
      </c>
    </row>
    <row r="12" spans="2:8" x14ac:dyDescent="0.7">
      <c r="B12" t="s">
        <v>201</v>
      </c>
      <c r="C12" t="s">
        <v>224</v>
      </c>
      <c r="D12" s="138" t="s">
        <v>243</v>
      </c>
      <c r="E12" s="119">
        <v>1697697</v>
      </c>
    </row>
    <row r="13" spans="2:8" x14ac:dyDescent="0.7">
      <c r="B13" t="s">
        <v>213</v>
      </c>
      <c r="C13" t="s">
        <v>225</v>
      </c>
      <c r="D13" s="139" t="s">
        <v>244</v>
      </c>
      <c r="E13" s="119">
        <v>1458914</v>
      </c>
    </row>
    <row r="14" spans="2:8" x14ac:dyDescent="0.7">
      <c r="B14" t="s">
        <v>202</v>
      </c>
      <c r="C14" t="s">
        <v>221</v>
      </c>
      <c r="D14" t="s">
        <v>245</v>
      </c>
      <c r="E14" s="119">
        <v>2922128</v>
      </c>
    </row>
    <row r="15" spans="2:8" x14ac:dyDescent="0.7">
      <c r="B15" t="s">
        <v>202</v>
      </c>
      <c r="C15" t="s">
        <v>226</v>
      </c>
      <c r="D15" s="139" t="s">
        <v>246</v>
      </c>
      <c r="E15" s="119">
        <v>3699755</v>
      </c>
    </row>
    <row r="16" spans="2:8" x14ac:dyDescent="0.7">
      <c r="B16" t="s">
        <v>201</v>
      </c>
      <c r="C16" t="s">
        <v>226</v>
      </c>
      <c r="D16" s="139" t="s">
        <v>247</v>
      </c>
      <c r="E16" s="119">
        <v>930133</v>
      </c>
    </row>
    <row r="17" spans="2:5" x14ac:dyDescent="0.7">
      <c r="B17" t="s">
        <v>214</v>
      </c>
      <c r="C17" t="s">
        <v>223</v>
      </c>
      <c r="D17" s="139" t="s">
        <v>248</v>
      </c>
      <c r="E17" s="119">
        <v>2609312</v>
      </c>
    </row>
    <row r="18" spans="2:5" x14ac:dyDescent="0.7">
      <c r="B18" t="s">
        <v>201</v>
      </c>
      <c r="C18" t="s">
        <v>219</v>
      </c>
      <c r="D18" s="139" t="s">
        <v>249</v>
      </c>
      <c r="E18" s="119">
        <v>1660933</v>
      </c>
    </row>
    <row r="19" spans="2:5" x14ac:dyDescent="0.7">
      <c r="B19" t="s">
        <v>213</v>
      </c>
      <c r="C19" t="s">
        <v>226</v>
      </c>
      <c r="D19" s="139" t="s">
        <v>250</v>
      </c>
      <c r="E19" s="119">
        <v>644173</v>
      </c>
    </row>
    <row r="20" spans="2:5" x14ac:dyDescent="0.7">
      <c r="B20" t="s">
        <v>214</v>
      </c>
      <c r="C20" t="s">
        <v>218</v>
      </c>
      <c r="D20" s="139" t="s">
        <v>251</v>
      </c>
      <c r="E20" s="119">
        <v>4487298</v>
      </c>
    </row>
    <row r="21" spans="2:5" x14ac:dyDescent="0.7">
      <c r="B21" t="s">
        <v>213</v>
      </c>
      <c r="C21" t="s">
        <v>227</v>
      </c>
      <c r="D21" s="139" t="s">
        <v>252</v>
      </c>
      <c r="E21" s="119">
        <v>1391005</v>
      </c>
    </row>
    <row r="22" spans="2:5" x14ac:dyDescent="0.7">
      <c r="B22" t="s">
        <v>202</v>
      </c>
      <c r="C22" t="s">
        <v>219</v>
      </c>
      <c r="D22" s="139" t="s">
        <v>253</v>
      </c>
      <c r="E22" s="119">
        <v>3660829</v>
      </c>
    </row>
    <row r="23" spans="2:5" x14ac:dyDescent="0.7">
      <c r="B23" t="s">
        <v>204</v>
      </c>
      <c r="C23" t="s">
        <v>228</v>
      </c>
      <c r="D23" s="139" t="s">
        <v>254</v>
      </c>
      <c r="E23" s="119">
        <v>2478092</v>
      </c>
    </row>
    <row r="24" spans="2:5" x14ac:dyDescent="0.7">
      <c r="B24" t="s">
        <v>204</v>
      </c>
      <c r="C24" t="s">
        <v>229</v>
      </c>
      <c r="D24" s="139" t="s">
        <v>255</v>
      </c>
      <c r="E24" s="119">
        <v>4873822</v>
      </c>
    </row>
    <row r="25" spans="2:5" x14ac:dyDescent="0.7">
      <c r="B25" t="s">
        <v>201</v>
      </c>
      <c r="C25" t="s">
        <v>229</v>
      </c>
      <c r="D25" s="139" t="s">
        <v>256</v>
      </c>
      <c r="E25" s="119">
        <v>896582</v>
      </c>
    </row>
    <row r="26" spans="2:5" x14ac:dyDescent="0.7">
      <c r="B26" t="s">
        <v>204</v>
      </c>
      <c r="C26" t="s">
        <v>230</v>
      </c>
      <c r="D26" s="139" t="s">
        <v>257</v>
      </c>
      <c r="E26" s="119">
        <v>2069914</v>
      </c>
    </row>
    <row r="27" spans="2:5" x14ac:dyDescent="0.7">
      <c r="B27" t="s">
        <v>213</v>
      </c>
      <c r="C27" t="s">
        <v>230</v>
      </c>
      <c r="D27" s="139" t="s">
        <v>258</v>
      </c>
      <c r="E27" s="119">
        <v>3653753</v>
      </c>
    </row>
    <row r="28" spans="2:5" x14ac:dyDescent="0.7">
      <c r="B28" t="s">
        <v>204</v>
      </c>
      <c r="C28" t="s">
        <v>231</v>
      </c>
      <c r="D28" s="139" t="s">
        <v>259</v>
      </c>
      <c r="E28" s="119">
        <v>4201604</v>
      </c>
    </row>
    <row r="29" spans="2:5" x14ac:dyDescent="0.7">
      <c r="B29" t="s">
        <v>215</v>
      </c>
      <c r="C29" t="s">
        <v>227</v>
      </c>
      <c r="D29" s="139" t="s">
        <v>260</v>
      </c>
      <c r="E29" s="119">
        <v>1767245</v>
      </c>
    </row>
    <row r="30" spans="2:5" x14ac:dyDescent="0.7">
      <c r="B30" t="s">
        <v>215</v>
      </c>
      <c r="C30" t="s">
        <v>232</v>
      </c>
      <c r="D30" s="139" t="s">
        <v>261</v>
      </c>
      <c r="E30" s="119">
        <v>694393</v>
      </c>
    </row>
    <row r="31" spans="2:5" x14ac:dyDescent="0.7">
      <c r="B31" t="s">
        <v>204</v>
      </c>
      <c r="C31" t="s">
        <v>219</v>
      </c>
      <c r="D31" s="139" t="s">
        <v>262</v>
      </c>
      <c r="E31" s="119">
        <v>5759059</v>
      </c>
    </row>
    <row r="32" spans="2:5" x14ac:dyDescent="0.7">
      <c r="B32" t="s">
        <v>214</v>
      </c>
      <c r="C32" t="s">
        <v>219</v>
      </c>
      <c r="D32" s="139" t="s">
        <v>263</v>
      </c>
      <c r="E32" s="119">
        <v>3122720</v>
      </c>
    </row>
    <row r="33" spans="2:5" x14ac:dyDescent="0.7">
      <c r="B33" t="s">
        <v>204</v>
      </c>
      <c r="C33" t="s">
        <v>216</v>
      </c>
      <c r="D33" s="139" t="s">
        <v>264</v>
      </c>
      <c r="E33" s="119">
        <v>3269238</v>
      </c>
    </row>
    <row r="34" spans="2:5" x14ac:dyDescent="0.7">
      <c r="B34" t="s">
        <v>201</v>
      </c>
      <c r="C34" t="s">
        <v>233</v>
      </c>
      <c r="D34" s="139" t="s">
        <v>265</v>
      </c>
      <c r="E34" s="119">
        <v>1189542</v>
      </c>
    </row>
    <row r="35" spans="2:5" x14ac:dyDescent="0.7">
      <c r="B35" t="s">
        <v>215</v>
      </c>
      <c r="C35" t="s">
        <v>223</v>
      </c>
      <c r="D35" s="139" t="s">
        <v>266</v>
      </c>
      <c r="E35" s="119">
        <v>2012197</v>
      </c>
    </row>
    <row r="36" spans="2:5" x14ac:dyDescent="0.7">
      <c r="B36" t="s">
        <v>215</v>
      </c>
      <c r="C36" t="s">
        <v>220</v>
      </c>
      <c r="D36" s="139" t="s">
        <v>267</v>
      </c>
      <c r="E36" s="119">
        <v>1971418</v>
      </c>
    </row>
    <row r="37" spans="2:5" x14ac:dyDescent="0.7">
      <c r="B37" t="s">
        <v>204</v>
      </c>
      <c r="C37" t="s">
        <v>232</v>
      </c>
      <c r="D37" s="140" t="s">
        <v>268</v>
      </c>
      <c r="E37" s="119">
        <v>2189297</v>
      </c>
    </row>
    <row r="38" spans="2:5" x14ac:dyDescent="0.7">
      <c r="B38" t="s">
        <v>214</v>
      </c>
      <c r="C38" t="s">
        <v>222</v>
      </c>
      <c r="D38" s="140" t="s">
        <v>269</v>
      </c>
      <c r="E38" s="119">
        <v>4822701</v>
      </c>
    </row>
    <row r="39" spans="2:5" x14ac:dyDescent="0.7">
      <c r="B39" t="s">
        <v>204</v>
      </c>
      <c r="C39" t="s">
        <v>221</v>
      </c>
      <c r="D39" s="140" t="s">
        <v>270</v>
      </c>
      <c r="E39" s="119">
        <v>2346810</v>
      </c>
    </row>
    <row r="40" spans="2:5" x14ac:dyDescent="0.7">
      <c r="B40" t="s">
        <v>204</v>
      </c>
      <c r="C40" t="s">
        <v>226</v>
      </c>
      <c r="D40" s="140" t="s">
        <v>271</v>
      </c>
      <c r="E40" s="119">
        <v>3443800</v>
      </c>
    </row>
    <row r="41" spans="2:5" x14ac:dyDescent="0.7">
      <c r="B41" t="s">
        <v>214</v>
      </c>
      <c r="C41" t="s">
        <v>227</v>
      </c>
      <c r="D41" s="140" t="s">
        <v>272</v>
      </c>
      <c r="E41" s="119">
        <v>1738454</v>
      </c>
    </row>
    <row r="42" spans="2:5" x14ac:dyDescent="0.7">
      <c r="B42" t="s">
        <v>201</v>
      </c>
      <c r="C42" t="s">
        <v>216</v>
      </c>
      <c r="D42" s="140" t="s">
        <v>273</v>
      </c>
      <c r="E42" s="119">
        <v>2592508</v>
      </c>
    </row>
    <row r="43" spans="2:5" x14ac:dyDescent="0.7">
      <c r="B43" t="s">
        <v>204</v>
      </c>
      <c r="C43" t="s">
        <v>220</v>
      </c>
      <c r="D43" t="s">
        <v>274</v>
      </c>
      <c r="E43" s="119">
        <v>2581251</v>
      </c>
    </row>
    <row r="44" spans="2:5" x14ac:dyDescent="0.7">
      <c r="B44" t="s">
        <v>202</v>
      </c>
      <c r="C44" t="s">
        <v>231</v>
      </c>
      <c r="D44" t="s">
        <v>275</v>
      </c>
      <c r="E44" s="119">
        <v>3825424</v>
      </c>
    </row>
    <row r="45" spans="2:5" x14ac:dyDescent="0.7">
      <c r="B45" t="s">
        <v>204</v>
      </c>
      <c r="C45" t="s">
        <v>218</v>
      </c>
      <c r="D45" t="s">
        <v>276</v>
      </c>
      <c r="E45" s="119">
        <v>2077279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2C2D-E980-45E3-9799-DF4772B2F3D8}">
  <dimension ref="B1:G14"/>
  <sheetViews>
    <sheetView tabSelected="1" zoomScale="40" zoomScaleNormal="40" workbookViewId="0">
      <selection activeCell="D1" sqref="D1"/>
    </sheetView>
  </sheetViews>
  <sheetFormatPr defaultRowHeight="46.5" x14ac:dyDescent="0.7"/>
  <cols>
    <col min="2" max="2" width="10.4140625" customWidth="1"/>
    <col min="3" max="3" width="11.1640625" customWidth="1"/>
    <col min="4" max="4" width="13.45703125" customWidth="1"/>
    <col min="6" max="6" width="11.45703125" customWidth="1"/>
    <col min="7" max="7" width="11.0390625" customWidth="1"/>
  </cols>
  <sheetData>
    <row r="1" spans="2:7" x14ac:dyDescent="0.7">
      <c r="B1" s="150" t="s">
        <v>281</v>
      </c>
      <c r="C1" s="150" t="s">
        <v>87</v>
      </c>
      <c r="D1" s="150"/>
    </row>
    <row r="2" spans="2:7" x14ac:dyDescent="0.7">
      <c r="B2" s="150" t="s">
        <v>282</v>
      </c>
      <c r="C2" s="150" t="s">
        <v>283</v>
      </c>
      <c r="D2" s="150" t="s">
        <v>30</v>
      </c>
    </row>
    <row r="3" spans="2:7" x14ac:dyDescent="0.7">
      <c r="B3" s="14" t="s">
        <v>284</v>
      </c>
      <c r="C3" s="148">
        <v>53</v>
      </c>
      <c r="D3" s="149">
        <v>555.73</v>
      </c>
    </row>
    <row r="4" spans="2:7" x14ac:dyDescent="0.7">
      <c r="B4" s="14" t="s">
        <v>285</v>
      </c>
      <c r="C4" s="148">
        <v>160</v>
      </c>
      <c r="D4" s="149">
        <v>940.56</v>
      </c>
      <c r="F4" s="144" t="s">
        <v>294</v>
      </c>
      <c r="G4" s="145" t="s">
        <v>294</v>
      </c>
    </row>
    <row r="5" spans="2:7" x14ac:dyDescent="0.7">
      <c r="B5" s="14" t="s">
        <v>286</v>
      </c>
      <c r="C5" s="148">
        <v>40</v>
      </c>
      <c r="D5" s="149">
        <v>3026.1</v>
      </c>
      <c r="F5" s="146" t="s">
        <v>295</v>
      </c>
      <c r="G5" s="147" t="s">
        <v>296</v>
      </c>
    </row>
    <row r="6" spans="2:7" x14ac:dyDescent="0.7">
      <c r="B6" s="14" t="s">
        <v>287</v>
      </c>
      <c r="C6" s="148">
        <v>146</v>
      </c>
      <c r="D6" s="149">
        <v>4885.9399999999996</v>
      </c>
      <c r="F6" t="str">
        <f>INDEX(B:B, COUNTA(B:B))</f>
        <v>А-6513</v>
      </c>
      <c r="G6">
        <f>INDEX(D:D, COUNTA(D:D)+1)</f>
        <v>3326.98</v>
      </c>
    </row>
    <row r="7" spans="2:7" x14ac:dyDescent="0.7">
      <c r="B7" s="14" t="s">
        <v>288</v>
      </c>
      <c r="C7" s="148">
        <v>84</v>
      </c>
      <c r="D7" s="149">
        <v>969.46</v>
      </c>
    </row>
    <row r="8" spans="2:7" x14ac:dyDescent="0.7">
      <c r="B8" s="14" t="s">
        <v>289</v>
      </c>
      <c r="C8" s="148">
        <v>97</v>
      </c>
      <c r="D8" s="149">
        <v>2979.33</v>
      </c>
    </row>
    <row r="9" spans="2:7" x14ac:dyDescent="0.7">
      <c r="B9" s="14" t="s">
        <v>290</v>
      </c>
      <c r="C9" s="148">
        <v>200</v>
      </c>
      <c r="D9" s="149">
        <v>2950.74</v>
      </c>
    </row>
    <row r="10" spans="2:7" x14ac:dyDescent="0.7">
      <c r="B10" s="14" t="s">
        <v>291</v>
      </c>
      <c r="C10" s="148">
        <v>40</v>
      </c>
      <c r="D10" s="149">
        <v>3970.5</v>
      </c>
    </row>
    <row r="11" spans="2:7" x14ac:dyDescent="0.7">
      <c r="B11" s="14" t="s">
        <v>292</v>
      </c>
      <c r="C11" s="148">
        <v>155</v>
      </c>
      <c r="D11" s="149">
        <v>3332.94</v>
      </c>
    </row>
    <row r="12" spans="2:7" x14ac:dyDescent="0.7">
      <c r="B12" s="14" t="s">
        <v>293</v>
      </c>
      <c r="C12" s="148">
        <v>75</v>
      </c>
      <c r="D12" s="149">
        <v>3326.98</v>
      </c>
    </row>
    <row r="14" spans="2:7" x14ac:dyDescent="0.7">
      <c r="C14" s="119"/>
      <c r="D14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B91B-986A-48CD-91EC-377A7F8F7219}">
  <dimension ref="A1:C9"/>
  <sheetViews>
    <sheetView topLeftCell="A4" zoomScale="40" zoomScaleNormal="40" workbookViewId="0">
      <selection activeCell="B7" sqref="B7"/>
    </sheetView>
  </sheetViews>
  <sheetFormatPr defaultRowHeight="46.5" x14ac:dyDescent="0.7"/>
  <cols>
    <col min="1" max="1" width="27.45703125" customWidth="1"/>
    <col min="2" max="2" width="22.08203125" customWidth="1"/>
  </cols>
  <sheetData>
    <row r="1" spans="1:3" ht="81.75" thickBot="1" x14ac:dyDescent="0.75">
      <c r="A1" s="36" t="s">
        <v>86</v>
      </c>
      <c r="B1" s="35" t="s">
        <v>87</v>
      </c>
      <c r="C1" s="30"/>
    </row>
    <row r="2" spans="1:3" ht="81.75" thickBot="1" x14ac:dyDescent="0.75">
      <c r="A2" s="37" t="s">
        <v>88</v>
      </c>
      <c r="B2" s="34">
        <v>40</v>
      </c>
      <c r="C2" s="30"/>
    </row>
    <row r="3" spans="1:3" ht="81.75" thickBot="1" x14ac:dyDescent="0.75">
      <c r="A3" s="38" t="s">
        <v>89</v>
      </c>
      <c r="B3" s="32">
        <v>30</v>
      </c>
      <c r="C3" s="30"/>
    </row>
    <row r="4" spans="1:3" ht="81.75" thickBot="1" x14ac:dyDescent="0.75">
      <c r="A4" s="38" t="s">
        <v>90</v>
      </c>
      <c r="B4" s="32">
        <v>20</v>
      </c>
      <c r="C4" s="30"/>
    </row>
    <row r="5" spans="1:3" ht="81.75" thickBot="1" x14ac:dyDescent="0.75">
      <c r="A5" s="39" t="s">
        <v>91</v>
      </c>
      <c r="B5" s="33">
        <v>10</v>
      </c>
      <c r="C5" s="31"/>
    </row>
    <row r="7" spans="1:3" ht="81" x14ac:dyDescent="0.7">
      <c r="A7" s="40" t="s">
        <v>92</v>
      </c>
      <c r="B7">
        <f>MATCH(39,B2:B5,1)</f>
        <v>4</v>
      </c>
    </row>
    <row r="8" spans="1:3" ht="81" x14ac:dyDescent="0.7">
      <c r="A8" s="40" t="s">
        <v>93</v>
      </c>
      <c r="B8">
        <f>MATCH(40, B2:B5,0)</f>
        <v>1</v>
      </c>
    </row>
    <row r="9" spans="1:3" ht="81" x14ac:dyDescent="0.7">
      <c r="A9" s="40" t="s">
        <v>94</v>
      </c>
      <c r="B9">
        <f>MATCH(37, B2:B5,-1)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984-8401-49F5-9183-E700329F9898}">
  <dimension ref="A1:C7"/>
  <sheetViews>
    <sheetView zoomScale="40" zoomScaleNormal="40" workbookViewId="0">
      <selection activeCell="B6" sqref="B6"/>
    </sheetView>
  </sheetViews>
  <sheetFormatPr defaultRowHeight="46.5" x14ac:dyDescent="0.7"/>
  <cols>
    <col min="1" max="1" width="29.25" customWidth="1"/>
    <col min="2" max="2" width="24.70703125" customWidth="1"/>
  </cols>
  <sheetData>
    <row r="1" spans="1:3" ht="69.75" thickBot="1" x14ac:dyDescent="0.75">
      <c r="A1" s="42" t="s">
        <v>96</v>
      </c>
      <c r="B1" s="42" t="s">
        <v>96</v>
      </c>
      <c r="C1" s="41"/>
    </row>
    <row r="2" spans="1:3" ht="62.25" thickBot="1" x14ac:dyDescent="0.75">
      <c r="A2" s="46" t="s">
        <v>90</v>
      </c>
      <c r="B2" s="43" t="s">
        <v>97</v>
      </c>
      <c r="C2" s="28"/>
    </row>
    <row r="3" spans="1:3" ht="62.25" thickBot="1" x14ac:dyDescent="0.75">
      <c r="A3" s="47" t="s">
        <v>88</v>
      </c>
      <c r="B3" s="44" t="s">
        <v>91</v>
      </c>
      <c r="C3" s="29"/>
    </row>
    <row r="4" spans="1:3" ht="62.25" thickBot="1" x14ac:dyDescent="0.95">
      <c r="A4" s="48" t="s">
        <v>89</v>
      </c>
      <c r="B4" s="45" t="s">
        <v>98</v>
      </c>
    </row>
    <row r="6" spans="1:3" x14ac:dyDescent="0.7">
      <c r="A6" t="s">
        <v>99</v>
      </c>
      <c r="B6" t="str">
        <f>INDEX(A2:B4,1,2)</f>
        <v>Лимоны</v>
      </c>
    </row>
    <row r="7" spans="1:3" x14ac:dyDescent="0.7">
      <c r="A7" t="s">
        <v>100</v>
      </c>
      <c r="B7" t="str">
        <f>INDEX(A2:B4, 3,1)</f>
        <v>Апельсины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95CA-F84E-4338-9314-9C6505F20EEB}">
  <dimension ref="B2:I25"/>
  <sheetViews>
    <sheetView zoomScale="40" zoomScaleNormal="40" workbookViewId="0">
      <selection activeCell="G5" sqref="G5"/>
    </sheetView>
  </sheetViews>
  <sheetFormatPr defaultRowHeight="46.5" x14ac:dyDescent="0.7"/>
  <cols>
    <col min="2" max="2" width="14.6640625" customWidth="1"/>
    <col min="4" max="4" width="13.33203125" customWidth="1"/>
    <col min="6" max="6" width="11.95703125" customWidth="1"/>
    <col min="7" max="7" width="13.875" customWidth="1"/>
  </cols>
  <sheetData>
    <row r="2" spans="2:9" ht="47.25" thickBot="1" x14ac:dyDescent="0.75">
      <c r="B2" s="26" t="s">
        <v>36</v>
      </c>
      <c r="C2" s="26" t="s">
        <v>37</v>
      </c>
      <c r="D2" s="26" t="s">
        <v>38</v>
      </c>
    </row>
    <row r="3" spans="2:9" ht="47.25" thickBot="1" x14ac:dyDescent="0.75">
      <c r="B3" t="s">
        <v>39</v>
      </c>
      <c r="C3" t="s">
        <v>62</v>
      </c>
      <c r="D3">
        <v>6493</v>
      </c>
    </row>
    <row r="4" spans="2:9" ht="47.25" thickBot="1" x14ac:dyDescent="0.75">
      <c r="B4" t="s">
        <v>40</v>
      </c>
      <c r="C4" t="s">
        <v>63</v>
      </c>
      <c r="D4">
        <v>4369</v>
      </c>
      <c r="F4" t="s">
        <v>37</v>
      </c>
      <c r="G4" s="27" t="s">
        <v>77</v>
      </c>
      <c r="I4" t="s">
        <v>95</v>
      </c>
    </row>
    <row r="5" spans="2:9" x14ac:dyDescent="0.7">
      <c r="B5" t="s">
        <v>41</v>
      </c>
      <c r="C5" t="s">
        <v>64</v>
      </c>
      <c r="D5">
        <v>4505</v>
      </c>
      <c r="F5" t="s">
        <v>36</v>
      </c>
      <c r="G5" t="str">
        <f>INDEX(B3:D25,MATCH(G4,C3:C25,0),1)</f>
        <v>Талса</v>
      </c>
      <c r="I5">
        <f>MATCH(G4,C3:C25,0)</f>
        <v>16</v>
      </c>
    </row>
    <row r="6" spans="2:9" x14ac:dyDescent="0.7">
      <c r="B6" t="s">
        <v>42</v>
      </c>
      <c r="C6" t="s">
        <v>65</v>
      </c>
      <c r="D6">
        <v>8745</v>
      </c>
      <c r="F6" t="s">
        <v>101</v>
      </c>
      <c r="G6">
        <f>VLOOKUP(G4,C3:D25,2,FALSE)</f>
        <v>8567</v>
      </c>
    </row>
    <row r="7" spans="2:9" x14ac:dyDescent="0.7">
      <c r="B7" t="s">
        <v>43</v>
      </c>
      <c r="C7" t="s">
        <v>66</v>
      </c>
      <c r="D7">
        <v>6273</v>
      </c>
      <c r="F7" t="s">
        <v>85</v>
      </c>
      <c r="G7">
        <f>INDEX(B3:D25, I5,3)</f>
        <v>8567</v>
      </c>
    </row>
    <row r="8" spans="2:9" x14ac:dyDescent="0.7">
      <c r="B8" t="s">
        <v>44</v>
      </c>
      <c r="C8" t="s">
        <v>67</v>
      </c>
      <c r="D8">
        <v>9384</v>
      </c>
    </row>
    <row r="9" spans="2:9" x14ac:dyDescent="0.7">
      <c r="B9" t="s">
        <v>45</v>
      </c>
      <c r="C9" t="s">
        <v>68</v>
      </c>
      <c r="D9">
        <v>5654</v>
      </c>
    </row>
    <row r="10" spans="2:9" x14ac:dyDescent="0.7">
      <c r="B10" t="s">
        <v>46</v>
      </c>
      <c r="C10" t="s">
        <v>69</v>
      </c>
      <c r="D10">
        <v>3972</v>
      </c>
    </row>
    <row r="11" spans="2:9" x14ac:dyDescent="0.7">
      <c r="B11" t="s">
        <v>47</v>
      </c>
      <c r="C11" t="s">
        <v>70</v>
      </c>
      <c r="D11">
        <v>8816</v>
      </c>
    </row>
    <row r="12" spans="2:9" x14ac:dyDescent="0.7">
      <c r="B12" t="s">
        <v>48</v>
      </c>
      <c r="C12" t="s">
        <v>71</v>
      </c>
      <c r="D12">
        <v>3331</v>
      </c>
    </row>
    <row r="13" spans="2:9" x14ac:dyDescent="0.7">
      <c r="B13" t="s">
        <v>49</v>
      </c>
      <c r="C13" t="s">
        <v>72</v>
      </c>
      <c r="D13">
        <v>3335</v>
      </c>
    </row>
    <row r="14" spans="2:9" x14ac:dyDescent="0.7">
      <c r="B14" t="s">
        <v>50</v>
      </c>
      <c r="C14" t="s">
        <v>73</v>
      </c>
      <c r="D14">
        <v>2608</v>
      </c>
    </row>
    <row r="15" spans="2:9" x14ac:dyDescent="0.7">
      <c r="B15" t="s">
        <v>51</v>
      </c>
      <c r="C15" t="s">
        <v>74</v>
      </c>
      <c r="D15">
        <v>4122</v>
      </c>
    </row>
    <row r="16" spans="2:9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4F8-F365-4822-B6B1-7BDC6E6EE886}">
  <dimension ref="B2:G25"/>
  <sheetViews>
    <sheetView topLeftCell="A5" zoomScale="40" zoomScaleNormal="40" workbookViewId="0">
      <selection activeCell="G5" sqref="G5"/>
    </sheetView>
  </sheetViews>
  <sheetFormatPr defaultRowHeight="46.5" x14ac:dyDescent="0.7"/>
  <cols>
    <col min="2" max="2" width="14.6640625" customWidth="1"/>
    <col min="4" max="4" width="13.6640625" customWidth="1"/>
    <col min="6" max="7" width="15.0390625" customWidth="1"/>
  </cols>
  <sheetData>
    <row r="2" spans="2:7" ht="47.25" thickBot="1" x14ac:dyDescent="0.75">
      <c r="B2" s="26" t="s">
        <v>36</v>
      </c>
      <c r="C2" s="26" t="s">
        <v>37</v>
      </c>
      <c r="D2" s="26" t="s">
        <v>38</v>
      </c>
    </row>
    <row r="3" spans="2:7" ht="47.25" thickBot="1" x14ac:dyDescent="0.75">
      <c r="B3" t="s">
        <v>39</v>
      </c>
      <c r="C3" t="s">
        <v>62</v>
      </c>
      <c r="D3">
        <v>6493</v>
      </c>
    </row>
    <row r="4" spans="2:7" ht="47.25" thickBot="1" x14ac:dyDescent="0.75">
      <c r="B4" t="s">
        <v>40</v>
      </c>
      <c r="C4" t="s">
        <v>63</v>
      </c>
      <c r="D4">
        <v>4369</v>
      </c>
      <c r="F4" t="s">
        <v>37</v>
      </c>
      <c r="G4" s="27" t="s">
        <v>76</v>
      </c>
    </row>
    <row r="5" spans="2:7" x14ac:dyDescent="0.7">
      <c r="B5" t="s">
        <v>41</v>
      </c>
      <c r="C5" t="s">
        <v>64</v>
      </c>
      <c r="D5">
        <v>4505</v>
      </c>
      <c r="F5" t="s">
        <v>36</v>
      </c>
      <c r="G5" t="str">
        <f>LOOKUP(G4,C3:C25,B3:B25)</f>
        <v>Толедо</v>
      </c>
    </row>
    <row r="6" spans="2:7" x14ac:dyDescent="0.7">
      <c r="B6" t="s">
        <v>42</v>
      </c>
      <c r="C6" t="s">
        <v>65</v>
      </c>
      <c r="D6">
        <v>8745</v>
      </c>
      <c r="F6" t="s">
        <v>85</v>
      </c>
      <c r="G6">
        <f>LOOKUP(G4,C3:C25,D3:D25)</f>
        <v>7681</v>
      </c>
    </row>
    <row r="7" spans="2:7" x14ac:dyDescent="0.7">
      <c r="B7" t="s">
        <v>43</v>
      </c>
      <c r="C7" t="s">
        <v>66</v>
      </c>
      <c r="D7">
        <v>6273</v>
      </c>
    </row>
    <row r="8" spans="2:7" x14ac:dyDescent="0.7">
      <c r="B8" t="s">
        <v>44</v>
      </c>
      <c r="C8" t="s">
        <v>67</v>
      </c>
      <c r="D8">
        <v>9384</v>
      </c>
    </row>
    <row r="9" spans="2:7" x14ac:dyDescent="0.7">
      <c r="B9" t="s">
        <v>45</v>
      </c>
      <c r="C9" t="s">
        <v>68</v>
      </c>
      <c r="D9">
        <v>5654</v>
      </c>
    </row>
    <row r="10" spans="2:7" x14ac:dyDescent="0.7">
      <c r="B10" t="s">
        <v>46</v>
      </c>
      <c r="C10" t="s">
        <v>69</v>
      </c>
      <c r="D10">
        <v>3972</v>
      </c>
    </row>
    <row r="11" spans="2:7" x14ac:dyDescent="0.7">
      <c r="B11" t="s">
        <v>47</v>
      </c>
      <c r="C11" t="s">
        <v>70</v>
      </c>
      <c r="D11">
        <v>8816</v>
      </c>
    </row>
    <row r="12" spans="2:7" x14ac:dyDescent="0.7">
      <c r="B12" t="s">
        <v>48</v>
      </c>
      <c r="C12" t="s">
        <v>71</v>
      </c>
      <c r="D12">
        <v>3331</v>
      </c>
    </row>
    <row r="13" spans="2:7" x14ac:dyDescent="0.7">
      <c r="B13" t="s">
        <v>49</v>
      </c>
      <c r="C13" t="s">
        <v>72</v>
      </c>
      <c r="D13">
        <v>3335</v>
      </c>
    </row>
    <row r="14" spans="2:7" x14ac:dyDescent="0.7">
      <c r="B14" t="s">
        <v>50</v>
      </c>
      <c r="C14" t="s">
        <v>73</v>
      </c>
      <c r="D14">
        <v>2608</v>
      </c>
    </row>
    <row r="15" spans="2:7" x14ac:dyDescent="0.7">
      <c r="B15" t="s">
        <v>51</v>
      </c>
      <c r="C15" t="s">
        <v>74</v>
      </c>
      <c r="D15">
        <v>4122</v>
      </c>
    </row>
    <row r="16" spans="2:7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C99A-64C0-4FFA-AF9D-C9385B379E64}">
  <dimension ref="B2:L12"/>
  <sheetViews>
    <sheetView zoomScale="40" zoomScaleNormal="40" workbookViewId="0">
      <selection activeCell="L5" sqref="L5"/>
    </sheetView>
  </sheetViews>
  <sheetFormatPr defaultRowHeight="46.5" x14ac:dyDescent="0.7"/>
  <cols>
    <col min="1" max="1" width="1.70703125" customWidth="1"/>
    <col min="3" max="3" width="19.33203125" bestFit="1" customWidth="1"/>
    <col min="4" max="4" width="15.45703125" bestFit="1" customWidth="1"/>
    <col min="5" max="5" width="5.5390625" bestFit="1" customWidth="1"/>
    <col min="7" max="7" width="5.75" bestFit="1" customWidth="1"/>
    <col min="9" max="9" width="5.4140625" bestFit="1" customWidth="1"/>
    <col min="11" max="11" width="11.6640625" customWidth="1"/>
    <col min="12" max="12" width="16.45703125" customWidth="1"/>
  </cols>
  <sheetData>
    <row r="2" spans="2:12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K2" s="3" t="s">
        <v>102</v>
      </c>
    </row>
    <row r="3" spans="2:12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K3" s="2">
        <v>981</v>
      </c>
    </row>
    <row r="4" spans="2:12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</row>
    <row r="5" spans="2:12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K5" t="s">
        <v>1</v>
      </c>
      <c r="L5" t="str">
        <f>LOOKUP(K3,B3:B12,C3:C12)</f>
        <v>Сергеев Василий</v>
      </c>
    </row>
    <row r="6" spans="2:12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K6" t="s">
        <v>103</v>
      </c>
      <c r="L6" t="str">
        <f>LOOKUP(K3,B3:B12,D3:D12)</f>
        <v>Цех 14, участок 1</v>
      </c>
    </row>
    <row r="7" spans="2:12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K7" t="s">
        <v>104</v>
      </c>
      <c r="L7" s="49">
        <f>LOOKUP(K3,B3:B12, G3:G12)</f>
        <v>0.13</v>
      </c>
    </row>
    <row r="8" spans="2:12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K8" t="s">
        <v>105</v>
      </c>
      <c r="L8" s="49">
        <f>LOOKUP(K3,B3:B12,I3:I12)</f>
        <v>0.08</v>
      </c>
    </row>
    <row r="9" spans="2:12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</row>
    <row r="10" spans="2:12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K10" s="50" t="s">
        <v>1</v>
      </c>
    </row>
    <row r="11" spans="2:12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K11" t="s">
        <v>10</v>
      </c>
    </row>
    <row r="12" spans="2:12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  <c r="K12" t="s">
        <v>102</v>
      </c>
      <c r="L12">
        <f>LOOKUP(K11,C3:C12,B3:B12)</f>
        <v>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373-F0B0-4112-AA6E-7A0828FD23B6}">
  <dimension ref="A1:I12"/>
  <sheetViews>
    <sheetView zoomScale="40" zoomScaleNormal="40" workbookViewId="0">
      <selection activeCell="A2" sqref="A2:C4"/>
    </sheetView>
  </sheetViews>
  <sheetFormatPr defaultRowHeight="46.5" x14ac:dyDescent="0.7"/>
  <cols>
    <col min="1" max="1" width="22.625" customWidth="1"/>
    <col min="2" max="2" width="22.08203125" customWidth="1"/>
    <col min="3" max="3" width="18.33203125" customWidth="1"/>
    <col min="4" max="4" width="8.58203125" customWidth="1"/>
    <col min="5" max="5" width="3.70703125" customWidth="1"/>
    <col min="6" max="6" width="18.5" customWidth="1"/>
  </cols>
  <sheetData>
    <row r="1" spans="1:9" ht="53.25" thickBot="1" x14ac:dyDescent="0.75">
      <c r="A1" s="54" t="s">
        <v>106</v>
      </c>
      <c r="B1" s="54" t="s">
        <v>107</v>
      </c>
      <c r="C1" s="54" t="s">
        <v>108</v>
      </c>
      <c r="G1" s="3" t="s">
        <v>109</v>
      </c>
      <c r="H1" s="3" t="s">
        <v>110</v>
      </c>
      <c r="I1" s="3" t="s">
        <v>111</v>
      </c>
    </row>
    <row r="2" spans="1:9" ht="53.25" thickBot="1" x14ac:dyDescent="0.75">
      <c r="A2" s="57">
        <v>4</v>
      </c>
      <c r="B2" s="58">
        <v>4</v>
      </c>
      <c r="C2" s="58">
        <v>9</v>
      </c>
      <c r="D2" s="59" t="s">
        <v>109</v>
      </c>
      <c r="F2" s="51" t="s">
        <v>106</v>
      </c>
      <c r="G2" s="52">
        <v>4</v>
      </c>
      <c r="H2" s="52">
        <v>5</v>
      </c>
      <c r="I2" s="52">
        <v>6</v>
      </c>
    </row>
    <row r="3" spans="1:9" ht="53.25" thickBot="1" x14ac:dyDescent="0.75">
      <c r="A3" s="60">
        <v>5</v>
      </c>
      <c r="B3" s="55">
        <v>7</v>
      </c>
      <c r="C3" s="55">
        <v>10</v>
      </c>
      <c r="D3" s="61" t="s">
        <v>110</v>
      </c>
      <c r="F3" s="51" t="s">
        <v>107</v>
      </c>
      <c r="G3" s="52">
        <v>4</v>
      </c>
      <c r="H3" s="52">
        <v>7</v>
      </c>
      <c r="I3" s="52">
        <v>8</v>
      </c>
    </row>
    <row r="4" spans="1:9" ht="53.25" thickBot="1" x14ac:dyDescent="0.75">
      <c r="A4" s="62">
        <v>6</v>
      </c>
      <c r="B4" s="63">
        <v>8</v>
      </c>
      <c r="C4" s="63">
        <v>11</v>
      </c>
      <c r="D4" s="64" t="s">
        <v>111</v>
      </c>
      <c r="F4" s="51" t="s">
        <v>108</v>
      </c>
      <c r="G4" s="52">
        <v>9</v>
      </c>
      <c r="H4" s="52">
        <v>10</v>
      </c>
      <c r="I4" s="52">
        <v>11</v>
      </c>
    </row>
    <row r="5" spans="1:9" ht="52.5" x14ac:dyDescent="0.7">
      <c r="A5" s="65"/>
      <c r="B5" s="65"/>
      <c r="C5" s="65"/>
      <c r="D5" s="67"/>
      <c r="F5" s="53"/>
      <c r="G5" s="65"/>
      <c r="H5" s="65"/>
      <c r="I5" s="65"/>
    </row>
    <row r="6" spans="1:9" ht="52.5" x14ac:dyDescent="0.7">
      <c r="A6" s="66" t="s">
        <v>117</v>
      </c>
      <c r="B6" s="65" t="s">
        <v>107</v>
      </c>
      <c r="C6" s="65"/>
      <c r="D6" s="67"/>
      <c r="F6" s="53"/>
      <c r="G6" s="65"/>
      <c r="H6" s="65"/>
      <c r="I6" s="65"/>
    </row>
    <row r="8" spans="1:9" ht="52.5" x14ac:dyDescent="0.7">
      <c r="A8" t="s">
        <v>114</v>
      </c>
      <c r="B8">
        <f>HLOOKUP(LEFT(A8,3), A1:C2,2,FALSE)</f>
        <v>4</v>
      </c>
      <c r="F8" s="53" t="s">
        <v>112</v>
      </c>
      <c r="G8">
        <f>INDEX(G2:I4,1,3)</f>
        <v>6</v>
      </c>
    </row>
    <row r="9" spans="1:9" ht="52.5" x14ac:dyDescent="0.7">
      <c r="A9" t="s">
        <v>115</v>
      </c>
      <c r="B9">
        <f>HLOOKUP(B6,A1:C3,3,FALSE)</f>
        <v>7</v>
      </c>
      <c r="F9" s="53" t="s">
        <v>113</v>
      </c>
      <c r="G9">
        <f>VLOOKUP(LEFT(F9,3),F2:I4,4,FALSE)</f>
        <v>6</v>
      </c>
    </row>
    <row r="10" spans="1:9" x14ac:dyDescent="0.7">
      <c r="A10" t="s">
        <v>116</v>
      </c>
      <c r="B10">
        <f>HLOOKUP("Болты",A1:C4,4,FALSE)</f>
        <v>11</v>
      </c>
    </row>
    <row r="11" spans="1:9" x14ac:dyDescent="0.7">
      <c r="A11" t="s">
        <v>112</v>
      </c>
      <c r="B11">
        <f>HLOOKUP("Оси",A1:C4,4,FALSE)</f>
        <v>6</v>
      </c>
    </row>
    <row r="12" spans="1:9" ht="52.5" x14ac:dyDescent="0.7">
      <c r="A12" t="s">
        <v>118</v>
      </c>
      <c r="B12" s="68">
        <f>HLOOKUP("Болты",A1:C3,3,FALSE)</f>
        <v>10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04F1-22F8-4A11-891A-2694460298A2}">
  <dimension ref="B1:H10"/>
  <sheetViews>
    <sheetView zoomScale="40" zoomScaleNormal="40" workbookViewId="0">
      <selection activeCell="B7" sqref="B7:C10"/>
    </sheetView>
  </sheetViews>
  <sheetFormatPr defaultRowHeight="46.5" x14ac:dyDescent="0.7"/>
  <cols>
    <col min="2" max="2" width="11.7890625" bestFit="1" customWidth="1"/>
    <col min="8" max="8" width="10.4140625" customWidth="1"/>
  </cols>
  <sheetData>
    <row r="1" spans="2:8" ht="47.25" thickBot="1" x14ac:dyDescent="0.75"/>
    <row r="2" spans="2:8" x14ac:dyDescent="0.7">
      <c r="B2" s="69" t="s">
        <v>36</v>
      </c>
      <c r="C2" s="73" t="s">
        <v>120</v>
      </c>
      <c r="D2" s="73" t="s">
        <v>121</v>
      </c>
      <c r="E2" s="73" t="s">
        <v>122</v>
      </c>
      <c r="F2" s="73" t="s">
        <v>123</v>
      </c>
      <c r="G2" s="73" t="s">
        <v>124</v>
      </c>
      <c r="H2" s="74" t="s">
        <v>125</v>
      </c>
    </row>
    <row r="3" spans="2:8" x14ac:dyDescent="0.7">
      <c r="B3" s="79" t="s">
        <v>119</v>
      </c>
      <c r="C3" s="13">
        <v>23</v>
      </c>
      <c r="D3" s="13">
        <v>13</v>
      </c>
      <c r="E3" s="13">
        <v>33</v>
      </c>
      <c r="F3" s="13">
        <v>21</v>
      </c>
      <c r="G3" s="13">
        <v>15</v>
      </c>
      <c r="H3" s="80">
        <v>32</v>
      </c>
    </row>
    <row r="4" spans="2:8" x14ac:dyDescent="0.7">
      <c r="B4" s="79" t="s">
        <v>126</v>
      </c>
      <c r="C4" s="13" t="s">
        <v>128</v>
      </c>
      <c r="D4" s="13" t="s">
        <v>129</v>
      </c>
      <c r="E4" s="13" t="s">
        <v>130</v>
      </c>
      <c r="F4" s="13" t="s">
        <v>131</v>
      </c>
      <c r="G4" s="13" t="s">
        <v>132</v>
      </c>
      <c r="H4" s="80" t="s">
        <v>133</v>
      </c>
    </row>
    <row r="5" spans="2:8" ht="47.25" thickBot="1" x14ac:dyDescent="0.75">
      <c r="B5" s="72" t="s">
        <v>127</v>
      </c>
      <c r="C5" s="75" t="s">
        <v>134</v>
      </c>
      <c r="D5" s="75" t="s">
        <v>135</v>
      </c>
      <c r="E5" s="75" t="s">
        <v>136</v>
      </c>
      <c r="F5" s="75" t="s">
        <v>135</v>
      </c>
      <c r="G5" s="75" t="s">
        <v>134</v>
      </c>
      <c r="H5" s="76" t="s">
        <v>136</v>
      </c>
    </row>
    <row r="6" spans="2:8" ht="47.25" thickBot="1" x14ac:dyDescent="0.75"/>
    <row r="7" spans="2:8" x14ac:dyDescent="0.7">
      <c r="B7" s="69" t="s">
        <v>36</v>
      </c>
      <c r="C7" s="77" t="s">
        <v>121</v>
      </c>
    </row>
    <row r="8" spans="2:8" x14ac:dyDescent="0.7">
      <c r="B8" s="79" t="s">
        <v>119</v>
      </c>
      <c r="C8" s="81">
        <f>HLOOKUP(C7,C2:H3,2,FALSE)</f>
        <v>13</v>
      </c>
    </row>
    <row r="9" spans="2:8" x14ac:dyDescent="0.7">
      <c r="B9" s="79" t="s">
        <v>126</v>
      </c>
      <c r="C9" s="81" t="str">
        <f>HLOOKUP(C7, C2:H4,3,FALSE)</f>
        <v>7 м/с</v>
      </c>
    </row>
    <row r="10" spans="2:8" ht="47.25" thickBot="1" x14ac:dyDescent="0.75">
      <c r="B10" s="72" t="s">
        <v>127</v>
      </c>
      <c r="C10" s="78" t="str">
        <f>HLOOKUP(C7, C2:H5, 4,FALSE)</f>
        <v>Ясно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8371-5316-4A7D-A7D4-3E3F19CA9236}">
  <dimension ref="B1:L14"/>
  <sheetViews>
    <sheetView zoomScale="40" zoomScaleNormal="40" workbookViewId="0">
      <selection activeCell="F12" sqref="F12"/>
    </sheetView>
  </sheetViews>
  <sheetFormatPr defaultRowHeight="46.5" x14ac:dyDescent="0.7"/>
  <cols>
    <col min="2" max="2" width="15.125" customWidth="1"/>
    <col min="3" max="3" width="16.95703125" customWidth="1"/>
    <col min="4" max="4" width="8.6640625" customWidth="1"/>
    <col min="5" max="5" width="10.83203125" customWidth="1"/>
    <col min="7" max="7" width="10.2890625" customWidth="1"/>
    <col min="8" max="8" width="10" customWidth="1"/>
    <col min="9" max="9" width="9.7890625" customWidth="1"/>
    <col min="10" max="10" width="10.125" customWidth="1"/>
  </cols>
  <sheetData>
    <row r="1" spans="2:12" ht="13.5" customHeight="1" thickBot="1" x14ac:dyDescent="0.75"/>
    <row r="2" spans="2:12" x14ac:dyDescent="0.7">
      <c r="B2" s="101" t="s">
        <v>0</v>
      </c>
      <c r="C2" s="94">
        <v>154</v>
      </c>
      <c r="D2" s="70">
        <v>240</v>
      </c>
      <c r="E2" s="70">
        <v>319</v>
      </c>
      <c r="F2" s="70">
        <v>331</v>
      </c>
      <c r="G2" s="70">
        <v>428</v>
      </c>
      <c r="H2" s="70">
        <v>451</v>
      </c>
      <c r="I2" s="70">
        <v>527</v>
      </c>
      <c r="J2" s="70">
        <v>540</v>
      </c>
      <c r="K2" s="70">
        <v>665</v>
      </c>
      <c r="L2" s="71">
        <v>981</v>
      </c>
    </row>
    <row r="3" spans="2:12" ht="93" x14ac:dyDescent="0.7">
      <c r="B3" s="102" t="s">
        <v>1</v>
      </c>
      <c r="C3" s="95" t="s">
        <v>6</v>
      </c>
      <c r="D3" s="82" t="s">
        <v>7</v>
      </c>
      <c r="E3" s="82" t="s">
        <v>8</v>
      </c>
      <c r="F3" s="82" t="s">
        <v>9</v>
      </c>
      <c r="G3" s="82" t="s">
        <v>10</v>
      </c>
      <c r="H3" s="82" t="s">
        <v>11</v>
      </c>
      <c r="I3" s="82" t="s">
        <v>12</v>
      </c>
      <c r="J3" s="82" t="s">
        <v>13</v>
      </c>
      <c r="K3" s="82" t="s">
        <v>14</v>
      </c>
      <c r="L3" s="87" t="s">
        <v>15</v>
      </c>
    </row>
    <row r="4" spans="2:12" s="1" customFormat="1" ht="93" x14ac:dyDescent="0.7">
      <c r="B4" s="103" t="s">
        <v>2</v>
      </c>
      <c r="C4" s="96" t="s">
        <v>16</v>
      </c>
      <c r="D4" s="83" t="s">
        <v>17</v>
      </c>
      <c r="E4" s="83" t="s">
        <v>18</v>
      </c>
      <c r="F4" s="83" t="s">
        <v>19</v>
      </c>
      <c r="G4" s="83" t="s">
        <v>20</v>
      </c>
      <c r="H4" s="83" t="s">
        <v>20</v>
      </c>
      <c r="I4" s="83" t="s">
        <v>21</v>
      </c>
      <c r="J4" s="83" t="s">
        <v>21</v>
      </c>
      <c r="K4" s="83" t="s">
        <v>22</v>
      </c>
      <c r="L4" s="88" t="s">
        <v>22</v>
      </c>
    </row>
    <row r="5" spans="2:12" x14ac:dyDescent="0.7">
      <c r="B5" s="103" t="s">
        <v>24</v>
      </c>
      <c r="C5" s="97">
        <v>168</v>
      </c>
      <c r="D5" s="84">
        <v>80</v>
      </c>
      <c r="E5" s="84">
        <v>176</v>
      </c>
      <c r="F5" s="84">
        <v>168</v>
      </c>
      <c r="G5" s="84">
        <v>144</v>
      </c>
      <c r="H5" s="84">
        <v>120</v>
      </c>
      <c r="I5" s="84">
        <v>168</v>
      </c>
      <c r="J5" s="84">
        <v>184</v>
      </c>
      <c r="K5" s="84">
        <v>168</v>
      </c>
      <c r="L5" s="89">
        <v>88</v>
      </c>
    </row>
    <row r="6" spans="2:12" x14ac:dyDescent="0.7">
      <c r="B6" s="103" t="s">
        <v>3</v>
      </c>
      <c r="C6" s="98">
        <v>136.30000000000001</v>
      </c>
      <c r="D6" s="85">
        <v>146.4</v>
      </c>
      <c r="E6" s="85">
        <v>120.5</v>
      </c>
      <c r="F6" s="85">
        <v>110</v>
      </c>
      <c r="G6" s="85">
        <v>120.8</v>
      </c>
      <c r="H6" s="85">
        <v>120.8</v>
      </c>
      <c r="I6" s="85">
        <v>136.30000000000001</v>
      </c>
      <c r="J6" s="85">
        <v>146.4</v>
      </c>
      <c r="K6" s="85">
        <v>110</v>
      </c>
      <c r="L6" s="90">
        <v>120.5</v>
      </c>
    </row>
    <row r="7" spans="2:12" x14ac:dyDescent="0.7">
      <c r="B7" s="102" t="s">
        <v>4</v>
      </c>
      <c r="C7" s="99">
        <v>0.13</v>
      </c>
      <c r="D7" s="86">
        <v>0.13</v>
      </c>
      <c r="E7" s="86">
        <v>0.14000000000000001</v>
      </c>
      <c r="F7" s="86">
        <v>0.1</v>
      </c>
      <c r="G7" s="86">
        <v>0.13</v>
      </c>
      <c r="H7" s="86">
        <v>0.13</v>
      </c>
      <c r="I7" s="86">
        <v>0.14000000000000001</v>
      </c>
      <c r="J7" s="86">
        <v>0.1</v>
      </c>
      <c r="K7" s="86">
        <v>0.13</v>
      </c>
      <c r="L7" s="91">
        <v>0.13</v>
      </c>
    </row>
    <row r="8" spans="2:12" x14ac:dyDescent="0.7">
      <c r="B8" s="102" t="s">
        <v>5</v>
      </c>
      <c r="C8" s="98">
        <v>100</v>
      </c>
      <c r="D8" s="85">
        <v>200</v>
      </c>
      <c r="E8" s="85">
        <v>300</v>
      </c>
      <c r="F8" s="85">
        <v>300</v>
      </c>
      <c r="G8" s="85">
        <v>100</v>
      </c>
      <c r="H8" s="85">
        <v>200</v>
      </c>
      <c r="I8" s="85">
        <v>300</v>
      </c>
      <c r="J8" s="85">
        <v>200</v>
      </c>
      <c r="K8" s="85">
        <v>100</v>
      </c>
      <c r="L8" s="90">
        <v>100</v>
      </c>
    </row>
    <row r="9" spans="2:12" ht="47.25" thickBot="1" x14ac:dyDescent="0.75">
      <c r="B9" s="104" t="s">
        <v>23</v>
      </c>
      <c r="C9" s="100">
        <v>0.08</v>
      </c>
      <c r="D9" s="92">
        <v>7.0000000000000007E-2</v>
      </c>
      <c r="E9" s="92">
        <v>0.03</v>
      </c>
      <c r="F9" s="92">
        <v>0.05</v>
      </c>
      <c r="G9" s="92">
        <v>0.05</v>
      </c>
      <c r="H9" s="92">
        <v>7.0000000000000007E-2</v>
      </c>
      <c r="I9" s="92">
        <v>0.04</v>
      </c>
      <c r="J9" s="92">
        <v>0.05</v>
      </c>
      <c r="K9" s="92">
        <v>0.01</v>
      </c>
      <c r="L9" s="93">
        <v>0.08</v>
      </c>
    </row>
    <row r="10" spans="2:12" ht="28.5" customHeight="1" thickBot="1" x14ac:dyDescent="0.75"/>
    <row r="11" spans="2:12" x14ac:dyDescent="0.7">
      <c r="B11" s="107" t="s">
        <v>102</v>
      </c>
      <c r="C11" s="105">
        <v>665</v>
      </c>
    </row>
    <row r="12" spans="2:12" x14ac:dyDescent="0.7">
      <c r="B12" s="108" t="s">
        <v>1</v>
      </c>
      <c r="C12" s="106" t="str">
        <f>HLOOKUP(C11,C2:L3,2,FALSE)</f>
        <v>Ковалев Эдуард</v>
      </c>
    </row>
    <row r="13" spans="2:12" x14ac:dyDescent="0.7">
      <c r="B13" s="108" t="s">
        <v>103</v>
      </c>
      <c r="C13" s="106" t="str">
        <f>HLOOKUP(C11, C2:L4,3,FALSE)</f>
        <v>Цех 14, участок 1</v>
      </c>
    </row>
    <row r="14" spans="2:12" ht="47.25" thickBot="1" x14ac:dyDescent="0.75">
      <c r="B14" s="109" t="s">
        <v>5</v>
      </c>
      <c r="C14" s="110">
        <f>HLOOKUP(C11,C2:L8,7,FALSE)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ВПР</vt:lpstr>
      <vt:lpstr>ПОИСКПОЗ</vt:lpstr>
      <vt:lpstr>ИНДЕКС</vt:lpstr>
      <vt:lpstr>ПОИСКПОЗ+ИНДЕКС</vt:lpstr>
      <vt:lpstr>ПРОСМОТР</vt:lpstr>
      <vt:lpstr>ПРОСМТОР 2</vt:lpstr>
      <vt:lpstr>ГПР</vt:lpstr>
      <vt:lpstr>ГПР 2</vt:lpstr>
      <vt:lpstr>ГПР 3</vt:lpstr>
      <vt:lpstr>ВПР ОШ</vt:lpstr>
      <vt:lpstr>ЕСЛИОШИБКА</vt:lpstr>
      <vt:lpstr>ПРОСМОТР 3</vt:lpstr>
      <vt:lpstr>ВПР прибл. поиск</vt:lpstr>
      <vt:lpstr>Поиск неск. критериям</vt:lpstr>
      <vt:lpstr>Поиск неск. крит 2</vt:lpstr>
      <vt:lpstr>Поиск посл. значения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2023-09-11T11:11:26Z</dcterms:created>
  <dcterms:modified xsi:type="dcterms:W3CDTF">2023-09-12T13:14:05Z</dcterms:modified>
</cp:coreProperties>
</file>