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MyWork\Learning\Профессия Project Manager - GeekBrains\Планирование и ведение проекта\"/>
    </mc:Choice>
  </mc:AlternateContent>
  <xr:revisionPtr revIDLastSave="0" documentId="8_{718B3388-C677-4BA8-AFB8-6F502E9B72CB}" xr6:coauthVersionLast="36" xr6:coauthVersionMax="36" xr10:uidLastSave="{00000000-0000-0000-0000-000000000000}"/>
  <bookViews>
    <workbookView xWindow="0" yWindow="458" windowWidth="28800" windowHeight="16223" xr2:uid="{00000000-000D-0000-FFFF-FFFF00000000}"/>
  </bookViews>
  <sheets>
    <sheet name="Каскад" sheetId="4" r:id="rId1"/>
    <sheet name="ФОТ" sheetId="2" r:id="rId2"/>
    <sheet name="Аренда" sheetId="3" r:id="rId3"/>
    <sheet name="Расчет 1-ой линии" sheetId="5" r:id="rId4"/>
    <sheet name="Скан. и оцифр. договоров" sheetId="6" r:id="rId5"/>
  </sheets>
  <definedNames>
    <definedName name="_xlnm.Print_Titles" localSheetId="0">Каскад!$A:$A,Каскад!#REF!</definedName>
    <definedName name="_xlnm.Print_Area" localSheetId="0">Каскад!$A$1:$B$28</definedName>
  </definedNames>
  <calcPr calcId="191029"/>
</workbook>
</file>

<file path=xl/calcChain.xml><?xml version="1.0" encoding="utf-8"?>
<calcChain xmlns="http://schemas.openxmlformats.org/spreadsheetml/2006/main">
  <c r="B21" i="4" l="1"/>
  <c r="B24" i="4"/>
  <c r="F4" i="6"/>
  <c r="B23" i="4"/>
  <c r="B22" i="4"/>
  <c r="C4" i="6"/>
  <c r="F3" i="3"/>
  <c r="B17" i="4" s="1"/>
  <c r="C20" i="2"/>
  <c r="B20" i="4"/>
  <c r="B27" i="4"/>
  <c r="B18" i="4"/>
  <c r="B15" i="4" l="1"/>
  <c r="B13" i="4"/>
  <c r="B11" i="4"/>
  <c r="B12" i="4"/>
  <c r="D14" i="2" l="1"/>
  <c r="D17" i="2"/>
  <c r="D16" i="2"/>
  <c r="D15" i="2"/>
  <c r="D13" i="2"/>
  <c r="D12" i="2"/>
  <c r="D11" i="2"/>
  <c r="D6" i="2"/>
  <c r="D8" i="2"/>
  <c r="D7" i="2"/>
  <c r="D5" i="2"/>
  <c r="D18" i="2" l="1"/>
  <c r="D9" i="2"/>
  <c r="D20" i="2"/>
  <c r="B5" i="4" s="1"/>
  <c r="B14" i="4"/>
  <c r="B10" i="4"/>
  <c r="D10" i="3"/>
  <c r="C10" i="3"/>
  <c r="D3" i="3"/>
  <c r="E5" i="5"/>
  <c r="B19" i="4"/>
  <c r="B16" i="4" l="1"/>
  <c r="B8" i="4"/>
  <c r="B9" i="4" l="1"/>
  <c r="B6" i="4"/>
  <c r="B7" i="4" l="1"/>
  <c r="B4" i="4" s="1"/>
  <c r="B3" i="4" s="1"/>
  <c r="B29" i="4" s="1"/>
  <c r="B30" i="4" l="1"/>
  <c r="B31" i="4" s="1"/>
  <c r="B32" i="4" s="1"/>
</calcChain>
</file>

<file path=xl/sharedStrings.xml><?xml version="1.0" encoding="utf-8"?>
<sst xmlns="http://schemas.openxmlformats.org/spreadsheetml/2006/main" count="82" uniqueCount="78">
  <si>
    <t>№</t>
  </si>
  <si>
    <t>Аренда помещений</t>
  </si>
  <si>
    <t>Аренда парковки</t>
  </si>
  <si>
    <t>Комплектующие для компьютеров, оргтехники</t>
  </si>
  <si>
    <t>Компьютеры и оргтехника (до 100 тыс. за ед.)</t>
  </si>
  <si>
    <t>Услуги связи</t>
  </si>
  <si>
    <t>Рентабельность 5%</t>
  </si>
  <si>
    <t>НДС 20%</t>
  </si>
  <si>
    <t>Должность</t>
  </si>
  <si>
    <t>ФОТ</t>
  </si>
  <si>
    <t>Аренда в месяц+клининг</t>
  </si>
  <si>
    <t>Площадь (кв.м.)</t>
  </si>
  <si>
    <t>Сумма</t>
  </si>
  <si>
    <t>В месяц руб.</t>
  </si>
  <si>
    <t>Норма кв.м/чел</t>
  </si>
  <si>
    <t>Год</t>
  </si>
  <si>
    <t>Наименование</t>
  </si>
  <si>
    <t>Парковка (в месяц)</t>
  </si>
  <si>
    <t>Подземная</t>
  </si>
  <si>
    <t>Стоимость</t>
  </si>
  <si>
    <t>Количество</t>
  </si>
  <si>
    <t>Devops</t>
  </si>
  <si>
    <t>Статья расходов</t>
  </si>
  <si>
    <t>1. Операционные расходы без НДС</t>
  </si>
  <si>
    <t>1.1. Расходы на оплату труда</t>
  </si>
  <si>
    <t xml:space="preserve"> Заработная плата</t>
  </si>
  <si>
    <t xml:space="preserve"> Премии</t>
  </si>
  <si>
    <t xml:space="preserve"> Страховые взносы</t>
  </si>
  <si>
    <t xml:space="preserve"> Резерв на оплату отпусков</t>
  </si>
  <si>
    <t xml:space="preserve"> Прочие выплаты</t>
  </si>
  <si>
    <t>1.2. Материалы</t>
  </si>
  <si>
    <t>Канцелярские товары</t>
  </si>
  <si>
    <t>1.3. Услуги обслуживающих организаций</t>
  </si>
  <si>
    <t>Уборка помещений, территорий, вывоз снега</t>
  </si>
  <si>
    <t>1.4. Услуги по аренде и лизингу</t>
  </si>
  <si>
    <t>1.5. Информационно-консультационные услуги</t>
  </si>
  <si>
    <t>Образовательные услуги</t>
  </si>
  <si>
    <t>Расходы без НДС</t>
  </si>
  <si>
    <t>Итого расходы с НДС</t>
  </si>
  <si>
    <t>1.6. Услуги подрядчиков</t>
  </si>
  <si>
    <t>1.7.Услуги связи</t>
  </si>
  <si>
    <t>Расчет работы 1-ой линии</t>
  </si>
  <si>
    <t>Количество обращений в месяц</t>
  </si>
  <si>
    <t>Цена за обработку обращения</t>
  </si>
  <si>
    <t>Единоразовый платеж</t>
  </si>
  <si>
    <t>Итоговая стоимость</t>
  </si>
  <si>
    <t>Звонки</t>
  </si>
  <si>
    <t>Письменные</t>
  </si>
  <si>
    <t>Субподряд (1-я линия)</t>
  </si>
  <si>
    <t>Каскад</t>
  </si>
  <si>
    <t>Штатное расписание по проекту "Каскад"</t>
  </si>
  <si>
    <t>Команда на 2020 год</t>
  </si>
  <si>
    <t>Руководитель проекта</t>
  </si>
  <si>
    <t>Сопровождение</t>
  </si>
  <si>
    <t>Продуктолог</t>
  </si>
  <si>
    <t>Аналитик</t>
  </si>
  <si>
    <t>Разработчик</t>
  </si>
  <si>
    <t>Мониторинг</t>
  </si>
  <si>
    <t>Разработчики (3 специалиста) - удаленно</t>
  </si>
  <si>
    <t>Итог на 2021 год</t>
  </si>
  <si>
    <t>Итог за 4 месяца 2020 года</t>
  </si>
  <si>
    <t>Итого на 2020-2021гг.</t>
  </si>
  <si>
    <t>FTE</t>
  </si>
  <si>
    <t>Площадка</t>
  </si>
  <si>
    <t>Сувар Плаза</t>
  </si>
  <si>
    <t>Многоуровневая</t>
  </si>
  <si>
    <t>Расходы на покупку ИС Каскад</t>
  </si>
  <si>
    <t>1.8.Расходы на покупку ИС Каскад</t>
  </si>
  <si>
    <t>Количество сотрудников по штатке:</t>
  </si>
  <si>
    <t>Оцифровка договоров</t>
  </si>
  <si>
    <t>Сканирование договоров</t>
  </si>
  <si>
    <t>Сканирование договоров в ПИЗО</t>
  </si>
  <si>
    <t>Стоимость сканирования</t>
  </si>
  <si>
    <t>Количество договоров по Республике Татарстан</t>
  </si>
  <si>
    <t>Сумма сканирования</t>
  </si>
  <si>
    <t>Стоимость оцифровки</t>
  </si>
  <si>
    <t>Сумма оцифровки</t>
  </si>
  <si>
    <t>Первоначальная настройка процесса оцифровки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</si>
</sst>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₽&quot;_-;\-* #,##0.00\ &quot;₽&quot;_-;_-* &quot;-&quot;??\ &quot;₽&quot;_-;_-@_-"/>
    <numFmt numFmtId="165" formatCode="#,##0.00;\(#,##0.00\)"/>
    <numFmt numFmtId="166" formatCode="_-* #,##0.0\ &quot;₽&quot;_-;\-* #,##0.0\ &quot;₽&quot;_-;_-* &quot;-&quot;??\ &quot;₽&quot;_-;_-@_-"/>
  </numFmts>
  <fonts count="20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Cambria"/>
      <family val="1"/>
    </font>
    <font>
      <sz val="11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theme="1"/>
      <name val="Arial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</font>
    <font>
      <sz val="10"/>
      <name val="Arial"/>
      <family val="2"/>
      <charset val="204"/>
    </font>
    <font>
      <sz val="12"/>
      <color theme="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9" fillId="0" borderId="0" applyFont="0" applyFill="0" applyBorder="0" applyAlignment="0" applyProtection="0"/>
    <xf numFmtId="0" fontId="9" fillId="0" borderId="0"/>
    <xf numFmtId="0" fontId="11" fillId="0" borderId="0"/>
    <xf numFmtId="164" fontId="1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6" fillId="0" borderId="0" xfId="0" applyFont="1"/>
    <xf numFmtId="0" fontId="5" fillId="4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3" xfId="0" applyFont="1" applyFill="1" applyBorder="1" applyAlignment="1"/>
    <xf numFmtId="165" fontId="8" fillId="2" borderId="1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0" xfId="0" applyFont="1" applyFill="1" applyAlignment="1"/>
    <xf numFmtId="0" fontId="3" fillId="3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9" xfId="0" applyBorder="1"/>
    <xf numFmtId="164" fontId="4" fillId="4" borderId="4" xfId="1" applyFont="1" applyFill="1" applyBorder="1" applyAlignment="1">
      <alignment horizontal="center"/>
    </xf>
    <xf numFmtId="164" fontId="6" fillId="0" borderId="0" xfId="0" applyNumberFormat="1" applyFont="1"/>
    <xf numFmtId="2" fontId="5" fillId="4" borderId="9" xfId="2" applyNumberFormat="1" applyFont="1" applyFill="1" applyBorder="1" applyAlignment="1">
      <alignment horizontal="center"/>
    </xf>
    <xf numFmtId="164" fontId="5" fillId="4" borderId="9" xfId="2" applyNumberFormat="1" applyFont="1" applyFill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11" fillId="0" borderId="0" xfId="3" applyAlignment="1">
      <alignment horizontal="left"/>
    </xf>
    <xf numFmtId="0" fontId="10" fillId="5" borderId="10" xfId="3" applyFont="1" applyFill="1" applyBorder="1" applyAlignment="1">
      <alignment horizontal="center" vertical="center" wrapText="1"/>
    </xf>
    <xf numFmtId="3" fontId="10" fillId="5" borderId="10" xfId="3" applyNumberFormat="1" applyFont="1" applyFill="1" applyBorder="1" applyAlignment="1">
      <alignment horizontal="center" vertical="center" wrapText="1"/>
    </xf>
    <xf numFmtId="0" fontId="12" fillId="0" borderId="0" xfId="3" applyFont="1"/>
    <xf numFmtId="0" fontId="13" fillId="0" borderId="13" xfId="3" applyFont="1" applyBorder="1" applyAlignment="1">
      <alignment vertical="top" wrapText="1"/>
    </xf>
    <xf numFmtId="37" fontId="13" fillId="0" borderId="10" xfId="3" applyNumberFormat="1" applyFont="1" applyBorder="1" applyAlignment="1">
      <alignment vertical="top" wrapText="1"/>
    </xf>
    <xf numFmtId="0" fontId="14" fillId="0" borderId="0" xfId="3" applyFont="1"/>
    <xf numFmtId="0" fontId="15" fillId="0" borderId="13" xfId="3" applyFont="1" applyBorder="1" applyAlignment="1">
      <alignment vertical="top" wrapText="1"/>
    </xf>
    <xf numFmtId="37" fontId="15" fillId="0" borderId="10" xfId="3" applyNumberFormat="1" applyFont="1" applyBorder="1" applyAlignment="1">
      <alignment vertical="top" wrapText="1"/>
    </xf>
    <xf numFmtId="0" fontId="15" fillId="0" borderId="13" xfId="3" applyFont="1" applyBorder="1" applyAlignment="1">
      <alignment horizontal="left" vertical="top" wrapText="1" indent="2"/>
    </xf>
    <xf numFmtId="37" fontId="15" fillId="6" borderId="10" xfId="3" applyNumberFormat="1" applyFont="1" applyFill="1" applyBorder="1" applyAlignment="1">
      <alignment vertical="top" wrapText="1"/>
    </xf>
    <xf numFmtId="0" fontId="1" fillId="0" borderId="0" xfId="3" applyFont="1"/>
    <xf numFmtId="0" fontId="16" fillId="0" borderId="0" xfId="3" applyFont="1"/>
    <xf numFmtId="0" fontId="13" fillId="0" borderId="0" xfId="3" applyFont="1"/>
    <xf numFmtId="0" fontId="13" fillId="7" borderId="10" xfId="3" applyFont="1" applyFill="1" applyBorder="1" applyAlignment="1">
      <alignment vertical="top" wrapText="1"/>
    </xf>
    <xf numFmtId="37" fontId="13" fillId="7" borderId="10" xfId="3" applyNumberFormat="1" applyFont="1" applyFill="1" applyBorder="1" applyAlignment="1">
      <alignment vertical="top" wrapText="1"/>
    </xf>
    <xf numFmtId="0" fontId="11" fillId="0" borderId="0" xfId="3"/>
    <xf numFmtId="0" fontId="13" fillId="0" borderId="10" xfId="3" applyFont="1" applyBorder="1" applyAlignment="1">
      <alignment vertical="top" wrapText="1"/>
    </xf>
    <xf numFmtId="3" fontId="11" fillId="0" borderId="0" xfId="3" applyNumberFormat="1" applyAlignment="1">
      <alignment horizontal="right" vertical="center"/>
    </xf>
    <xf numFmtId="0" fontId="9" fillId="0" borderId="0" xfId="2"/>
    <xf numFmtId="0" fontId="9" fillId="0" borderId="9" xfId="2" applyBorder="1" applyAlignment="1">
      <alignment horizontal="left" vertical="top" wrapText="1"/>
    </xf>
    <xf numFmtId="164" fontId="0" fillId="0" borderId="9" xfId="1" applyFont="1" applyBorder="1" applyAlignment="1"/>
    <xf numFmtId="164" fontId="9" fillId="0" borderId="9" xfId="2" applyNumberFormat="1" applyBorder="1"/>
    <xf numFmtId="4" fontId="0" fillId="0" borderId="9" xfId="0" applyNumberFormat="1" applyBorder="1"/>
    <xf numFmtId="0" fontId="9" fillId="0" borderId="9" xfId="0" applyFont="1" applyBorder="1"/>
    <xf numFmtId="0" fontId="17" fillId="0" borderId="9" xfId="0" applyFont="1" applyBorder="1" applyAlignment="1">
      <alignment horizontal="right" wrapText="1"/>
    </xf>
    <xf numFmtId="164" fontId="18" fillId="0" borderId="9" xfId="1" applyFont="1" applyBorder="1"/>
    <xf numFmtId="166" fontId="8" fillId="0" borderId="0" xfId="1" applyNumberFormat="1" applyFont="1" applyAlignment="1"/>
    <xf numFmtId="2" fontId="0" fillId="0" borderId="9" xfId="0" applyNumberFormat="1" applyBorder="1"/>
    <xf numFmtId="165" fontId="19" fillId="2" borderId="1" xfId="0" applyNumberFormat="1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top" wrapText="1"/>
    </xf>
    <xf numFmtId="164" fontId="0" fillId="0" borderId="9" xfId="1" applyFont="1" applyBorder="1" applyAlignment="1">
      <alignment horizontal="center" vertical="top"/>
    </xf>
    <xf numFmtId="0" fontId="9" fillId="8" borderId="9" xfId="0" applyFont="1" applyFill="1" applyBorder="1" applyAlignment="1">
      <alignment horizontal="center" vertical="top" wrapText="1"/>
    </xf>
    <xf numFmtId="164" fontId="0" fillId="8" borderId="9" xfId="1" applyFont="1" applyFill="1" applyBorder="1" applyAlignment="1">
      <alignment horizontal="center" vertical="top"/>
    </xf>
    <xf numFmtId="0" fontId="9" fillId="9" borderId="9" xfId="0" applyFont="1" applyFill="1" applyBorder="1" applyAlignment="1">
      <alignment horizontal="center" vertical="top" wrapText="1"/>
    </xf>
    <xf numFmtId="164" fontId="0" fillId="9" borderId="9" xfId="1" applyFont="1" applyFill="1" applyBorder="1" applyAlignment="1">
      <alignment horizontal="center" vertical="top"/>
    </xf>
    <xf numFmtId="3" fontId="10" fillId="0" borderId="11" xfId="3" applyNumberFormat="1" applyFont="1" applyBorder="1" applyAlignment="1">
      <alignment horizontal="left" vertical="center" wrapText="1"/>
    </xf>
    <xf numFmtId="3" fontId="10" fillId="0" borderId="12" xfId="3" applyNumberFormat="1" applyFont="1" applyBorder="1" applyAlignment="1">
      <alignment horizontal="left" vertical="center" wrapText="1"/>
    </xf>
    <xf numFmtId="0" fontId="5" fillId="4" borderId="8" xfId="0" applyFont="1" applyFill="1" applyBorder="1" applyAlignment="1">
      <alignment horizontal="center"/>
    </xf>
    <xf numFmtId="0" fontId="1" fillId="0" borderId="2" xfId="0" applyFont="1" applyBorder="1"/>
    <xf numFmtId="0" fontId="3" fillId="2" borderId="7" xfId="0" applyFont="1" applyFill="1" applyBorder="1" applyAlignment="1">
      <alignment horizontal="center"/>
    </xf>
    <xf numFmtId="0" fontId="1" fillId="0" borderId="7" xfId="0" applyFont="1" applyBorder="1"/>
    <xf numFmtId="0" fontId="3" fillId="0" borderId="6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/>
    <xf numFmtId="0" fontId="3" fillId="3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9" fillId="0" borderId="14" xfId="2" applyBorder="1" applyAlignment="1">
      <alignment horizontal="center"/>
    </xf>
    <xf numFmtId="0" fontId="9" fillId="0" borderId="15" xfId="2" applyBorder="1" applyAlignment="1">
      <alignment horizontal="center"/>
    </xf>
    <xf numFmtId="0" fontId="9" fillId="0" borderId="0" xfId="2" applyAlignment="1">
      <alignment horizontal="center"/>
    </xf>
    <xf numFmtId="0" fontId="9" fillId="0" borderId="9" xfId="2" applyBorder="1" applyAlignment="1">
      <alignment horizontal="center" vertical="center" wrapText="1"/>
    </xf>
    <xf numFmtId="0" fontId="9" fillId="0" borderId="9" xfId="2" applyBorder="1" applyAlignment="1">
      <alignment horizontal="left" vertical="top" wrapText="1"/>
    </xf>
    <xf numFmtId="0" fontId="9" fillId="0" borderId="0" xfId="0" applyFont="1" applyAlignment="1">
      <alignment horizontal="center"/>
    </xf>
  </cellXfs>
  <cellStyles count="6">
    <cellStyle name="Денежный" xfId="1" builtinId="4"/>
    <cellStyle name="Денежный 2" xfId="4" xr:uid="{00000000-0005-0000-0000-000001000000}"/>
    <cellStyle name="Денежный 2 2" xfId="5" xr:uid="{00000000-0005-0000-0000-000002000000}"/>
    <cellStyle name="Обычный" xfId="0" builtinId="0"/>
    <cellStyle name="Обычный 2" xfId="3" xr:uid="{00000000-0005-0000-0000-000004000000}"/>
    <cellStyle name="Обычный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C32"/>
  <sheetViews>
    <sheetView tabSelected="1" zoomScale="125" zoomScaleNormal="100" workbookViewId="0">
      <pane xSplit="1" ySplit="1" topLeftCell="B2" activePane="bottomRight" state="frozen"/>
      <selection pane="topRight" activeCell="B1" sqref="B1"/>
      <selection pane="bottomLeft" activeCell="A14" sqref="A14"/>
      <selection pane="bottomRight" activeCell="I16" sqref="I16"/>
    </sheetView>
  </sheetViews>
  <sheetFormatPr defaultColWidth="7" defaultRowHeight="11.55" customHeight="1" outlineLevelRow="2" outlineLevelCol="1" x14ac:dyDescent="0.3"/>
  <cols>
    <col min="1" max="1" width="33.33203125" style="25" customWidth="1"/>
    <col min="2" max="2" width="17" style="43" customWidth="1" outlineLevel="1"/>
    <col min="3" max="3" width="8" style="41" bestFit="1" customWidth="1"/>
    <col min="4" max="16384" width="7" style="41"/>
  </cols>
  <sheetData>
    <row r="1" spans="1:3" s="25" customFormat="1" ht="27" customHeight="1" x14ac:dyDescent="0.3">
      <c r="A1" s="61" t="s">
        <v>49</v>
      </c>
      <c r="B1" s="62"/>
    </row>
    <row r="2" spans="1:3" s="28" customFormat="1" ht="15" x14ac:dyDescent="0.4">
      <c r="A2" s="26" t="s">
        <v>22</v>
      </c>
      <c r="B2" s="27"/>
    </row>
    <row r="3" spans="1:3" s="31" customFormat="1" ht="16.5" customHeight="1" x14ac:dyDescent="0.4">
      <c r="A3" s="29" t="s">
        <v>23</v>
      </c>
      <c r="B3" s="30">
        <f>B4+B10+B14+B16+B19+B21+B25+B27</f>
        <v>48946835</v>
      </c>
    </row>
    <row r="4" spans="1:3" s="31" customFormat="1" ht="16.5" customHeight="1" outlineLevel="1" x14ac:dyDescent="0.4">
      <c r="A4" s="32" t="s">
        <v>24</v>
      </c>
      <c r="B4" s="33">
        <f>SUM(B5:B9)</f>
        <v>29591639</v>
      </c>
    </row>
    <row r="5" spans="1:3" s="31" customFormat="1" ht="16.5" customHeight="1" outlineLevel="2" x14ac:dyDescent="0.4">
      <c r="A5" s="34" t="s">
        <v>25</v>
      </c>
      <c r="B5" s="35">
        <f>ФОТ!D20</f>
        <v>17710000</v>
      </c>
      <c r="C5" s="36"/>
    </row>
    <row r="6" spans="1:3" s="31" customFormat="1" ht="16.5" customHeight="1" outlineLevel="2" x14ac:dyDescent="0.4">
      <c r="A6" s="34" t="s">
        <v>26</v>
      </c>
      <c r="B6" s="33">
        <f>B5/12</f>
        <v>1475833.3333333333</v>
      </c>
    </row>
    <row r="7" spans="1:3" s="31" customFormat="1" ht="16.5" customHeight="1" outlineLevel="2" x14ac:dyDescent="0.4">
      <c r="A7" s="34" t="s">
        <v>27</v>
      </c>
      <c r="B7" s="33">
        <f>(B6+B5+B8+B9)*0.302</f>
        <v>6863805.666666666</v>
      </c>
    </row>
    <row r="8" spans="1:3" s="31" customFormat="1" ht="16.5" customHeight="1" outlineLevel="2" x14ac:dyDescent="0.4">
      <c r="A8" s="34" t="s">
        <v>28</v>
      </c>
      <c r="B8" s="33">
        <f>B5*0.1</f>
        <v>1771000</v>
      </c>
    </row>
    <row r="9" spans="1:3" s="31" customFormat="1" ht="16.5" customHeight="1" outlineLevel="2" x14ac:dyDescent="0.4">
      <c r="A9" s="34" t="s">
        <v>29</v>
      </c>
      <c r="B9" s="33">
        <f>B5*0.1</f>
        <v>1771000</v>
      </c>
    </row>
    <row r="10" spans="1:3" s="31" customFormat="1" ht="16.5" customHeight="1" outlineLevel="1" x14ac:dyDescent="0.4">
      <c r="A10" s="32" t="s">
        <v>30</v>
      </c>
      <c r="B10" s="33">
        <f>SUM(B11:B13)</f>
        <v>581076</v>
      </c>
    </row>
    <row r="11" spans="1:3" s="31" customFormat="1" ht="16.5" customHeight="1" outlineLevel="2" x14ac:dyDescent="0.4">
      <c r="A11" s="34" t="s">
        <v>31</v>
      </c>
      <c r="B11" s="33">
        <f>7423*ФОТ!C20</f>
        <v>89076</v>
      </c>
    </row>
    <row r="12" spans="1:3" s="31" customFormat="1" ht="16.5" customHeight="1" outlineLevel="2" x14ac:dyDescent="0.4">
      <c r="A12" s="34" t="s">
        <v>3</v>
      </c>
      <c r="B12" s="33">
        <f>6000*ФОТ!C20</f>
        <v>72000</v>
      </c>
    </row>
    <row r="13" spans="1:3" s="31" customFormat="1" ht="16.5" customHeight="1" outlineLevel="2" x14ac:dyDescent="0.4">
      <c r="A13" s="34" t="s">
        <v>4</v>
      </c>
      <c r="B13" s="33">
        <f>35000*ФОТ!C20</f>
        <v>420000</v>
      </c>
    </row>
    <row r="14" spans="1:3" s="31" customFormat="1" ht="16.5" customHeight="1" outlineLevel="1" x14ac:dyDescent="0.4">
      <c r="A14" s="32" t="s">
        <v>32</v>
      </c>
      <c r="B14" s="33">
        <f>B15</f>
        <v>42120</v>
      </c>
    </row>
    <row r="15" spans="1:3" s="31" customFormat="1" ht="16.5" customHeight="1" outlineLevel="2" x14ac:dyDescent="0.4">
      <c r="A15" s="34" t="s">
        <v>33</v>
      </c>
      <c r="B15" s="33">
        <f>65*4.5*ФОТ!C20*12</f>
        <v>42120</v>
      </c>
    </row>
    <row r="16" spans="1:3" s="31" customFormat="1" ht="16.5" customHeight="1" outlineLevel="1" x14ac:dyDescent="0.4">
      <c r="A16" s="32" t="s">
        <v>34</v>
      </c>
      <c r="B16" s="33">
        <f>SUM(B17:B18)</f>
        <v>1158000</v>
      </c>
      <c r="C16" s="37">
        <v>1141.1864094372083</v>
      </c>
    </row>
    <row r="17" spans="1:2" s="31" customFormat="1" ht="16.5" customHeight="1" outlineLevel="2" x14ac:dyDescent="0.4">
      <c r="A17" s="34" t="s">
        <v>1</v>
      </c>
      <c r="B17" s="33">
        <f>Аренда!F3</f>
        <v>972000</v>
      </c>
    </row>
    <row r="18" spans="1:2" s="31" customFormat="1" ht="16.5" customHeight="1" outlineLevel="2" x14ac:dyDescent="0.4">
      <c r="A18" s="34" t="s">
        <v>2</v>
      </c>
      <c r="B18" s="33">
        <f>SUM(Аренда!C10:D10)*12</f>
        <v>186000</v>
      </c>
    </row>
    <row r="19" spans="1:2" s="31" customFormat="1" ht="16.5" customHeight="1" outlineLevel="1" x14ac:dyDescent="0.4">
      <c r="A19" s="32" t="s">
        <v>35</v>
      </c>
      <c r="B19" s="33">
        <f>B20</f>
        <v>120000</v>
      </c>
    </row>
    <row r="20" spans="1:2" s="38" customFormat="1" ht="18.75" customHeight="1" outlineLevel="2" x14ac:dyDescent="0.4">
      <c r="A20" s="34" t="s">
        <v>36</v>
      </c>
      <c r="B20" s="33">
        <f>10000*ФОТ!C20</f>
        <v>120000</v>
      </c>
    </row>
    <row r="21" spans="1:2" s="38" customFormat="1" ht="18.75" customHeight="1" outlineLevel="2" x14ac:dyDescent="0.4">
      <c r="A21" s="32" t="s">
        <v>39</v>
      </c>
      <c r="B21" s="33">
        <f>SUM(B22:B24)</f>
        <v>1962000</v>
      </c>
    </row>
    <row r="22" spans="1:2" s="38" customFormat="1" ht="18.75" customHeight="1" outlineLevel="2" x14ac:dyDescent="0.4">
      <c r="A22" s="34" t="s">
        <v>48</v>
      </c>
      <c r="B22" s="33">
        <f>'Расчет 1-ой линии'!E5</f>
        <v>152000</v>
      </c>
    </row>
    <row r="23" spans="1:2" s="38" customFormat="1" ht="18.75" customHeight="1" outlineLevel="2" x14ac:dyDescent="0.4">
      <c r="A23" s="34" t="s">
        <v>70</v>
      </c>
      <c r="B23" s="33">
        <f>'Скан. и оцифр. договоров'!C4</f>
        <v>440000</v>
      </c>
    </row>
    <row r="24" spans="1:2" s="38" customFormat="1" ht="18.75" customHeight="1" outlineLevel="2" x14ac:dyDescent="0.4">
      <c r="A24" s="34" t="s">
        <v>69</v>
      </c>
      <c r="B24" s="33">
        <f>'Скан. и оцифр. договоров'!F4</f>
        <v>1370000</v>
      </c>
    </row>
    <row r="25" spans="1:2" s="38" customFormat="1" ht="18.75" customHeight="1" outlineLevel="2" x14ac:dyDescent="0.4">
      <c r="A25" s="32" t="s">
        <v>40</v>
      </c>
      <c r="B25" s="33">
        <v>12000</v>
      </c>
    </row>
    <row r="26" spans="1:2" s="38" customFormat="1" ht="18.75" customHeight="1" outlineLevel="2" x14ac:dyDescent="0.4">
      <c r="A26" s="34" t="s">
        <v>5</v>
      </c>
      <c r="B26" s="33">
        <v>12000</v>
      </c>
    </row>
    <row r="27" spans="1:2" s="38" customFormat="1" ht="18.75" customHeight="1" outlineLevel="2" x14ac:dyDescent="0.4">
      <c r="A27" s="32" t="s">
        <v>67</v>
      </c>
      <c r="B27" s="33">
        <f>B28</f>
        <v>15480000</v>
      </c>
    </row>
    <row r="28" spans="1:2" s="38" customFormat="1" ht="18.75" customHeight="1" outlineLevel="2" x14ac:dyDescent="0.4">
      <c r="A28" s="34" t="s">
        <v>66</v>
      </c>
      <c r="B28" s="33">
        <v>15480000</v>
      </c>
    </row>
    <row r="29" spans="1:2" ht="18" customHeight="1" x14ac:dyDescent="0.3">
      <c r="A29" s="39" t="s">
        <v>37</v>
      </c>
      <c r="B29" s="40">
        <f>B3</f>
        <v>48946835</v>
      </c>
    </row>
    <row r="30" spans="1:2" ht="18" customHeight="1" x14ac:dyDescent="0.3">
      <c r="A30" s="42" t="s">
        <v>6</v>
      </c>
      <c r="B30" s="30">
        <f>B29/100*5</f>
        <v>2447341.75</v>
      </c>
    </row>
    <row r="31" spans="1:2" s="38" customFormat="1" ht="18.75" customHeight="1" x14ac:dyDescent="0.4">
      <c r="A31" s="42" t="s">
        <v>7</v>
      </c>
      <c r="B31" s="30">
        <f>(B29+B30)*0.2</f>
        <v>10278835.350000001</v>
      </c>
    </row>
    <row r="32" spans="1:2" ht="19.5" customHeight="1" x14ac:dyDescent="0.3">
      <c r="A32" s="39" t="s">
        <v>38</v>
      </c>
      <c r="B32" s="40">
        <f>B31+B29+B30</f>
        <v>61673012.100000001</v>
      </c>
    </row>
  </sheetData>
  <mergeCells count="1">
    <mergeCell ref="A1:B1"/>
  </mergeCells>
  <pageMargins left="0.23622047244094491" right="0.23622047244094491" top="0.74803149606299213" bottom="0.74803149606299213" header="0.31496062992125984" footer="0.31496062992125984"/>
  <pageSetup paperSize="9" fitToWidth="2" fitToHeight="2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0"/>
  <sheetViews>
    <sheetView zoomScale="209" workbookViewId="0">
      <selection activeCell="B17" sqref="B17"/>
    </sheetView>
  </sheetViews>
  <sheetFormatPr defaultColWidth="14.46484375" defaultRowHeight="15.75" customHeight="1" x14ac:dyDescent="0.35"/>
  <cols>
    <col min="1" max="1" width="38.1328125" customWidth="1"/>
    <col min="2" max="2" width="20.6640625" customWidth="1"/>
    <col min="4" max="4" width="17" customWidth="1"/>
  </cols>
  <sheetData>
    <row r="1" spans="1:4" ht="15.75" customHeight="1" x14ac:dyDescent="0.35">
      <c r="A1" s="63" t="s">
        <v>50</v>
      </c>
      <c r="B1" s="64"/>
      <c r="C1" s="1"/>
    </row>
    <row r="2" spans="1:4" ht="15.75" customHeight="1" x14ac:dyDescent="0.35">
      <c r="A2" s="2"/>
      <c r="B2" s="2"/>
      <c r="C2" s="1"/>
    </row>
    <row r="3" spans="1:4" ht="15.75" customHeight="1" x14ac:dyDescent="0.35">
      <c r="A3" s="2" t="s">
        <v>51</v>
      </c>
      <c r="B3" s="2"/>
      <c r="C3" s="1"/>
    </row>
    <row r="4" spans="1:4" ht="15.75" customHeight="1" x14ac:dyDescent="0.35">
      <c r="A4" s="3" t="s">
        <v>8</v>
      </c>
      <c r="B4" s="4" t="s">
        <v>9</v>
      </c>
      <c r="C4" s="4" t="s">
        <v>62</v>
      </c>
      <c r="D4" s="4"/>
    </row>
    <row r="5" spans="1:4" ht="15.75" customHeight="1" x14ac:dyDescent="0.35">
      <c r="A5" s="18" t="s">
        <v>52</v>
      </c>
      <c r="B5" s="48">
        <v>100000</v>
      </c>
      <c r="C5" s="48">
        <v>1</v>
      </c>
      <c r="D5" s="48">
        <f>B5*C5</f>
        <v>100000</v>
      </c>
    </row>
    <row r="6" spans="1:4" ht="15.75" customHeight="1" x14ac:dyDescent="0.35">
      <c r="A6" s="49" t="s">
        <v>58</v>
      </c>
      <c r="B6" s="48">
        <v>400000</v>
      </c>
      <c r="C6" s="48">
        <v>1</v>
      </c>
      <c r="D6" s="48">
        <f>B6*C6</f>
        <v>400000</v>
      </c>
    </row>
    <row r="7" spans="1:4" ht="15.75" customHeight="1" x14ac:dyDescent="0.35">
      <c r="A7" s="49" t="s">
        <v>53</v>
      </c>
      <c r="B7" s="48">
        <v>60000</v>
      </c>
      <c r="C7" s="53">
        <v>2</v>
      </c>
      <c r="D7" s="48">
        <f t="shared" ref="D7" si="0">B7*C7</f>
        <v>120000</v>
      </c>
    </row>
    <row r="8" spans="1:4" ht="15.75" customHeight="1" x14ac:dyDescent="0.35">
      <c r="A8" s="18" t="s">
        <v>21</v>
      </c>
      <c r="B8" s="48">
        <v>250000</v>
      </c>
      <c r="C8" s="53">
        <v>0.2</v>
      </c>
      <c r="D8" s="48">
        <f>B8*C8</f>
        <v>50000</v>
      </c>
    </row>
    <row r="9" spans="1:4" ht="21" x14ac:dyDescent="0.4">
      <c r="A9" s="18"/>
      <c r="B9" s="18"/>
      <c r="C9" s="50" t="s">
        <v>60</v>
      </c>
      <c r="D9" s="51">
        <f>SUM(D5:D8)*4</f>
        <v>2680000</v>
      </c>
    </row>
    <row r="10" spans="1:4" ht="15.75" customHeight="1" x14ac:dyDescent="0.35">
      <c r="A10" s="18"/>
      <c r="B10" s="18"/>
      <c r="C10" s="18"/>
      <c r="D10" s="18"/>
    </row>
    <row r="11" spans="1:4" ht="15.75" customHeight="1" x14ac:dyDescent="0.35">
      <c r="A11" s="18" t="s">
        <v>52</v>
      </c>
      <c r="B11" s="48">
        <v>100000</v>
      </c>
      <c r="C11" s="48">
        <v>1</v>
      </c>
      <c r="D11" s="48">
        <f>B11*C11</f>
        <v>100000</v>
      </c>
    </row>
    <row r="12" spans="1:4" ht="15.75" customHeight="1" x14ac:dyDescent="0.35">
      <c r="A12" s="18" t="s">
        <v>54</v>
      </c>
      <c r="B12" s="48">
        <v>100000</v>
      </c>
      <c r="C12" s="48">
        <v>1</v>
      </c>
      <c r="D12" s="48">
        <f t="shared" ref="D12:D17" si="1">B12*C12</f>
        <v>100000</v>
      </c>
    </row>
    <row r="13" spans="1:4" ht="15.75" customHeight="1" x14ac:dyDescent="0.35">
      <c r="A13" s="18" t="s">
        <v>55</v>
      </c>
      <c r="B13" s="48">
        <v>100000</v>
      </c>
      <c r="C13" s="48">
        <v>1</v>
      </c>
      <c r="D13" s="48">
        <f t="shared" si="1"/>
        <v>100000</v>
      </c>
    </row>
    <row r="14" spans="1:4" ht="15.75" customHeight="1" x14ac:dyDescent="0.35">
      <c r="A14" s="18" t="s">
        <v>56</v>
      </c>
      <c r="B14" s="48">
        <v>165000</v>
      </c>
      <c r="C14" s="48">
        <v>3</v>
      </c>
      <c r="D14" s="48">
        <f>B14*C14</f>
        <v>495000</v>
      </c>
    </row>
    <row r="15" spans="1:4" ht="15.75" customHeight="1" x14ac:dyDescent="0.35">
      <c r="A15" s="18" t="s">
        <v>53</v>
      </c>
      <c r="B15" s="48">
        <v>60000</v>
      </c>
      <c r="C15" s="48">
        <v>4</v>
      </c>
      <c r="D15" s="48">
        <f t="shared" si="1"/>
        <v>240000</v>
      </c>
    </row>
    <row r="16" spans="1:4" ht="15.75" customHeight="1" x14ac:dyDescent="0.35">
      <c r="A16" s="18" t="s">
        <v>21</v>
      </c>
      <c r="B16" s="48">
        <v>250000</v>
      </c>
      <c r="C16" s="48">
        <v>0.75</v>
      </c>
      <c r="D16" s="48">
        <f t="shared" si="1"/>
        <v>187500</v>
      </c>
    </row>
    <row r="17" spans="1:4" ht="15.75" customHeight="1" x14ac:dyDescent="0.35">
      <c r="A17" s="18" t="s">
        <v>57</v>
      </c>
      <c r="B17" s="48">
        <v>120000</v>
      </c>
      <c r="C17" s="48">
        <v>0.25</v>
      </c>
      <c r="D17" s="48">
        <f t="shared" si="1"/>
        <v>30000</v>
      </c>
    </row>
    <row r="18" spans="1:4" ht="15.75" customHeight="1" x14ac:dyDescent="0.4">
      <c r="A18" s="18"/>
      <c r="B18" s="18"/>
      <c r="C18" s="50" t="s">
        <v>59</v>
      </c>
      <c r="D18" s="51">
        <f>SUM(D11:D17)*12</f>
        <v>15030000</v>
      </c>
    </row>
    <row r="19" spans="1:4" ht="15.75" customHeight="1" x14ac:dyDescent="0.35">
      <c r="A19" s="18"/>
      <c r="B19" s="18"/>
      <c r="C19" s="18"/>
      <c r="D19" s="18"/>
    </row>
    <row r="20" spans="1:4" ht="22.9" x14ac:dyDescent="0.35">
      <c r="A20" s="5" t="s">
        <v>61</v>
      </c>
      <c r="B20" s="54" t="s">
        <v>68</v>
      </c>
      <c r="C20" s="6">
        <f>SUM(C11:C17)+1</f>
        <v>12</v>
      </c>
      <c r="D20" s="6">
        <f>D9+D18</f>
        <v>17710000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4"/>
  <sheetViews>
    <sheetView zoomScale="175" workbookViewId="0">
      <selection activeCell="F3" sqref="F3"/>
    </sheetView>
  </sheetViews>
  <sheetFormatPr defaultColWidth="14.46484375" defaultRowHeight="15.75" customHeight="1" x14ac:dyDescent="0.35"/>
  <cols>
    <col min="1" max="1" width="11.33203125" bestFit="1" customWidth="1"/>
    <col min="2" max="2" width="17.46484375" customWidth="1"/>
    <col min="3" max="4" width="16.796875" customWidth="1"/>
    <col min="5" max="5" width="21" customWidth="1"/>
    <col min="6" max="6" width="26.33203125" customWidth="1"/>
  </cols>
  <sheetData>
    <row r="1" spans="1:7" ht="15.75" customHeight="1" x14ac:dyDescent="0.35">
      <c r="A1" s="7"/>
      <c r="B1" s="65" t="s">
        <v>10</v>
      </c>
      <c r="C1" s="66"/>
      <c r="D1" s="66"/>
      <c r="E1" s="66"/>
      <c r="F1" s="64"/>
      <c r="G1" s="8"/>
    </row>
    <row r="2" spans="1:7" ht="15.75" customHeight="1" x14ac:dyDescent="0.35">
      <c r="A2" s="9" t="s">
        <v>63</v>
      </c>
      <c r="B2" s="10" t="s">
        <v>11</v>
      </c>
      <c r="C2" s="10" t="s">
        <v>12</v>
      </c>
      <c r="D2" s="10" t="s">
        <v>13</v>
      </c>
      <c r="E2" s="10" t="s">
        <v>14</v>
      </c>
      <c r="F2" s="10"/>
      <c r="G2" s="11"/>
    </row>
    <row r="3" spans="1:7" ht="15.75" customHeight="1" x14ac:dyDescent="0.35">
      <c r="A3" s="24" t="s">
        <v>64</v>
      </c>
      <c r="B3" s="21">
        <v>944.13</v>
      </c>
      <c r="C3" s="52">
        <v>15578145</v>
      </c>
      <c r="D3" s="22">
        <f>C3/11/B3</f>
        <v>1500</v>
      </c>
      <c r="E3" s="23">
        <v>4.5</v>
      </c>
      <c r="F3" s="22">
        <f>(E3*D3)*ФОТ!C20*12</f>
        <v>972000</v>
      </c>
      <c r="G3" s="12"/>
    </row>
    <row r="4" spans="1:7" ht="15.75" customHeight="1" x14ac:dyDescent="0.35">
      <c r="A4" s="11"/>
      <c r="B4" s="11"/>
      <c r="C4" s="11"/>
      <c r="D4" s="11"/>
      <c r="E4" s="11"/>
      <c r="F4" s="11"/>
      <c r="G4" s="11"/>
    </row>
    <row r="5" spans="1:7" ht="15.75" customHeight="1" x14ac:dyDescent="0.35">
      <c r="A5" s="67" t="s">
        <v>0</v>
      </c>
      <c r="B5" s="71" t="s">
        <v>17</v>
      </c>
      <c r="C5" s="65"/>
      <c r="D5" s="65"/>
      <c r="E5" s="11"/>
      <c r="G5" s="11"/>
    </row>
    <row r="6" spans="1:7" ht="15.75" customHeight="1" x14ac:dyDescent="0.35">
      <c r="A6" s="68"/>
      <c r="B6" s="14" t="s">
        <v>16</v>
      </c>
      <c r="C6" s="15" t="s">
        <v>65</v>
      </c>
      <c r="D6" s="15" t="s">
        <v>18</v>
      </c>
      <c r="E6" s="11"/>
    </row>
    <row r="7" spans="1:7" ht="15.75" customHeight="1" x14ac:dyDescent="0.35">
      <c r="A7" s="69"/>
      <c r="B7" s="10" t="s">
        <v>15</v>
      </c>
      <c r="C7" s="70">
        <v>2020</v>
      </c>
      <c r="D7" s="64"/>
      <c r="E7" s="11"/>
    </row>
    <row r="8" spans="1:7" ht="15.75" customHeight="1" x14ac:dyDescent="0.35">
      <c r="A8" s="13">
        <v>1</v>
      </c>
      <c r="B8" s="16" t="s">
        <v>19</v>
      </c>
      <c r="C8" s="17">
        <v>3500</v>
      </c>
      <c r="D8" s="17">
        <v>5000</v>
      </c>
      <c r="E8" s="11"/>
    </row>
    <row r="9" spans="1:7" ht="15.75" customHeight="1" x14ac:dyDescent="0.35">
      <c r="A9" s="13">
        <v>2</v>
      </c>
      <c r="B9" s="16" t="s">
        <v>20</v>
      </c>
      <c r="C9" s="16">
        <v>3</v>
      </c>
      <c r="D9" s="16">
        <v>1</v>
      </c>
      <c r="E9" s="11"/>
    </row>
    <row r="10" spans="1:7" ht="15.75" customHeight="1" x14ac:dyDescent="0.35">
      <c r="A10" s="13">
        <v>3</v>
      </c>
      <c r="B10" s="16" t="s">
        <v>12</v>
      </c>
      <c r="C10" s="16">
        <f>C8*C9</f>
        <v>10500</v>
      </c>
      <c r="D10" s="16">
        <f t="shared" ref="D10" si="0">D8*D9</f>
        <v>5000</v>
      </c>
      <c r="E10" s="11"/>
    </row>
    <row r="11" spans="1:7" ht="15.75" customHeight="1" x14ac:dyDescent="0.35">
      <c r="A11" s="11"/>
      <c r="B11" s="11"/>
      <c r="C11" s="11"/>
      <c r="D11" s="11"/>
      <c r="E11" s="11"/>
      <c r="F11" s="11"/>
      <c r="G11" s="11"/>
    </row>
    <row r="12" spans="1:7" ht="15.75" customHeight="1" x14ac:dyDescent="0.35">
      <c r="A12" s="1"/>
      <c r="B12" s="1"/>
      <c r="C12" s="1"/>
      <c r="D12" s="1"/>
      <c r="E12" s="1"/>
      <c r="F12" s="1"/>
      <c r="G12" s="1"/>
    </row>
    <row r="13" spans="1:7" ht="15.75" customHeight="1" x14ac:dyDescent="0.35">
      <c r="A13" s="1"/>
      <c r="B13" s="1"/>
      <c r="C13" s="1"/>
      <c r="D13" s="1"/>
      <c r="E13" s="1"/>
      <c r="F13" s="1"/>
      <c r="G13" s="1"/>
    </row>
    <row r="14" spans="1:7" ht="15.75" customHeight="1" x14ac:dyDescent="0.35">
      <c r="A14" s="1"/>
      <c r="B14" s="1"/>
      <c r="C14" s="19"/>
      <c r="D14" s="20"/>
      <c r="E14" s="20"/>
      <c r="F14" s="1"/>
      <c r="G14" s="1"/>
    </row>
  </sheetData>
  <mergeCells count="4">
    <mergeCell ref="B1:F1"/>
    <mergeCell ref="A5:A7"/>
    <mergeCell ref="C7:D7"/>
    <mergeCell ref="B5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225" workbookViewId="0">
      <selection activeCell="D5" sqref="D5"/>
    </sheetView>
  </sheetViews>
  <sheetFormatPr defaultColWidth="10.796875" defaultRowHeight="12.75" x14ac:dyDescent="0.35"/>
  <cols>
    <col min="1" max="1" width="10.796875" style="44"/>
    <col min="2" max="2" width="11" style="44" bestFit="1" customWidth="1"/>
    <col min="3" max="3" width="12.796875" style="44" customWidth="1"/>
    <col min="4" max="4" width="18.796875" style="44" bestFit="1" customWidth="1"/>
    <col min="5" max="5" width="13.86328125" style="44" customWidth="1"/>
    <col min="6" max="16384" width="10.796875" style="44"/>
  </cols>
  <sheetData>
    <row r="1" spans="1:5" x14ac:dyDescent="0.35">
      <c r="A1" s="74" t="s">
        <v>41</v>
      </c>
      <c r="B1" s="74"/>
      <c r="C1" s="74"/>
      <c r="D1" s="74"/>
      <c r="E1" s="74"/>
    </row>
    <row r="3" spans="1:5" ht="27" customHeight="1" x14ac:dyDescent="0.35">
      <c r="A3" s="75" t="s">
        <v>42</v>
      </c>
      <c r="B3" s="75"/>
      <c r="C3" s="76" t="s">
        <v>43</v>
      </c>
      <c r="D3" s="76" t="s">
        <v>44</v>
      </c>
      <c r="E3" s="76" t="s">
        <v>45</v>
      </c>
    </row>
    <row r="4" spans="1:5" ht="25.5" x14ac:dyDescent="0.35">
      <c r="A4" s="45" t="s">
        <v>46</v>
      </c>
      <c r="B4" s="45" t="s">
        <v>47</v>
      </c>
      <c r="C4" s="76"/>
      <c r="D4" s="76"/>
      <c r="E4" s="76"/>
    </row>
    <row r="5" spans="1:5" x14ac:dyDescent="0.35">
      <c r="A5" s="72">
        <v>300</v>
      </c>
      <c r="B5" s="73"/>
      <c r="C5" s="46">
        <v>40</v>
      </c>
      <c r="D5" s="46">
        <v>8000</v>
      </c>
      <c r="E5" s="47">
        <f>(A5*C5*12)+D5</f>
        <v>152000</v>
      </c>
    </row>
  </sheetData>
  <mergeCells count="6">
    <mergeCell ref="A5:B5"/>
    <mergeCell ref="A1:E1"/>
    <mergeCell ref="A3:B3"/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F332-DAC7-6E48-9762-F32020BE4F7E}">
  <dimension ref="A1:F4"/>
  <sheetViews>
    <sheetView zoomScale="226" workbookViewId="0">
      <selection activeCell="F5" sqref="F5"/>
    </sheetView>
  </sheetViews>
  <sheetFormatPr defaultColWidth="10.6640625" defaultRowHeight="12.75" x14ac:dyDescent="0.35"/>
  <cols>
    <col min="1" max="1" width="22.6640625" customWidth="1"/>
    <col min="2" max="2" width="12.1328125" bestFit="1" customWidth="1"/>
    <col min="3" max="3" width="13.265625" customWidth="1"/>
    <col min="5" max="5" width="17" customWidth="1"/>
    <col min="6" max="6" width="14.19921875" customWidth="1"/>
  </cols>
  <sheetData>
    <row r="1" spans="1:6" x14ac:dyDescent="0.35">
      <c r="A1" s="77" t="s">
        <v>71</v>
      </c>
      <c r="B1" s="77"/>
      <c r="C1" s="77"/>
    </row>
    <row r="3" spans="1:6" ht="51" x14ac:dyDescent="0.35">
      <c r="A3" s="55" t="s">
        <v>73</v>
      </c>
      <c r="B3" s="57" t="s">
        <v>72</v>
      </c>
      <c r="C3" s="57" t="s">
        <v>74</v>
      </c>
      <c r="D3" s="59" t="s">
        <v>75</v>
      </c>
      <c r="E3" s="59" t="s">
        <v>77</v>
      </c>
      <c r="F3" s="59" t="s">
        <v>76</v>
      </c>
    </row>
    <row r="4" spans="1:6" x14ac:dyDescent="0.35">
      <c r="A4" s="56">
        <v>44000</v>
      </c>
      <c r="B4" s="58">
        <v>10</v>
      </c>
      <c r="C4" s="58">
        <f>A4*B4</f>
        <v>440000</v>
      </c>
      <c r="D4" s="60">
        <v>30</v>
      </c>
      <c r="E4" s="60">
        <v>50000</v>
      </c>
      <c r="F4" s="60">
        <f>(A4*D4)+E4</f>
        <v>1370000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Каскад</vt:lpstr>
      <vt:lpstr>ФОТ</vt:lpstr>
      <vt:lpstr>Аренда</vt:lpstr>
      <vt:lpstr>Расчет 1-ой линии</vt:lpstr>
      <vt:lpstr>Скан. и оцифр. договоров</vt:lpstr>
      <vt:lpstr>Каскад!Область_печати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Denis</cp:lastModifiedBy>
  <dcterms:created xsi:type="dcterms:W3CDTF">2020-11-03T11:25:31Z</dcterms:created>
  <dcterms:modified xsi:type="dcterms:W3CDTF">2022-04-17T13:48:28Z</dcterms:modified>
</cp:coreProperties>
</file>