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VALIAÇÃO DE IMÓVEIS\"/>
    </mc:Choice>
  </mc:AlternateContent>
  <bookViews>
    <workbookView xWindow="0" yWindow="0" windowWidth="20490" windowHeight="7755"/>
  </bookViews>
  <sheets>
    <sheet name="IA edificado e Rs edificados" sheetId="2" r:id="rId1"/>
    <sheet name="IA terreno e Rs terrenos" sheetId="8" r:id="rId2"/>
    <sheet name="IA edificado e Rs terrenos" sheetId="4" r:id="rId3"/>
    <sheet name="IA terreno e Rs edificados" sheetId="6" r:id="rId4"/>
    <sheet name="Tabela Ross-Heidecke" sheetId="7" r:id="rId5"/>
    <sheet name="Tabelas de Fatores" sheetId="9" r:id="rId6"/>
  </sheets>
  <calcPr calcId="152511" concurrentCalc="0"/>
</workbook>
</file>

<file path=xl/calcChain.xml><?xml version="1.0" encoding="utf-8"?>
<calcChain xmlns="http://schemas.openxmlformats.org/spreadsheetml/2006/main">
  <c r="T16" i="6" l="1"/>
  <c r="K15" i="2"/>
  <c r="L15" i="2"/>
  <c r="K16" i="2"/>
  <c r="C24" i="7"/>
  <c r="C22" i="7"/>
  <c r="C19" i="7"/>
  <c r="D34" i="4"/>
  <c r="D44" i="6"/>
  <c r="D43" i="6"/>
  <c r="D42" i="6"/>
  <c r="D41" i="6"/>
  <c r="D40" i="6"/>
  <c r="D39" i="6"/>
  <c r="D38" i="6"/>
  <c r="D37" i="6"/>
  <c r="D36" i="6"/>
  <c r="D35" i="6"/>
  <c r="C24" i="9"/>
  <c r="C31" i="9"/>
  <c r="C26" i="9"/>
  <c r="C32" i="9"/>
  <c r="C28" i="9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D59" i="6"/>
  <c r="D58" i="6"/>
  <c r="D57" i="6"/>
  <c r="D56" i="6"/>
  <c r="D55" i="6"/>
  <c r="D51" i="6"/>
  <c r="D49" i="6"/>
  <c r="D54" i="6"/>
  <c r="D53" i="6"/>
  <c r="D52" i="6"/>
  <c r="D50" i="6"/>
  <c r="D34" i="6"/>
  <c r="X24" i="6"/>
  <c r="Y24" i="6"/>
  <c r="AA24" i="6"/>
  <c r="V24" i="6"/>
  <c r="W24" i="6"/>
  <c r="T24" i="6"/>
  <c r="Q24" i="6"/>
  <c r="N24" i="6"/>
  <c r="M24" i="6"/>
  <c r="X23" i="6"/>
  <c r="Y23" i="6"/>
  <c r="AA23" i="6"/>
  <c r="V23" i="6"/>
  <c r="W23" i="6"/>
  <c r="T23" i="6"/>
  <c r="Q23" i="6"/>
  <c r="N23" i="6"/>
  <c r="M23" i="6"/>
  <c r="X22" i="6"/>
  <c r="Y22" i="6"/>
  <c r="N22" i="6"/>
  <c r="AA22" i="6"/>
  <c r="V22" i="6"/>
  <c r="W22" i="6"/>
  <c r="T22" i="6"/>
  <c r="Q22" i="6"/>
  <c r="M22" i="6"/>
  <c r="X21" i="6"/>
  <c r="Y21" i="6"/>
  <c r="AA21" i="6"/>
  <c r="V21" i="6"/>
  <c r="W21" i="6"/>
  <c r="T21" i="6"/>
  <c r="Q21" i="6"/>
  <c r="N21" i="6"/>
  <c r="M21" i="6"/>
  <c r="X20" i="6"/>
  <c r="Y20" i="6"/>
  <c r="AA20" i="6"/>
  <c r="V20" i="6"/>
  <c r="W20" i="6"/>
  <c r="T20" i="6"/>
  <c r="Q20" i="6"/>
  <c r="N20" i="6"/>
  <c r="M20" i="6"/>
  <c r="V19" i="6"/>
  <c r="W19" i="6"/>
  <c r="T19" i="6"/>
  <c r="X19" i="6"/>
  <c r="Q19" i="6"/>
  <c r="M19" i="6"/>
  <c r="N19" i="6"/>
  <c r="V18" i="6"/>
  <c r="W18" i="6"/>
  <c r="T18" i="6"/>
  <c r="Q18" i="6"/>
  <c r="M18" i="6"/>
  <c r="N18" i="6"/>
  <c r="V17" i="6"/>
  <c r="W17" i="6"/>
  <c r="T17" i="6"/>
  <c r="Q17" i="6"/>
  <c r="M17" i="6"/>
  <c r="N17" i="6"/>
  <c r="V16" i="6"/>
  <c r="W16" i="6"/>
  <c r="Q16" i="6"/>
  <c r="M16" i="6"/>
  <c r="N16" i="6"/>
  <c r="V15" i="6"/>
  <c r="W15" i="6"/>
  <c r="X15" i="6"/>
  <c r="T15" i="6"/>
  <c r="Q15" i="6"/>
  <c r="N15" i="6"/>
  <c r="M15" i="6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M26" i="4"/>
  <c r="P25" i="4"/>
  <c r="M25" i="4"/>
  <c r="M24" i="4"/>
  <c r="L24" i="4"/>
  <c r="K24" i="4"/>
  <c r="M23" i="4"/>
  <c r="L23" i="4"/>
  <c r="K23" i="4"/>
  <c r="M22" i="4"/>
  <c r="L22" i="4"/>
  <c r="K22" i="4"/>
  <c r="M21" i="4"/>
  <c r="L21" i="4"/>
  <c r="K21" i="4"/>
  <c r="Q20" i="4"/>
  <c r="P21" i="4"/>
  <c r="P22" i="4"/>
  <c r="P28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P15" i="4"/>
  <c r="M15" i="4"/>
  <c r="L15" i="4"/>
  <c r="K15" i="4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K27" i="8"/>
  <c r="K25" i="8"/>
  <c r="K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L24" i="2"/>
  <c r="E59" i="2"/>
  <c r="D59" i="2"/>
  <c r="L23" i="2"/>
  <c r="E58" i="2"/>
  <c r="D58" i="2"/>
  <c r="L22" i="2"/>
  <c r="E57" i="2"/>
  <c r="D57" i="2"/>
  <c r="L21" i="2"/>
  <c r="E56" i="2"/>
  <c r="D56" i="2"/>
  <c r="L20" i="2"/>
  <c r="E55" i="2"/>
  <c r="D55" i="2"/>
  <c r="L19" i="2"/>
  <c r="E54" i="2"/>
  <c r="D54" i="2"/>
  <c r="K18" i="2"/>
  <c r="L18" i="2"/>
  <c r="E53" i="2"/>
  <c r="D53" i="2"/>
  <c r="K17" i="2"/>
  <c r="L17" i="2"/>
  <c r="E52" i="2"/>
  <c r="D52" i="2"/>
  <c r="L16" i="2"/>
  <c r="E51" i="2"/>
  <c r="D51" i="2"/>
  <c r="E50" i="2"/>
  <c r="D50" i="2"/>
  <c r="D49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D34" i="2"/>
  <c r="N24" i="2"/>
  <c r="P24" i="2"/>
  <c r="T24" i="2"/>
  <c r="U24" i="2"/>
  <c r="V24" i="2"/>
  <c r="R24" i="2"/>
  <c r="S24" i="2"/>
  <c r="K24" i="2"/>
  <c r="N23" i="2"/>
  <c r="P23" i="2"/>
  <c r="T23" i="2"/>
  <c r="U23" i="2"/>
  <c r="V23" i="2"/>
  <c r="R23" i="2"/>
  <c r="S23" i="2"/>
  <c r="K23" i="2"/>
  <c r="N22" i="2"/>
  <c r="P22" i="2"/>
  <c r="T22" i="2"/>
  <c r="U22" i="2"/>
  <c r="V22" i="2"/>
  <c r="R22" i="2"/>
  <c r="S22" i="2"/>
  <c r="K22" i="2"/>
  <c r="N21" i="2"/>
  <c r="P21" i="2"/>
  <c r="T21" i="2"/>
  <c r="U21" i="2"/>
  <c r="V21" i="2"/>
  <c r="R21" i="2"/>
  <c r="S21" i="2"/>
  <c r="K21" i="2"/>
  <c r="N20" i="2"/>
  <c r="P20" i="2"/>
  <c r="T20" i="2"/>
  <c r="U20" i="2"/>
  <c r="V20" i="2"/>
  <c r="R20" i="2"/>
  <c r="S20" i="2"/>
  <c r="K20" i="2"/>
  <c r="N19" i="2"/>
  <c r="P19" i="2"/>
  <c r="T19" i="2"/>
  <c r="U19" i="2"/>
  <c r="V19" i="2"/>
  <c r="R19" i="2"/>
  <c r="S19" i="2"/>
  <c r="K19" i="2"/>
  <c r="R18" i="2"/>
  <c r="S18" i="2"/>
  <c r="N18" i="2"/>
  <c r="P18" i="2"/>
  <c r="T18" i="2"/>
  <c r="U18" i="2"/>
  <c r="V18" i="2"/>
  <c r="R17" i="2"/>
  <c r="S17" i="2"/>
  <c r="N17" i="2"/>
  <c r="P17" i="2"/>
  <c r="T17" i="2"/>
  <c r="U17" i="2"/>
  <c r="V17" i="2"/>
  <c r="R16" i="2"/>
  <c r="S16" i="2"/>
  <c r="N16" i="2"/>
  <c r="P16" i="2"/>
  <c r="T16" i="2"/>
  <c r="U16" i="2"/>
  <c r="V16" i="2"/>
  <c r="R15" i="2"/>
  <c r="S15" i="2"/>
  <c r="N15" i="2"/>
  <c r="P15" i="2"/>
  <c r="T15" i="2"/>
  <c r="U15" i="2"/>
  <c r="U25" i="2"/>
  <c r="U26" i="2"/>
  <c r="V15" i="2"/>
  <c r="E42" i="6"/>
  <c r="AB22" i="6"/>
  <c r="E57" i="6"/>
  <c r="E41" i="6"/>
  <c r="AB21" i="6"/>
  <c r="E56" i="6"/>
  <c r="E40" i="6"/>
  <c r="AB20" i="6"/>
  <c r="E55" i="6"/>
  <c r="E44" i="6"/>
  <c r="AB24" i="6"/>
  <c r="E59" i="6"/>
  <c r="E43" i="6"/>
  <c r="AB23" i="6"/>
  <c r="E58" i="6"/>
  <c r="X16" i="6"/>
  <c r="Y16" i="6"/>
  <c r="AA16" i="6"/>
  <c r="Y15" i="6"/>
  <c r="AA15" i="6"/>
  <c r="AB15" i="6"/>
  <c r="E50" i="6"/>
  <c r="X17" i="6"/>
  <c r="Y17" i="6"/>
  <c r="AA17" i="6"/>
  <c r="E37" i="6"/>
  <c r="Y19" i="6"/>
  <c r="AA19" i="6"/>
  <c r="X18" i="6"/>
  <c r="Y18" i="6"/>
  <c r="AA18" i="6"/>
  <c r="E49" i="2"/>
  <c r="U28" i="2"/>
  <c r="E34" i="2"/>
  <c r="E35" i="6"/>
  <c r="AB16" i="6"/>
  <c r="E51" i="6"/>
  <c r="E36" i="6"/>
  <c r="AB17" i="6"/>
  <c r="E52" i="6"/>
  <c r="AB19" i="6"/>
  <c r="E54" i="6"/>
  <c r="E39" i="6"/>
  <c r="E38" i="6"/>
  <c r="AB18" i="6"/>
  <c r="AB25" i="6"/>
  <c r="AB26" i="6"/>
  <c r="E53" i="6"/>
  <c r="E49" i="6"/>
  <c r="AB28" i="6"/>
  <c r="E34" i="6"/>
</calcChain>
</file>

<file path=xl/comments1.xml><?xml version="1.0" encoding="utf-8"?>
<comments xmlns="http://schemas.openxmlformats.org/spreadsheetml/2006/main">
  <authors>
    <author>Andersom Bontorim</author>
  </authors>
  <commentList>
    <comment ref="D14" authorId="0" shapeId="0">
      <text>
        <r>
          <rPr>
            <b/>
            <sz val="9"/>
            <color indexed="81"/>
            <rFont val="Segoe UI"/>
            <family val="2"/>
          </rPr>
          <t>Endereços dos Imóveis Referenciais.</t>
        </r>
      </text>
    </comment>
    <comment ref="G14" authorId="0" shapeId="0">
      <text>
        <r>
          <rPr>
            <b/>
            <sz val="9"/>
            <color indexed="81"/>
            <rFont val="Segoe UI"/>
            <family val="2"/>
          </rPr>
          <t>Área construída, em metro quadrado, do Imóvel Referencial.</t>
        </r>
      </text>
    </comment>
    <comment ref="J14" authorId="0" shapeId="0">
      <text>
        <r>
          <rPr>
            <b/>
            <sz val="9"/>
            <color indexed="81"/>
            <rFont val="Segoe UI"/>
            <family val="2"/>
          </rPr>
          <t>Idade real ou aparente do Imóvel Referencial.</t>
        </r>
      </text>
    </comment>
    <comment ref="K14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L14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N14" authorId="0" shapeId="0">
      <text>
        <r>
          <rPr>
            <b/>
            <sz val="9"/>
            <color indexed="81"/>
            <rFont val="Segoe UI"/>
            <family val="2"/>
          </rPr>
          <t xml:space="preserve">Coluna de cálculo automático.
NÃO EDITAR ESTA COLUNA!
</t>
        </r>
      </text>
    </comment>
    <comment ref="U14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U28" authorId="0" shapeId="0">
      <text>
        <r>
          <rPr>
            <b/>
            <sz val="9"/>
            <color indexed="81"/>
            <rFont val="Segoe UI"/>
            <family val="2"/>
          </rPr>
          <t>VALOR FINAL HOMOGENEIZADO DO IMÓVEL EM AVALIAÇÃO.</t>
        </r>
      </text>
    </comment>
  </commentList>
</comments>
</file>

<file path=xl/comments2.xml><?xml version="1.0" encoding="utf-8"?>
<comments xmlns="http://schemas.openxmlformats.org/spreadsheetml/2006/main">
  <authors>
    <author>Andersom Bontorim</author>
  </authors>
  <commentList>
    <comment ref="D13" authorId="0" shapeId="0">
      <text>
        <r>
          <rPr>
            <b/>
            <sz val="9"/>
            <color indexed="81"/>
            <rFont val="Segoe UI"/>
            <family val="2"/>
          </rPr>
          <t>Endereços dos Imóveis Referenciais.</t>
        </r>
      </text>
    </comment>
    <comment ref="G13" authorId="0" shapeId="0">
      <text>
        <r>
          <rPr>
            <b/>
            <sz val="9"/>
            <color indexed="81"/>
            <rFont val="Segoe UI"/>
            <family val="2"/>
          </rPr>
          <t>Área do terreno, em metro quadrado, do Imóvel Referencial.</t>
        </r>
      </text>
    </comment>
    <comment ref="J13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K13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K27" authorId="0" shapeId="0">
      <text>
        <r>
          <rPr>
            <b/>
            <sz val="9"/>
            <color indexed="81"/>
            <rFont val="Segoe UI"/>
            <family val="2"/>
          </rPr>
          <t>VALOR FINAL HOMOGENEIZADO DO IMÓVEL EM AVALIAÇÃO.</t>
        </r>
      </text>
    </comment>
  </commentList>
</comments>
</file>

<file path=xl/comments3.xml><?xml version="1.0" encoding="utf-8"?>
<comments xmlns="http://schemas.openxmlformats.org/spreadsheetml/2006/main">
  <authors>
    <author>Andersom Bontorim</author>
  </authors>
  <commentList>
    <comment ref="D14" authorId="0" shapeId="0">
      <text>
        <r>
          <rPr>
            <b/>
            <sz val="9"/>
            <color indexed="81"/>
            <rFont val="Segoe UI"/>
            <family val="2"/>
          </rPr>
          <t>Endereços dos Imóveis Referenciais (terrenos).</t>
        </r>
      </text>
    </comment>
    <comment ref="H14" authorId="0" shapeId="0">
      <text>
        <r>
          <rPr>
            <b/>
            <sz val="9"/>
            <color indexed="81"/>
            <rFont val="Segoe UI"/>
            <family val="2"/>
          </rPr>
          <t>Área do terreno, em metro quadrado, do Imóvel Referencial.</t>
        </r>
      </text>
    </comment>
    <comment ref="K14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L14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M14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O14" authorId="0" shapeId="0">
      <text>
        <r>
          <rPr>
            <b/>
            <sz val="9"/>
            <color indexed="81"/>
            <rFont val="Segoe UI"/>
            <family val="2"/>
          </rPr>
          <t xml:space="preserve">Pesquisar o custo total ATUAL de construção segundo a revista PINI.
</t>
        </r>
        <r>
          <rPr>
            <sz val="9"/>
            <color indexed="81"/>
            <rFont val="Segoe UI"/>
            <family val="2"/>
          </rPr>
          <t>http://tcpoweb.pini.com.br/IndiceCustoSel.aspx</t>
        </r>
      </text>
    </comment>
    <comment ref="P14" authorId="0" shapeId="0">
      <text>
        <r>
          <rPr>
            <b/>
            <sz val="9"/>
            <color indexed="81"/>
            <rFont val="Segoe UI"/>
            <family val="2"/>
          </rPr>
          <t>Valor ATUAL obtido na revista PINI.</t>
        </r>
      </text>
    </comment>
    <comment ref="P28" authorId="0" shapeId="0">
      <text>
        <r>
          <rPr>
            <b/>
            <sz val="9"/>
            <color indexed="81"/>
            <rFont val="Segoe UI"/>
            <family val="2"/>
          </rPr>
          <t>VALOR FINAL HOMOGENEIZADO DO IMÓVEL EDIFICADO EM AVALIAÇÃO.</t>
        </r>
      </text>
    </comment>
  </commentList>
</comments>
</file>

<file path=xl/comments4.xml><?xml version="1.0" encoding="utf-8"?>
<comments xmlns="http://schemas.openxmlformats.org/spreadsheetml/2006/main">
  <authors>
    <author>Andersom Bontorim</author>
  </authors>
  <commentList>
    <comment ref="D14" authorId="0" shapeId="0">
      <text>
        <r>
          <rPr>
            <b/>
            <sz val="9"/>
            <color indexed="81"/>
            <rFont val="Segoe UI"/>
            <family val="2"/>
          </rPr>
          <t>Endereços dos Imóveis Referenciais.</t>
        </r>
      </text>
    </comment>
    <comment ref="H14" authorId="0" shapeId="0">
      <text>
        <r>
          <rPr>
            <b/>
            <sz val="9"/>
            <color indexed="81"/>
            <rFont val="Segoe UI"/>
            <family val="2"/>
          </rPr>
          <t>Área construída, em metro quadrado, do Imóvel Referencial.</t>
        </r>
      </text>
    </comment>
    <comment ref="J14" authorId="0" shapeId="0">
      <text>
        <r>
          <rPr>
            <b/>
            <sz val="9"/>
            <color indexed="81"/>
            <rFont val="Segoe UI"/>
            <family val="2"/>
          </rPr>
          <t>Idade real ou aparente do Imóvel Referencial.</t>
        </r>
      </text>
    </comment>
    <comment ref="M14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N14" authorId="0" shapeId="0">
      <text>
        <r>
          <rPr>
            <b/>
            <sz val="9"/>
            <color indexed="81"/>
            <rFont val="Segoe UI"/>
            <family val="2"/>
          </rPr>
          <t>Coluna de cálculo automático.
NÃO EDITAR ESTA COLUNA!</t>
        </r>
      </text>
    </comment>
    <comment ref="P14" authorId="0" shapeId="0">
      <text>
        <r>
          <rPr>
            <b/>
            <sz val="9"/>
            <color indexed="81"/>
            <rFont val="Segoe UI"/>
            <family val="2"/>
          </rPr>
          <t>Pesquisar o custo total ATUAL de construção segundo a revista PINI.
http://tcpoweb.pini.com.br/IndiceCustoSel.aspx</t>
        </r>
      </text>
    </comment>
    <comment ref="AB28" authorId="0" shapeId="0">
      <text>
        <r>
          <rPr>
            <b/>
            <sz val="9"/>
            <color indexed="81"/>
            <rFont val="Segoe UI"/>
            <family val="2"/>
          </rPr>
          <t>VALOR FINAL HOMOGENEIZADO DO IMÓVEL EM AVALIAÇÃO.</t>
        </r>
      </text>
    </comment>
  </commentList>
</comments>
</file>

<file path=xl/sharedStrings.xml><?xml version="1.0" encoding="utf-8"?>
<sst xmlns="http://schemas.openxmlformats.org/spreadsheetml/2006/main" count="337" uniqueCount="188">
  <si>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</si>
  <si>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</si>
  <si>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</si>
  <si>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</si>
  <si>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</si>
  <si>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</si>
  <si>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</si>
  <si>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</si>
  <si>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</si>
  <si>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</si>
  <si>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Tabela de Homogeneização de Valores de Imóveis</t>
  </si>
  <si>
    <t>Endereço</t>
  </si>
  <si>
    <t>Valor de Venda</t>
  </si>
  <si>
    <r>
      <t>Terreno (m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):</t>
    </r>
  </si>
  <si>
    <r>
      <t>Construção (m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):</t>
    </r>
  </si>
  <si>
    <r>
      <t>Área construída (m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</si>
  <si>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Total:</t>
  </si>
  <si>
    <t>Idade do imóvel</t>
  </si>
  <si>
    <t>Idade do IA:</t>
  </si>
  <si>
    <t>DADOS DO IMÓVEL EM AVALIAÇÃO (IA)</t>
  </si>
  <si>
    <t>DADOS DOS IMÓVEIS REFERENCIAIS</t>
  </si>
  <si>
    <t>Endereço do IA:</t>
  </si>
  <si>
    <t>Cidade/UF:</t>
  </si>
  <si>
    <t>Diferença de idade entre o IA e os Rs</t>
  </si>
  <si>
    <r>
      <rPr>
        <b/>
        <sz val="11"/>
        <color indexed="8"/>
        <rFont val="Calibri"/>
        <family val="2"/>
      </rPr>
      <t>Média de m</t>
    </r>
    <r>
      <rPr>
        <b/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(total dividido pela quantidade de imóveis referenciais):</t>
    </r>
  </si>
  <si>
    <t>DADOS PARA CONVERSÃO</t>
  </si>
  <si>
    <r>
      <t>Área do Terreno (m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</si>
  <si>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Valor da construção do Imóvel em avaliação:</t>
  </si>
  <si>
    <t>Valor do Terreno do imóvel em avaliação:</t>
  </si>
  <si>
    <t>Custo atual da construção no padrão de acabamento do IA (PINI):</t>
  </si>
  <si>
    <t>Valor da construção de cada Imóvel Referencial</t>
  </si>
  <si>
    <r>
      <t>Área do TERRENO (m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</si>
  <si>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Valor Total do Terreno de cada Imóvel Referencial</t>
  </si>
  <si>
    <r>
      <t>Valor (m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 do Terreno</t>
    </r>
  </si>
  <si>
    <t>CÓDIGO</t>
  </si>
  <si>
    <t>CLASSIFICAÇÃO</t>
  </si>
  <si>
    <t>A</t>
  </si>
  <si>
    <t>Novo</t>
  </si>
  <si>
    <t>E</t>
  </si>
  <si>
    <t>Reparos simples</t>
  </si>
  <si>
    <t>B</t>
  </si>
  <si>
    <t>Entre novo e regular</t>
  </si>
  <si>
    <t>F</t>
  </si>
  <si>
    <t>Entre reparos simples e importantes</t>
  </si>
  <si>
    <t>C</t>
  </si>
  <si>
    <t>Regular</t>
  </si>
  <si>
    <t>G</t>
  </si>
  <si>
    <t>Reparos importantes</t>
  </si>
  <si>
    <t>D</t>
  </si>
  <si>
    <t>Entre regular e reparos simples</t>
  </si>
  <si>
    <t>H</t>
  </si>
  <si>
    <t>IDADE EM % DE VIDA</t>
  </si>
  <si>
    <t>ESTADO DE CONSERVAÇÃO</t>
  </si>
  <si>
    <t>Tabela de Ross-Heidecke para Depreciação de Imóveis</t>
  </si>
  <si>
    <t>Entre reparos importantes e sem valor</t>
  </si>
  <si>
    <t>I</t>
  </si>
  <si>
    <t>Sem valor</t>
  </si>
  <si>
    <t>Estado de Conservação</t>
  </si>
  <si>
    <t>Coluna na Tabela Ross-Heidecke</t>
  </si>
  <si>
    <t>Índice na Tabela Ross-Heidecke</t>
  </si>
  <si>
    <r>
      <t>Valor do 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de Venda (homogeneizado)</t>
    </r>
  </si>
  <si>
    <t>Fonte da pesquisa</t>
  </si>
  <si>
    <t>Anúncio</t>
  </si>
  <si>
    <t>Venda realizada</t>
  </si>
  <si>
    <r>
      <t>Valor de mercado do m</t>
    </r>
    <r>
      <rPr>
        <b/>
        <vertAlign val="superscript"/>
        <sz val="11"/>
        <color indexed="8"/>
        <rFont val="Calibri"/>
        <family val="2"/>
      </rPr>
      <t>2</t>
    </r>
  </si>
  <si>
    <t>Vida útil do imóvel</t>
  </si>
  <si>
    <t>Idade percentual de vida do imóvel</t>
  </si>
  <si>
    <t xml:space="preserve">Idade do IA: </t>
  </si>
  <si>
    <t>Vida útil do IA (em anos):</t>
  </si>
  <si>
    <t>Estado de Conservação do IA:</t>
  </si>
  <si>
    <t>Índice na Tabela Ross-Heidecke:</t>
  </si>
  <si>
    <t>Valor Final Homogeneizado do Imóvel em Avaliação:</t>
  </si>
  <si>
    <t>DADOS PARA DEPRECIAÇÃO DO IMÓVEL EM AVALIAÇÃO</t>
  </si>
  <si>
    <t>Custo atual da construção no padrão de acabamento (PINI)</t>
  </si>
  <si>
    <t>VALOR DO TERRENO DOS REFERENCIAIS</t>
  </si>
  <si>
    <r>
      <t>Valor do 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de Venda dos Terrenos</t>
    </r>
  </si>
  <si>
    <t>Valor de Venda dos Terrenos</t>
  </si>
  <si>
    <t>DADOS DOS IMÓVEIS REFERENCIAIS (Terrenos)</t>
  </si>
  <si>
    <r>
      <t>Média de m</t>
    </r>
    <r>
      <rPr>
        <b/>
        <vertAlign val="superscript"/>
        <sz val="11"/>
        <color indexed="8"/>
        <rFont val="Calibri"/>
        <family val="2"/>
      </rPr>
      <t xml:space="preserve">2 </t>
    </r>
    <r>
      <rPr>
        <b/>
        <sz val="11"/>
        <color indexed="8"/>
        <rFont val="Calibri"/>
        <family val="2"/>
      </rPr>
      <t xml:space="preserve">corrigido e homogeneizado </t>
    </r>
    <r>
      <rPr>
        <sz val="11"/>
        <color indexed="8"/>
        <rFont val="Calibri"/>
        <family val="2"/>
      </rPr>
      <t>(total dividido pela quantidade de imóveis referenciais):</t>
    </r>
  </si>
  <si>
    <t>IMÓVEL</t>
  </si>
  <si>
    <t>TIPO</t>
  </si>
  <si>
    <t>PADRÃO</t>
  </si>
  <si>
    <t>RESIDENCIAL</t>
  </si>
  <si>
    <t>BARRACO</t>
  </si>
  <si>
    <t>RÚSTICO</t>
  </si>
  <si>
    <t>SIMPLES</t>
  </si>
  <si>
    <t>CASA</t>
  </si>
  <si>
    <t>DE MADEIRA</t>
  </si>
  <si>
    <t>ECONÔMICO, SIMLES ou MÉDIO</t>
  </si>
  <si>
    <t>FINO ou LUXO</t>
  </si>
  <si>
    <t>APARTAMENTO</t>
  </si>
  <si>
    <t>COMERCIAL</t>
  </si>
  <si>
    <t>ESCRITÓRIO</t>
  </si>
  <si>
    <t>ECONÔMICO ou SIMPLES</t>
  </si>
  <si>
    <t>MÉDIO</t>
  </si>
  <si>
    <t>LOJA</t>
  </si>
  <si>
    <t>INDUSTRIAL</t>
  </si>
  <si>
    <t>ARMAZÉM</t>
  </si>
  <si>
    <t>GALPÃO</t>
  </si>
  <si>
    <t>RÚSTICO ou SIMPLES</t>
  </si>
  <si>
    <t>SUPERIOR</t>
  </si>
  <si>
    <t>COBERTURA</t>
  </si>
  <si>
    <t>FÁBRICA</t>
  </si>
  <si>
    <t>RURAL</t>
  </si>
  <si>
    <t>SILO</t>
  </si>
  <si>
    <t>BANCO</t>
  </si>
  <si>
    <t>HOTEL</t>
  </si>
  <si>
    <t>TEATRO</t>
  </si>
  <si>
    <t>VIDA ÚTIL (em anos)</t>
  </si>
  <si>
    <t>DEMAIS CONSTRUÇÕES RURAIS</t>
  </si>
  <si>
    <t>Lista de Vida Útil de Imóveis</t>
  </si>
  <si>
    <t>(Bureau of Internal Revenue)</t>
  </si>
  <si>
    <t>Pesquisa na Tabela Ross-Heidecke</t>
  </si>
  <si>
    <t>Estado de conservação:</t>
  </si>
  <si>
    <t>Idade aparente do imóvel:</t>
  </si>
  <si>
    <t>Tipo do imóvel:</t>
  </si>
  <si>
    <t>Fator segundo a Tabela Ross-Heidecke:</t>
  </si>
  <si>
    <t>Valor depreciado da construção do Imóvel em avaliação:</t>
  </si>
  <si>
    <t>Valor de mercado</t>
  </si>
  <si>
    <t>DADOS DE DEPRECIAÇÃO DAS EDIFICAÇÕES DOS IMÓVEIS REFERENCIAIS</t>
  </si>
  <si>
    <t>RESIDENCIAL - CASA - ECONÔMICO, SIMLES ou MÉDIO</t>
  </si>
  <si>
    <t>Valor da construção depreciada</t>
  </si>
  <si>
    <t>DADOS PARA O GRÁFICO</t>
  </si>
  <si>
    <t>Valor</t>
  </si>
  <si>
    <t>OS GRÁFICOS</t>
  </si>
  <si>
    <t>Valor do m2</t>
  </si>
  <si>
    <t>Imóveis</t>
  </si>
  <si>
    <t>Tabela de Classificação do Estado de Conservação do Imóvel</t>
  </si>
  <si>
    <t>Rua X, 123</t>
  </si>
  <si>
    <t>Fator redutor de negociação</t>
  </si>
  <si>
    <t>DADOS DE HOMOGENEIZAÇÃO DOS IMÓVEIS REFERENCIAIS</t>
  </si>
  <si>
    <t>São Paulo/SP</t>
  </si>
  <si>
    <t>Rua X, 1</t>
  </si>
  <si>
    <t>Rua Z, 3</t>
  </si>
  <si>
    <t>Rua Y, 2</t>
  </si>
  <si>
    <t>Rua Alfa, 32</t>
  </si>
  <si>
    <t>Rua Beta, 45</t>
  </si>
  <si>
    <t>Rua Ômega, 21</t>
  </si>
  <si>
    <t>Rua Delta, 14</t>
  </si>
  <si>
    <t>Rua Sigma, 53</t>
  </si>
  <si>
    <t>Rua Marte, 23</t>
  </si>
  <si>
    <t>Rua Vênus, 53</t>
  </si>
  <si>
    <t>Rua Plutão, 45</t>
  </si>
  <si>
    <t>Rua Saturno, 15</t>
  </si>
  <si>
    <t>Rua Júpiter, 37</t>
  </si>
  <si>
    <t>Rua W, 7</t>
  </si>
  <si>
    <t>TERRENO</t>
  </si>
  <si>
    <t>FATOR</t>
  </si>
  <si>
    <t>Terreno plano</t>
  </si>
  <si>
    <t>Caído para os fundos até 5%</t>
  </si>
  <si>
    <t>Caído para os fundos de 5% até 10%</t>
  </si>
  <si>
    <t>Caído para os fundos de 10% até 20%</t>
  </si>
  <si>
    <t>Caído para os fundos mais de 20%</t>
  </si>
  <si>
    <t>Em aclive até 10%</t>
  </si>
  <si>
    <t>Em aclive até 20%</t>
  </si>
  <si>
    <t>Em aclive acima de 20%</t>
  </si>
  <si>
    <t>Abaixo do nível da rua até 1.00m</t>
  </si>
  <si>
    <t>Abaixo do nível da rua de 1,00 até 2,50m</t>
  </si>
  <si>
    <t>Abaixo do nível da rua 2,50m até 4,00m</t>
  </si>
  <si>
    <t>Acima do nível da rua até 2,00m</t>
  </si>
  <si>
    <t>Acima do nível da rua de 2,00m até 4,00m</t>
  </si>
  <si>
    <t>CONSISTÊNCIA DO TERRENO</t>
  </si>
  <si>
    <t>Terreno seco</t>
  </si>
  <si>
    <t>Terreno em região inundável</t>
  </si>
  <si>
    <t>Terreno contíguo a córrego</t>
  </si>
  <si>
    <t>Terreno inundável</t>
  </si>
  <si>
    <t>Terreno permanentemente alagado</t>
  </si>
  <si>
    <t>Pesquisa nas Tabelas de Fatores</t>
  </si>
  <si>
    <t>Inclinação do Terreno:</t>
  </si>
  <si>
    <t>Consistência do Terreno:</t>
  </si>
  <si>
    <t>Posição do Terreno em relação ao nível da rua:</t>
  </si>
  <si>
    <t>Total de fatores a aplicar ao Valor final do Imóvel:</t>
  </si>
  <si>
    <t>FATORES CORRETIVOS SOBRE CONSISTÊNCIA DO TERRENO</t>
  </si>
  <si>
    <t>FATORES VALORIZANTES POR FRENTES MÚLTIPLAS</t>
  </si>
  <si>
    <t>EDIFICAÇÃO</t>
  </si>
  <si>
    <t>Padrão Popular</t>
  </si>
  <si>
    <t>Padrão Médio</t>
  </si>
  <si>
    <t>Padrão Alto</t>
  </si>
  <si>
    <t xml:space="preserve"> &lt;- Fator acumulado (resultado da multiplicação dos demais fatores).</t>
  </si>
  <si>
    <t>Quantidade de frentes:</t>
  </si>
  <si>
    <t>FATORES CORRETIVOS SOBRE INCLINAÇÃO DO TERRENO</t>
  </si>
  <si>
    <t>FATORES CORRETIVOS SOBRE ALTURA DO TERRENO</t>
  </si>
  <si>
    <t>TABELAS DE FATORES CORRETIVOS DO VALOR FINAL DO IMÓVEL AVALIANDO</t>
  </si>
  <si>
    <t>Padrão da construção:</t>
  </si>
  <si>
    <t>Q</t>
  </si>
  <si>
    <t>QN 412 Conj A</t>
  </si>
  <si>
    <t>QS 412 CONJ B</t>
  </si>
  <si>
    <t>Samambaia/DF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</si>
</sst>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000"/>
    <numFmt numFmtId="167" formatCode="0.0%"/>
    <numFmt numFmtId="168" formatCode="_-* #,##0.0000_-;\-* #,##0.0000_-;_-* &quot;-&quot;????_-;_-@_-"/>
  </numFmts>
  <fonts count="1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281">
    <xf numFmtId="0" fontId="0" fillId="0" borderId="0" xfId="0"/>
    <xf numFmtId="164" fontId="5" fillId="2" borderId="1" xfId="1" applyFont="1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5" fillId="3" borderId="0" xfId="1" applyFont="1" applyFill="1"/>
    <xf numFmtId="0" fontId="0" fillId="3" borderId="1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0" xfId="0" applyFill="1" applyBorder="1"/>
    <xf numFmtId="0" fontId="6" fillId="3" borderId="7" xfId="0" applyFont="1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6" fillId="3" borderId="0" xfId="0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9" fontId="0" fillId="3" borderId="0" xfId="0" applyNumberFormat="1" applyFill="1"/>
    <xf numFmtId="164" fontId="5" fillId="3" borderId="0" xfId="1" applyFont="1" applyFill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164" fontId="5" fillId="3" borderId="1" xfId="1" applyFont="1" applyFill="1" applyBorder="1"/>
    <xf numFmtId="0" fontId="5" fillId="3" borderId="1" xfId="3" applyNumberFormat="1" applyFont="1" applyFill="1" applyBorder="1" applyAlignment="1">
      <alignment horizontal="center"/>
    </xf>
    <xf numFmtId="166" fontId="5" fillId="3" borderId="1" xfId="3" applyNumberFormat="1" applyFon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164" fontId="0" fillId="3" borderId="0" xfId="0" applyNumberFormat="1" applyFill="1" applyBorder="1"/>
    <xf numFmtId="0" fontId="0" fillId="3" borderId="0" xfId="0" applyFill="1" applyBorder="1" applyAlignment="1">
      <alignment horizontal="center"/>
    </xf>
    <xf numFmtId="164" fontId="6" fillId="3" borderId="1" xfId="1" applyFont="1" applyFill="1" applyBorder="1"/>
    <xf numFmtId="164" fontId="6" fillId="3" borderId="9" xfId="1" applyFont="1" applyFill="1" applyBorder="1"/>
    <xf numFmtId="43" fontId="0" fillId="3" borderId="0" xfId="0" applyNumberFormat="1" applyFill="1"/>
    <xf numFmtId="164" fontId="0" fillId="3" borderId="1" xfId="1" applyFont="1" applyFill="1" applyBorder="1"/>
    <xf numFmtId="164" fontId="11" fillId="4" borderId="12" xfId="1" applyFont="1" applyFill="1" applyBorder="1"/>
    <xf numFmtId="168" fontId="0" fillId="3" borderId="0" xfId="0" applyNumberFormat="1" applyFill="1"/>
    <xf numFmtId="43" fontId="12" fillId="3" borderId="0" xfId="0" applyNumberFormat="1" applyFont="1" applyFill="1" applyAlignment="1">
      <alignment horizont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6" fillId="3" borderId="6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wrapText="1"/>
    </xf>
    <xf numFmtId="0" fontId="6" fillId="3" borderId="0" xfId="0" applyFont="1" applyFill="1" applyBorder="1" applyAlignment="1"/>
    <xf numFmtId="0" fontId="0" fillId="3" borderId="0" xfId="0" applyFill="1" applyBorder="1" applyAlignment="1"/>
    <xf numFmtId="164" fontId="6" fillId="4" borderId="12" xfId="1" applyFont="1" applyFill="1" applyBorder="1"/>
    <xf numFmtId="164" fontId="5" fillId="3" borderId="1" xfId="1" applyFont="1" applyFill="1" applyBorder="1" applyAlignment="1">
      <alignment horizontal="center"/>
    </xf>
    <xf numFmtId="43" fontId="0" fillId="3" borderId="0" xfId="0" applyNumberFormat="1" applyFill="1" applyBorder="1"/>
    <xf numFmtId="2" fontId="8" fillId="3" borderId="19" xfId="0" applyNumberFormat="1" applyFont="1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28" xfId="0" applyFill="1" applyBorder="1" applyAlignment="1">
      <alignment horizontal="left"/>
    </xf>
    <xf numFmtId="0" fontId="0" fillId="3" borderId="2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3" xfId="0" applyFill="1" applyBorder="1" applyAlignment="1">
      <alignment horizontal="left"/>
    </xf>
    <xf numFmtId="0" fontId="0" fillId="3" borderId="34" xfId="0" applyFill="1" applyBorder="1" applyAlignment="1">
      <alignment horizont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/>
    </xf>
    <xf numFmtId="0" fontId="8" fillId="3" borderId="52" xfId="0" applyFont="1" applyFill="1" applyBorder="1" applyAlignment="1">
      <alignment horizontal="center" vertical="center" wrapText="1"/>
    </xf>
    <xf numFmtId="2" fontId="8" fillId="3" borderId="51" xfId="0" applyNumberFormat="1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2" fontId="8" fillId="3" borderId="54" xfId="0" applyNumberFormat="1" applyFont="1" applyFill="1" applyBorder="1" applyAlignment="1">
      <alignment horizontal="center" vertical="center" wrapText="1"/>
    </xf>
    <xf numFmtId="2" fontId="8" fillId="3" borderId="55" xfId="0" applyNumberFormat="1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2" fontId="8" fillId="3" borderId="20" xfId="0" applyNumberFormat="1" applyFont="1" applyFill="1" applyBorder="1" applyAlignment="1">
      <alignment horizontal="center" vertical="center" wrapText="1"/>
    </xf>
    <xf numFmtId="2" fontId="8" fillId="3" borderId="56" xfId="0" applyNumberFormat="1" applyFont="1" applyFill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 wrapText="1"/>
    </xf>
    <xf numFmtId="0" fontId="7" fillId="3" borderId="55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vertical="center"/>
    </xf>
    <xf numFmtId="0" fontId="8" fillId="3" borderId="51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vertical="center"/>
    </xf>
    <xf numFmtId="0" fontId="8" fillId="3" borderId="55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vertical="center"/>
    </xf>
    <xf numFmtId="0" fontId="8" fillId="3" borderId="56" xfId="0" applyFont="1" applyFill="1" applyBorder="1" applyAlignment="1">
      <alignment horizontal="center" vertical="center" wrapText="1"/>
    </xf>
    <xf numFmtId="0" fontId="7" fillId="3" borderId="58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 wrapText="1"/>
    </xf>
    <xf numFmtId="0" fontId="0" fillId="3" borderId="61" xfId="0" applyFill="1" applyBorder="1"/>
    <xf numFmtId="0" fontId="0" fillId="3" borderId="62" xfId="0" applyFill="1" applyBorder="1"/>
    <xf numFmtId="0" fontId="0" fillId="3" borderId="63" xfId="0" applyFill="1" applyBorder="1"/>
    <xf numFmtId="0" fontId="0" fillId="2" borderId="65" xfId="0" applyFill="1" applyBorder="1"/>
    <xf numFmtId="0" fontId="0" fillId="2" borderId="30" xfId="0" applyFill="1" applyBorder="1"/>
    <xf numFmtId="0" fontId="0" fillId="2" borderId="14" xfId="0" applyFill="1" applyBorder="1" applyAlignment="1">
      <alignment horizontal="center" vertical="center"/>
    </xf>
    <xf numFmtId="0" fontId="6" fillId="4" borderId="13" xfId="0" applyFont="1" applyFill="1" applyBorder="1"/>
    <xf numFmtId="0" fontId="6" fillId="4" borderId="12" xfId="0" applyFont="1" applyFill="1" applyBorder="1" applyAlignment="1">
      <alignment horizontal="center"/>
    </xf>
    <xf numFmtId="0" fontId="6" fillId="3" borderId="30" xfId="0" applyFont="1" applyFill="1" applyBorder="1"/>
    <xf numFmtId="0" fontId="6" fillId="3" borderId="62" xfId="0" applyFont="1" applyFill="1" applyBorder="1"/>
    <xf numFmtId="0" fontId="6" fillId="3" borderId="66" xfId="0" applyFont="1" applyFill="1" applyBorder="1"/>
    <xf numFmtId="0" fontId="5" fillId="2" borderId="1" xfId="3" applyNumberFormat="1" applyFont="1" applyFill="1" applyBorder="1" applyAlignment="1">
      <alignment horizontal="center"/>
    </xf>
    <xf numFmtId="168" fontId="0" fillId="3" borderId="0" xfId="0" applyNumberFormat="1" applyFill="1" applyBorder="1"/>
    <xf numFmtId="0" fontId="0" fillId="2" borderId="1" xfId="0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5" fillId="2" borderId="1" xfId="3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11" fillId="4" borderId="22" xfId="0" applyFont="1" applyFill="1" applyBorder="1" applyAlignment="1">
      <alignment horizontal="center"/>
    </xf>
    <xf numFmtId="0" fontId="11" fillId="4" borderId="60" xfId="0" applyFont="1" applyFill="1" applyBorder="1" applyAlignment="1">
      <alignment horizontal="center"/>
    </xf>
    <xf numFmtId="0" fontId="6" fillId="3" borderId="68" xfId="0" applyFont="1" applyFill="1" applyBorder="1"/>
    <xf numFmtId="0" fontId="0" fillId="3" borderId="69" xfId="0" applyFill="1" applyBorder="1"/>
    <xf numFmtId="0" fontId="0" fillId="2" borderId="41" xfId="0" applyFill="1" applyBorder="1"/>
    <xf numFmtId="0" fontId="6" fillId="3" borderId="11" xfId="0" applyFont="1" applyFill="1" applyBorder="1"/>
    <xf numFmtId="0" fontId="0" fillId="2" borderId="11" xfId="0" applyFill="1" applyBorder="1"/>
    <xf numFmtId="2" fontId="0" fillId="3" borderId="70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29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34" xfId="0" applyNumberFormat="1" applyFill="1" applyBorder="1" applyAlignment="1">
      <alignment horizontal="center"/>
    </xf>
    <xf numFmtId="0" fontId="15" fillId="3" borderId="0" xfId="0" applyFont="1" applyFill="1" applyBorder="1"/>
    <xf numFmtId="0" fontId="6" fillId="3" borderId="68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166" fontId="6" fillId="4" borderId="60" xfId="0" applyNumberFormat="1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0" fillId="5" borderId="0" xfId="0" applyFill="1" applyBorder="1"/>
    <xf numFmtId="0" fontId="6" fillId="5" borderId="16" xfId="0" applyFont="1" applyFill="1" applyBorder="1"/>
    <xf numFmtId="0" fontId="6" fillId="5" borderId="17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2" xfId="0" applyFill="1" applyBorder="1"/>
    <xf numFmtId="0" fontId="6" fillId="5" borderId="0" xfId="0" applyFont="1" applyFill="1" applyBorder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/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6" borderId="0" xfId="0" applyFont="1" applyFill="1" applyBorder="1"/>
    <xf numFmtId="0" fontId="0" fillId="6" borderId="0" xfId="0" applyFill="1" applyBorder="1"/>
    <xf numFmtId="0" fontId="6" fillId="6" borderId="13" xfId="0" applyFont="1" applyFill="1" applyBorder="1" applyAlignment="1">
      <alignment horizontal="center" vertical="center" wrapText="1"/>
    </xf>
    <xf numFmtId="164" fontId="6" fillId="6" borderId="12" xfId="1" applyFont="1" applyFill="1" applyBorder="1" applyAlignment="1">
      <alignment horizontal="center" vertical="center"/>
    </xf>
    <xf numFmtId="0" fontId="6" fillId="7" borderId="0" xfId="0" applyFont="1" applyFill="1" applyBorder="1"/>
    <xf numFmtId="166" fontId="5" fillId="7" borderId="0" xfId="3" applyNumberFormat="1" applyFont="1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 wrapText="1"/>
    </xf>
    <xf numFmtId="0" fontId="5" fillId="0" borderId="16" xfId="3" applyNumberFormat="1" applyFont="1" applyFill="1" applyBorder="1" applyAlignment="1">
      <alignment horizontal="center"/>
    </xf>
    <xf numFmtId="167" fontId="5" fillId="0" borderId="16" xfId="2" applyNumberFormat="1" applyFont="1" applyFill="1" applyBorder="1" applyAlignment="1">
      <alignment vertical="center"/>
    </xf>
    <xf numFmtId="2" fontId="0" fillId="7" borderId="16" xfId="0" applyNumberFormat="1" applyFont="1" applyFill="1" applyBorder="1" applyAlignment="1">
      <alignment horizontal="center"/>
    </xf>
    <xf numFmtId="2" fontId="0" fillId="7" borderId="6" xfId="0" applyNumberFormat="1" applyFont="1" applyFill="1" applyBorder="1" applyAlignment="1">
      <alignment horizontal="center"/>
    </xf>
    <xf numFmtId="2" fontId="0" fillId="7" borderId="25" xfId="0" applyNumberFormat="1" applyFont="1" applyFill="1" applyBorder="1" applyAlignment="1">
      <alignment horizontal="center"/>
    </xf>
    <xf numFmtId="2" fontId="0" fillId="7" borderId="9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" fillId="8" borderId="1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5" fillId="8" borderId="1" xfId="3" applyNumberFormat="1" applyFont="1" applyFill="1" applyBorder="1" applyAlignment="1">
      <alignment horizontal="center"/>
    </xf>
    <xf numFmtId="166" fontId="5" fillId="8" borderId="1" xfId="3" applyNumberFormat="1" applyFont="1" applyFill="1" applyBorder="1" applyAlignment="1">
      <alignment horizontal="center"/>
    </xf>
    <xf numFmtId="164" fontId="0" fillId="8" borderId="1" xfId="1" applyFont="1" applyFill="1" applyBorder="1"/>
    <xf numFmtId="164" fontId="5" fillId="0" borderId="1" xfId="1" applyFont="1" applyFill="1" applyBorder="1"/>
    <xf numFmtId="0" fontId="6" fillId="8" borderId="0" xfId="0" applyFont="1" applyFill="1" applyBorder="1"/>
    <xf numFmtId="0" fontId="0" fillId="8" borderId="0" xfId="0" applyFill="1" applyBorder="1"/>
    <xf numFmtId="0" fontId="0" fillId="8" borderId="0" xfId="0" applyFill="1"/>
    <xf numFmtId="0" fontId="0" fillId="0" borderId="1" xfId="0" applyFill="1" applyBorder="1" applyAlignment="1">
      <alignment horizontal="left"/>
    </xf>
    <xf numFmtId="0" fontId="0" fillId="0" borderId="0" xfId="0" applyFill="1" applyBorder="1"/>
    <xf numFmtId="9" fontId="6" fillId="0" borderId="1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6" fillId="0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6" fillId="3" borderId="11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6" fillId="3" borderId="2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11" fillId="4" borderId="22" xfId="0" applyFont="1" applyFill="1" applyBorder="1" applyAlignment="1">
      <alignment horizontal="right"/>
    </xf>
    <xf numFmtId="0" fontId="11" fillId="4" borderId="23" xfId="0" applyFont="1" applyFill="1" applyBorder="1" applyAlignment="1">
      <alignment horizontal="right"/>
    </xf>
    <xf numFmtId="0" fontId="11" fillId="4" borderId="21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6" fillId="5" borderId="11" xfId="0" applyFont="1" applyFill="1" applyBorder="1" applyAlignment="1">
      <alignment horizontal="right"/>
    </xf>
    <xf numFmtId="0" fontId="6" fillId="5" borderId="0" xfId="0" applyFon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6" fillId="5" borderId="10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5" fillId="0" borderId="1" xfId="3" applyNumberFormat="1" applyFont="1" applyFill="1" applyBorder="1" applyAlignment="1">
      <alignment horizontal="center"/>
    </xf>
    <xf numFmtId="164" fontId="5" fillId="3" borderId="1" xfId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right" wrapText="1"/>
    </xf>
    <xf numFmtId="164" fontId="5" fillId="6" borderId="1" xfId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right" wrapText="1"/>
    </xf>
    <xf numFmtId="164" fontId="5" fillId="7" borderId="16" xfId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3" borderId="1" xfId="0" applyFont="1" applyFill="1" applyBorder="1" applyAlignment="1">
      <alignment horizontal="right" wrapText="1"/>
    </xf>
    <xf numFmtId="0" fontId="6" fillId="3" borderId="8" xfId="0" applyFont="1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5" fillId="2" borderId="1" xfId="3" applyNumberFormat="1" applyFont="1" applyFill="1" applyBorder="1" applyAlignment="1">
      <alignment horizontal="center"/>
    </xf>
    <xf numFmtId="0" fontId="6" fillId="4" borderId="22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21" xfId="0" applyFont="1" applyFill="1" applyBorder="1" applyAlignment="1">
      <alignment horizontal="right"/>
    </xf>
    <xf numFmtId="0" fontId="6" fillId="8" borderId="16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0" fillId="3" borderId="43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44" xfId="0" applyFill="1" applyBorder="1" applyAlignment="1">
      <alignment horizontal="left"/>
    </xf>
    <xf numFmtId="0" fontId="0" fillId="3" borderId="45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0" fillId="3" borderId="26" xfId="0" applyFill="1" applyBorder="1" applyAlignment="1">
      <alignment horizontal="left" vertical="center"/>
    </xf>
    <xf numFmtId="0" fontId="0" fillId="3" borderId="31" xfId="0" applyFill="1" applyBorder="1" applyAlignment="1">
      <alignment horizontal="left" vertical="center"/>
    </xf>
    <xf numFmtId="0" fontId="0" fillId="3" borderId="30" xfId="0" applyFill="1" applyBorder="1" applyAlignment="1">
      <alignment horizontal="left" vertical="center"/>
    </xf>
    <xf numFmtId="0" fontId="0" fillId="3" borderId="36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3" borderId="39" xfId="0" applyFill="1" applyBorder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41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10" fillId="4" borderId="10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32" xfId="0" applyFill="1" applyBorder="1" applyAlignment="1">
      <alignment horizontal="left" vertical="center"/>
    </xf>
    <xf numFmtId="0" fontId="7" fillId="3" borderId="46" xfId="0" applyFont="1" applyFill="1" applyBorder="1" applyAlignment="1">
      <alignment horizontal="center" vertical="center" wrapText="1"/>
    </xf>
    <xf numFmtId="0" fontId="7" fillId="3" borderId="57" xfId="0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 wrapText="1"/>
    </xf>
    <xf numFmtId="0" fontId="14" fillId="4" borderId="6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Comparação de Valores brutos dos Imóveis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 edificado e Rs edificados'!$E$33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25400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cat>
            <c:strRef>
              <c:f>'IA edificado e Rs edificados'!$D$34:$D$44</c:f>
              <c:strCache>
                <c:ptCount val="11"/>
                <c:pt idx="0">
                  <c:v>IA - 51m2</c:v>
                </c:pt>
                <c:pt idx="1">
                  <c:v>R1 - 51m2</c:v>
                </c:pt>
                <c:pt idx="2">
                  <c:v>R2 - 49m2</c:v>
                </c:pt>
                <c:pt idx="3">
                  <c:v>R3 - 60m2</c:v>
                </c:pt>
                <c:pt idx="4">
                  <c:v>R4 - 52m2</c:v>
                </c:pt>
                <c:pt idx="5">
                  <c:v>R5 - m2</c:v>
                </c:pt>
                <c:pt idx="6">
                  <c:v>R6 - m2</c:v>
                </c:pt>
                <c:pt idx="7">
                  <c:v>R7 - m2</c:v>
                </c:pt>
                <c:pt idx="8">
                  <c:v>R8 - m2</c:v>
                </c:pt>
                <c:pt idx="9">
                  <c:v>R9 - m2</c:v>
                </c:pt>
                <c:pt idx="10">
                  <c:v>R10 - m2</c:v>
                </c:pt>
              </c:strCache>
            </c:strRef>
          </c:cat>
          <c:val>
            <c:numRef>
              <c:f>'IA edificado e Rs edificados'!$E$34:$E$44</c:f>
              <c:numCache>
                <c:formatCode>_("R$ "* #,##0.00_);_("R$ "* \(#,##0.00\);_("R$ "* "-"??_);_(@_)</c:formatCode>
                <c:ptCount val="11"/>
                <c:pt idx="0">
                  <c:v>193662.10826138148</c:v>
                </c:pt>
                <c:pt idx="1">
                  <c:v>235000</c:v>
                </c:pt>
                <c:pt idx="2">
                  <c:v>225000</c:v>
                </c:pt>
                <c:pt idx="3">
                  <c:v>180000</c:v>
                </c:pt>
                <c:pt idx="4">
                  <c:v>250000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2616"/>
        <c:axId val="70061768"/>
      </c:lineChart>
      <c:catAx>
        <c:axId val="7005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61768"/>
        <c:crosses val="autoZero"/>
        <c:auto val="1"/>
        <c:lblAlgn val="ctr"/>
        <c:lblOffset val="100"/>
        <c:tickMarkSkip val="1"/>
        <c:noMultiLvlLbl val="0"/>
      </c:catAx>
      <c:valAx>
        <c:axId val="700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5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Comparação de Valores de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Metro Quadrado dos Imóveis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 edificado e Rs edificados'!$E$48</c:f>
              <c:strCache>
                <c:ptCount val="1"/>
                <c:pt idx="0">
                  <c:v>Valor do 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25400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cat>
            <c:strRef>
              <c:f>'IA edificado e Rs edificados'!$D$49:$D$59</c:f>
              <c:strCache>
                <c:ptCount val="11"/>
                <c:pt idx="0">
                  <c:v>IA - 51m2</c:v>
                </c:pt>
                <c:pt idx="1">
                  <c:v>R1 - 51m2</c:v>
                </c:pt>
                <c:pt idx="2">
                  <c:v>R2 - 49m2</c:v>
                </c:pt>
                <c:pt idx="3">
                  <c:v>R3 - 60m2</c:v>
                </c:pt>
                <c:pt idx="4">
                  <c:v>R4 - 52m2</c:v>
                </c:pt>
                <c:pt idx="5">
                  <c:v>R5 - m2</c:v>
                </c:pt>
                <c:pt idx="6">
                  <c:v>R6 - m2</c:v>
                </c:pt>
                <c:pt idx="7">
                  <c:v>R7 - m2</c:v>
                </c:pt>
                <c:pt idx="8">
                  <c:v>R8 - m2</c:v>
                </c:pt>
                <c:pt idx="9">
                  <c:v>R9 - m2</c:v>
                </c:pt>
                <c:pt idx="10">
                  <c:v>R10 - m2</c:v>
                </c:pt>
              </c:strCache>
            </c:strRef>
          </c:cat>
          <c:val>
            <c:numRef>
              <c:f>'IA edificado e Rs edificados'!$E$49:$E$59</c:f>
              <c:numCache>
                <c:formatCode>_("R$ "* #,##0.00_);_("R$ "* \(#,##0.00\);_("R$ "* "-"??_);_(@_)</c:formatCode>
                <c:ptCount val="11"/>
                <c:pt idx="0">
                  <c:v>3797.2962404192449</c:v>
                </c:pt>
                <c:pt idx="1">
                  <c:v>4147.0588235294117</c:v>
                </c:pt>
                <c:pt idx="2">
                  <c:v>4132.6530612244896</c:v>
                </c:pt>
                <c:pt idx="3">
                  <c:v>2700</c:v>
                </c:pt>
                <c:pt idx="4">
                  <c:v>4326.9230769230771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0504"/>
        <c:axId val="177410888"/>
      </c:lineChart>
      <c:catAx>
        <c:axId val="17741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10888"/>
        <c:crosses val="autoZero"/>
        <c:auto val="1"/>
        <c:lblAlgn val="ctr"/>
        <c:lblOffset val="100"/>
        <c:tickMarkSkip val="1"/>
        <c:noMultiLvlLbl val="0"/>
      </c:catAx>
      <c:valAx>
        <c:axId val="1774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1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Comparação de Valores brutos dos Imóveis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 terreno e Rs terrenos'!$E$32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25400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cat>
            <c:strRef>
              <c:f>'IA terreno e Rs terrenos'!$D$33:$D$43</c:f>
              <c:strCache>
                <c:ptCount val="11"/>
                <c:pt idx="0">
                  <c:v>IA - 450m2</c:v>
                </c:pt>
                <c:pt idx="1">
                  <c:v>R1 - 380m2</c:v>
                </c:pt>
                <c:pt idx="2">
                  <c:v>R2 - 410m2</c:v>
                </c:pt>
                <c:pt idx="3">
                  <c:v>R3 - 520m2</c:v>
                </c:pt>
                <c:pt idx="4">
                  <c:v>R4 - 470m2</c:v>
                </c:pt>
                <c:pt idx="5">
                  <c:v>R5 - m2</c:v>
                </c:pt>
                <c:pt idx="6">
                  <c:v>R6 - m2</c:v>
                </c:pt>
                <c:pt idx="7">
                  <c:v>R7 - m2</c:v>
                </c:pt>
                <c:pt idx="8">
                  <c:v>R8 - m2</c:v>
                </c:pt>
                <c:pt idx="9">
                  <c:v>R9 - m2</c:v>
                </c:pt>
                <c:pt idx="10">
                  <c:v>R10 - m2</c:v>
                </c:pt>
              </c:strCache>
            </c:strRef>
          </c:cat>
          <c:val>
            <c:numRef>
              <c:f>'IA terreno e Rs terrenos'!$E$33:$E$43</c:f>
              <c:numCache>
                <c:formatCode>_("R$ "* #,##0.00_);_("R$ "* \(#,##0.00\);_("R$ "* "-"??_);_(@_)</c:formatCode>
                <c:ptCount val="11"/>
                <c:pt idx="0">
                  <c:v>436589.79431958805</c:v>
                </c:pt>
                <c:pt idx="1">
                  <c:v>50000</c:v>
                </c:pt>
                <c:pt idx="2">
                  <c:v>380000</c:v>
                </c:pt>
                <c:pt idx="3">
                  <c:v>420000</c:v>
                </c:pt>
                <c:pt idx="4">
                  <c:v>950000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55208"/>
        <c:axId val="177466944"/>
      </c:lineChart>
      <c:catAx>
        <c:axId val="17705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66944"/>
        <c:crosses val="autoZero"/>
        <c:auto val="1"/>
        <c:lblAlgn val="ctr"/>
        <c:lblOffset val="100"/>
        <c:tickMarkSkip val="1"/>
        <c:noMultiLvlLbl val="0"/>
      </c:catAx>
      <c:valAx>
        <c:axId val="1774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05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Comparação de Valores de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Metro Quadrado dos Imóveis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 terreno e Rs terrenos'!$E$47</c:f>
              <c:strCache>
                <c:ptCount val="1"/>
                <c:pt idx="0">
                  <c:v>Valor do 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25400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cat>
            <c:strRef>
              <c:f>'IA terreno e Rs terrenos'!$D$48:$D$58</c:f>
              <c:strCache>
                <c:ptCount val="11"/>
                <c:pt idx="0">
                  <c:v>IA - 450m2</c:v>
                </c:pt>
                <c:pt idx="1">
                  <c:v>R1 - 380m2</c:v>
                </c:pt>
                <c:pt idx="2">
                  <c:v>R2 - 410m2</c:v>
                </c:pt>
                <c:pt idx="3">
                  <c:v>R3 - 520m2</c:v>
                </c:pt>
                <c:pt idx="4">
                  <c:v>R4 - 470m2</c:v>
                </c:pt>
                <c:pt idx="5">
                  <c:v>R5 - m2</c:v>
                </c:pt>
                <c:pt idx="6">
                  <c:v>R6 - m2</c:v>
                </c:pt>
                <c:pt idx="7">
                  <c:v>R7 - m2</c:v>
                </c:pt>
                <c:pt idx="8">
                  <c:v>R8 - m2</c:v>
                </c:pt>
                <c:pt idx="9">
                  <c:v>R9 - m2</c:v>
                </c:pt>
                <c:pt idx="10">
                  <c:v>R10 - m2</c:v>
                </c:pt>
              </c:strCache>
            </c:strRef>
          </c:cat>
          <c:val>
            <c:numRef>
              <c:f>'IA terreno e Rs terrenos'!$E$48:$E$58</c:f>
              <c:numCache>
                <c:formatCode>_("R$ "* #,##0.00_);_("R$ "* \(#,##0.00\);_("R$ "* "-"??_);_(@_)</c:formatCode>
                <c:ptCount val="11"/>
                <c:pt idx="0">
                  <c:v>970.1995429324179</c:v>
                </c:pt>
                <c:pt idx="1">
                  <c:v>125</c:v>
                </c:pt>
                <c:pt idx="2">
                  <c:v>926.82926829268297</c:v>
                </c:pt>
                <c:pt idx="3">
                  <c:v>807.69230769230774</c:v>
                </c:pt>
                <c:pt idx="4">
                  <c:v>2021.2765957446809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3424"/>
        <c:axId val="177513816"/>
      </c:lineChart>
      <c:catAx>
        <c:axId val="1775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3816"/>
        <c:crosses val="autoZero"/>
        <c:auto val="1"/>
        <c:lblAlgn val="ctr"/>
        <c:lblOffset val="100"/>
        <c:tickMarkSkip val="1"/>
        <c:noMultiLvlLbl val="0"/>
      </c:catAx>
      <c:valAx>
        <c:axId val="17751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Comparação de Valores apenas de terrenos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 edificado e Rs terrenos'!$E$32:$E$33</c:f>
              <c:strCache>
                <c:ptCount val="2"/>
                <c:pt idx="0">
                  <c:v>DADOS PARA O GRÁFICO</c:v>
                </c:pt>
                <c:pt idx="1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25400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cat>
            <c:strRef>
              <c:f>'IA edificado e Rs terrenos'!$D$34:$D$44</c:f>
              <c:strCache>
                <c:ptCount val="11"/>
                <c:pt idx="0">
                  <c:v>IA - 300m2</c:v>
                </c:pt>
                <c:pt idx="1">
                  <c:v>R1 - 200m2</c:v>
                </c:pt>
                <c:pt idx="2">
                  <c:v>R2 - 280m2</c:v>
                </c:pt>
                <c:pt idx="3">
                  <c:v>R3 - 210m2</c:v>
                </c:pt>
                <c:pt idx="4">
                  <c:v>R4 - 16m2</c:v>
                </c:pt>
                <c:pt idx="5">
                  <c:v>R5 - m2</c:v>
                </c:pt>
                <c:pt idx="6">
                  <c:v>R6 - m2</c:v>
                </c:pt>
                <c:pt idx="7">
                  <c:v>R7 - m2</c:v>
                </c:pt>
                <c:pt idx="8">
                  <c:v>R8 - m2</c:v>
                </c:pt>
                <c:pt idx="9">
                  <c:v>R9 - m2</c:v>
                </c:pt>
                <c:pt idx="10">
                  <c:v>R10 - m2</c:v>
                </c:pt>
              </c:strCache>
            </c:strRef>
          </c:cat>
          <c:val>
            <c:numRef>
              <c:f>'IA edificado e Rs terrenos'!$E$34:$E$44</c:f>
              <c:numCache>
                <c:formatCode>_("R$ "* #,##0.00_);_("R$ "* \(#,##0.00\);_("R$ "* "-"??_);_(@_)</c:formatCode>
                <c:ptCount val="11"/>
                <c:pt idx="0">
                  <c:v>4251383.9285714282</c:v>
                </c:pt>
                <c:pt idx="1">
                  <c:v>200000</c:v>
                </c:pt>
                <c:pt idx="2">
                  <c:v>300000</c:v>
                </c:pt>
                <c:pt idx="3">
                  <c:v>260000</c:v>
                </c:pt>
                <c:pt idx="4">
                  <c:v>900000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1464"/>
        <c:axId val="177512248"/>
      </c:lineChart>
      <c:catAx>
        <c:axId val="17751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2248"/>
        <c:crosses val="autoZero"/>
        <c:auto val="1"/>
        <c:lblAlgn val="ctr"/>
        <c:lblOffset val="100"/>
        <c:tickMarkSkip val="1"/>
        <c:noMultiLvlLbl val="0"/>
      </c:catAx>
      <c:valAx>
        <c:axId val="1775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Comparação de Valores de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Metro Quadrado dos terrenos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 edificado e Rs terrenos'!$E$47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25400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cat>
            <c:strRef>
              <c:f>'IA edificado e Rs terrenos'!$D$49:$D$59</c:f>
              <c:strCache>
                <c:ptCount val="11"/>
                <c:pt idx="0">
                  <c:v>IA - 300m2</c:v>
                </c:pt>
                <c:pt idx="1">
                  <c:v>R1 - 200m2</c:v>
                </c:pt>
                <c:pt idx="2">
                  <c:v>R2 - 280m2</c:v>
                </c:pt>
                <c:pt idx="3">
                  <c:v>R3 - 210m2</c:v>
                </c:pt>
                <c:pt idx="4">
                  <c:v>R4 - 16m2</c:v>
                </c:pt>
                <c:pt idx="5">
                  <c:v>R5 - m2</c:v>
                </c:pt>
                <c:pt idx="6">
                  <c:v>R6 - m2</c:v>
                </c:pt>
                <c:pt idx="7">
                  <c:v>R7 - m2</c:v>
                </c:pt>
                <c:pt idx="8">
                  <c:v>R8 - m2</c:v>
                </c:pt>
                <c:pt idx="9">
                  <c:v>R9 - m2</c:v>
                </c:pt>
                <c:pt idx="10">
                  <c:v>R10 - m2</c:v>
                </c:pt>
              </c:strCache>
            </c:strRef>
          </c:cat>
          <c:val>
            <c:numRef>
              <c:f>'IA edificado e Rs terrenos'!$E$49:$E$59</c:f>
              <c:numCache>
                <c:formatCode>_("R$ "* #,##0.00_);_("R$ "* \(#,##0.00\);_("R$ "* "-"??_);_(@_)</c:formatCode>
                <c:ptCount val="11"/>
                <c:pt idx="0">
                  <c:v>14171.279761904761</c:v>
                </c:pt>
                <c:pt idx="1">
                  <c:v>1000</c:v>
                </c:pt>
                <c:pt idx="2">
                  <c:v>1071.4285714285713</c:v>
                </c:pt>
                <c:pt idx="3">
                  <c:v>1176.1904761904761</c:v>
                </c:pt>
                <c:pt idx="4">
                  <c:v>53437.5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5776"/>
        <c:axId val="177516168"/>
      </c:lineChart>
      <c:catAx>
        <c:axId val="1775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6168"/>
        <c:crosses val="autoZero"/>
        <c:auto val="1"/>
        <c:lblAlgn val="ctr"/>
        <c:lblOffset val="100"/>
        <c:tickMarkSkip val="1"/>
        <c:noMultiLvlLbl val="0"/>
      </c:catAx>
      <c:valAx>
        <c:axId val="1775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Comparação de Valores apenas de terrenos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 terreno e Rs edificados'!$E$32:$E$33</c:f>
              <c:strCache>
                <c:ptCount val="2"/>
                <c:pt idx="0">
                  <c:v>DADOS PARA O GRÁFICO</c:v>
                </c:pt>
                <c:pt idx="1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25400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cat>
            <c:strRef>
              <c:f>'IA terreno e Rs edificados'!$D$34:$D$44</c:f>
              <c:strCache>
                <c:ptCount val="11"/>
                <c:pt idx="0">
                  <c:v>IA - 300m2</c:v>
                </c:pt>
                <c:pt idx="1">
                  <c:v>R1 - 120m2</c:v>
                </c:pt>
                <c:pt idx="2">
                  <c:v>R2 - 200m2</c:v>
                </c:pt>
                <c:pt idx="3">
                  <c:v>R3 - 155m2</c:v>
                </c:pt>
                <c:pt idx="4">
                  <c:v>R4 - 200m2</c:v>
                </c:pt>
                <c:pt idx="5">
                  <c:v>R5 - m2</c:v>
                </c:pt>
                <c:pt idx="6">
                  <c:v>R6 - m2</c:v>
                </c:pt>
                <c:pt idx="7">
                  <c:v>R7 - m2</c:v>
                </c:pt>
                <c:pt idx="8">
                  <c:v>R8 - m2</c:v>
                </c:pt>
                <c:pt idx="9">
                  <c:v>R9 - m2</c:v>
                </c:pt>
                <c:pt idx="10">
                  <c:v>R10 - m2</c:v>
                </c:pt>
              </c:strCache>
            </c:strRef>
          </c:cat>
          <c:val>
            <c:numRef>
              <c:f>'IA terreno e Rs edificados'!$E$34:$E$44</c:f>
              <c:numCache>
                <c:formatCode>_("R$ "* #,##0.00_);_("R$ "* \(#,##0.00\);_("R$ "* "-"??_);_(@_)</c:formatCode>
                <c:ptCount val="11"/>
                <c:pt idx="0">
                  <c:v>213562.94710306445</c:v>
                </c:pt>
                <c:pt idx="1">
                  <c:v>91915.258499999996</c:v>
                </c:pt>
                <c:pt idx="2">
                  <c:v>134419.30749999994</c:v>
                </c:pt>
                <c:pt idx="3">
                  <c:v>139794.00039999996</c:v>
                </c:pt>
                <c:pt idx="4">
                  <c:v>101510.43192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6560"/>
        <c:axId val="177516952"/>
      </c:lineChart>
      <c:catAx>
        <c:axId val="1775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6952"/>
        <c:crosses val="autoZero"/>
        <c:auto val="1"/>
        <c:lblAlgn val="ctr"/>
        <c:lblOffset val="100"/>
        <c:tickMarkSkip val="1"/>
        <c:noMultiLvlLbl val="0"/>
      </c:catAx>
      <c:valAx>
        <c:axId val="1775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Comparação de Valores de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pt-BR" sz="1400" b="1" i="0" u="none" strike="noStrike" baseline="0">
                <a:solidFill>
                  <a:schemeClr val="tx1"/>
                </a:solidFill>
                <a:effectLst/>
              </a:rPr>
              <a:t>Metro Quadrado dos terrenos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 terreno e Rs edificados'!$E$47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25400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cat>
            <c:strRef>
              <c:f>'IA terreno e Rs edificados'!$D$49:$D$59</c:f>
              <c:strCache>
                <c:ptCount val="11"/>
                <c:pt idx="0">
                  <c:v>IA - 300m2</c:v>
                </c:pt>
                <c:pt idx="1">
                  <c:v>R1 - 120m2</c:v>
                </c:pt>
                <c:pt idx="2">
                  <c:v>R2 - 200m2</c:v>
                </c:pt>
                <c:pt idx="3">
                  <c:v>R3 - 155m2</c:v>
                </c:pt>
                <c:pt idx="4">
                  <c:v>R4 - 200m2</c:v>
                </c:pt>
                <c:pt idx="5">
                  <c:v>R5 - m2</c:v>
                </c:pt>
                <c:pt idx="6">
                  <c:v>R6 - m2</c:v>
                </c:pt>
                <c:pt idx="7">
                  <c:v>R7 - m2</c:v>
                </c:pt>
                <c:pt idx="8">
                  <c:v>R8 - m2</c:v>
                </c:pt>
                <c:pt idx="9">
                  <c:v>R9 - m2</c:v>
                </c:pt>
                <c:pt idx="10">
                  <c:v>R10 - m2</c:v>
                </c:pt>
              </c:strCache>
            </c:strRef>
          </c:cat>
          <c:val>
            <c:numRef>
              <c:f>'IA terreno e Rs edificados'!$E$49:$E$59</c:f>
              <c:numCache>
                <c:formatCode>_("R$ "* #,##0.00_);_("R$ "* \(#,##0.00\);_("R$ "* "-"??_);_(@_)</c:formatCode>
                <c:ptCount val="11"/>
                <c:pt idx="0">
                  <c:v>711.8764903435482</c:v>
                </c:pt>
                <c:pt idx="1">
                  <c:v>765.9604875</c:v>
                </c:pt>
                <c:pt idx="2">
                  <c:v>672.09653749999973</c:v>
                </c:pt>
                <c:pt idx="3">
                  <c:v>901.89677677419331</c:v>
                </c:pt>
                <c:pt idx="4">
                  <c:v>507.55215960000004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4208"/>
        <c:axId val="177517736"/>
      </c:lineChart>
      <c:catAx>
        <c:axId val="1775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7736"/>
        <c:crosses val="autoZero"/>
        <c:auto val="1"/>
        <c:lblAlgn val="ctr"/>
        <c:lblOffset val="100"/>
        <c:tickMarkSkip val="1"/>
        <c:noMultiLvlLbl val="0"/>
      </c:catAx>
      <c:valAx>
        <c:axId val="17751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31</xdr:row>
      <xdr:rowOff>176212</xdr:rowOff>
    </xdr:from>
    <xdr:to>
      <xdr:col>11</xdr:col>
      <xdr:colOff>280987</xdr:colOff>
      <xdr:row>46</xdr:row>
      <xdr:rowOff>61912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46</xdr:row>
      <xdr:rowOff>180975</xdr:rowOff>
    </xdr:from>
    <xdr:to>
      <xdr:col>11</xdr:col>
      <xdr:colOff>276225</xdr:colOff>
      <xdr:row>61</xdr:row>
      <xdr:rowOff>66675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30</xdr:row>
      <xdr:rowOff>176212</xdr:rowOff>
    </xdr:from>
    <xdr:to>
      <xdr:col>10</xdr:col>
      <xdr:colOff>923925</xdr:colOff>
      <xdr:row>45</xdr:row>
      <xdr:rowOff>61912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45</xdr:row>
      <xdr:rowOff>180975</xdr:rowOff>
    </xdr:from>
    <xdr:to>
      <xdr:col>10</xdr:col>
      <xdr:colOff>919163</xdr:colOff>
      <xdr:row>60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31</xdr:row>
      <xdr:rowOff>176212</xdr:rowOff>
    </xdr:from>
    <xdr:to>
      <xdr:col>10</xdr:col>
      <xdr:colOff>923925</xdr:colOff>
      <xdr:row>46</xdr:row>
      <xdr:rowOff>61912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46</xdr:row>
      <xdr:rowOff>180975</xdr:rowOff>
    </xdr:from>
    <xdr:to>
      <xdr:col>10</xdr:col>
      <xdr:colOff>919163</xdr:colOff>
      <xdr:row>61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31</xdr:row>
      <xdr:rowOff>176212</xdr:rowOff>
    </xdr:from>
    <xdr:to>
      <xdr:col>11</xdr:col>
      <xdr:colOff>895350</xdr:colOff>
      <xdr:row>46</xdr:row>
      <xdr:rowOff>61912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46</xdr:row>
      <xdr:rowOff>180975</xdr:rowOff>
    </xdr:from>
    <xdr:to>
      <xdr:col>11</xdr:col>
      <xdr:colOff>904875</xdr:colOff>
      <xdr:row>61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63"/>
  <sheetViews>
    <sheetView showGridLines="0" tabSelected="1" topLeftCell="A14" zoomScale="80" zoomScaleNormal="80" workbookViewId="0">
      <selection activeCell="J18" sqref="J18"/>
    </sheetView>
  </sheetViews>
  <sheetFormatPr defaultRowHeight="15" x14ac:dyDescent="0.25"/>
  <cols>
    <col min="1" max="2" width="1.42578125" style="4" customWidth="1"/>
    <col min="3" max="3" width="5.5703125" style="4" customWidth="1"/>
    <col min="4" max="4" width="10.140625" style="4" customWidth="1"/>
    <col min="5" max="5" width="14.85546875" style="4" customWidth="1"/>
    <col min="6" max="6" width="5.28515625" style="4" customWidth="1"/>
    <col min="7" max="7" width="10.42578125" style="4" customWidth="1"/>
    <col min="8" max="8" width="15.28515625" style="4" bestFit="1" customWidth="1"/>
    <col min="9" max="9" width="17.42578125" style="4" customWidth="1"/>
    <col min="10" max="10" width="7.5703125" style="4" customWidth="1"/>
    <col min="11" max="11" width="15.7109375" style="4" bestFit="1" customWidth="1"/>
    <col min="12" max="12" width="14.5703125" style="4" customWidth="1"/>
    <col min="13" max="13" width="1.7109375" style="4" customWidth="1"/>
    <col min="14" max="14" width="9.85546875" style="4" customWidth="1"/>
    <col min="15" max="15" width="7.42578125" style="4" customWidth="1"/>
    <col min="16" max="16" width="10.7109375" style="4" customWidth="1"/>
    <col min="17" max="17" width="34.5703125" style="4" customWidth="1"/>
    <col min="18" max="18" width="2.28515625" style="4" bestFit="1" customWidth="1"/>
    <col min="19" max="20" width="12.140625" style="4" customWidth="1"/>
    <col min="21" max="21" width="16.7109375" style="4" customWidth="1"/>
    <col min="22" max="22" width="3" style="4" customWidth="1"/>
    <col min="23" max="23" width="1.42578125" style="4" customWidth="1"/>
    <col min="24" max="24" width="9.5703125" style="4" bestFit="1" customWidth="1"/>
    <col min="25" max="26" width="17.28515625" style="4" customWidth="1"/>
    <col min="27" max="27" width="9.140625" style="4"/>
    <col min="28" max="28" width="13.28515625" style="4" bestFit="1" customWidth="1"/>
    <col min="29" max="29" width="12.140625" style="5" bestFit="1" customWidth="1"/>
    <col min="30" max="30" width="13" style="4" customWidth="1"/>
    <col min="31" max="32" width="14.28515625" style="6" bestFit="1" customWidth="1"/>
    <col min="33" max="33" width="9.140625" style="4"/>
    <col min="34" max="34" width="17.42578125" style="4" customWidth="1"/>
    <col min="35" max="35" width="14.28515625" style="4" bestFit="1" customWidth="1"/>
    <col min="36" max="36" width="9.140625" style="4"/>
    <col min="37" max="37" width="14.28515625" style="4" bestFit="1" customWidth="1"/>
    <col min="38" max="16384" width="9.140625" style="4"/>
  </cols>
  <sheetData>
    <row r="1" spans="2:35" ht="6.75" customHeight="1" thickBot="1" x14ac:dyDescent="0.3"/>
    <row r="2" spans="2:35" ht="7.5" customHeight="1" thickBo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</row>
    <row r="3" spans="2:35" ht="7.5" customHeight="1" x14ac:dyDescent="0.25">
      <c r="B3" s="10"/>
      <c r="C3" s="178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80"/>
      <c r="W3" s="11"/>
    </row>
    <row r="4" spans="2:35" ht="23.25" x14ac:dyDescent="0.35">
      <c r="B4" s="10"/>
      <c r="C4" s="181" t="s">
        <v>10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3"/>
      <c r="W4" s="11"/>
    </row>
    <row r="5" spans="2:35" ht="7.5" customHeight="1" thickBot="1" x14ac:dyDescent="0.3">
      <c r="B5" s="10"/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6"/>
      <c r="W5" s="11"/>
    </row>
    <row r="6" spans="2:35" ht="15.75" thickBot="1" x14ac:dyDescent="0.3">
      <c r="B6" s="10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W6" s="11"/>
    </row>
    <row r="7" spans="2:35" x14ac:dyDescent="0.25">
      <c r="B7" s="10"/>
      <c r="C7" s="192" t="s">
        <v>19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45"/>
      <c r="P7" s="45"/>
      <c r="Q7" s="13"/>
      <c r="R7" s="13"/>
      <c r="S7" s="8"/>
      <c r="T7" s="8"/>
      <c r="U7" s="9"/>
      <c r="W7" s="11"/>
    </row>
    <row r="8" spans="2:35" x14ac:dyDescent="0.25">
      <c r="B8" s="10"/>
      <c r="C8" s="190" t="s">
        <v>21</v>
      </c>
      <c r="D8" s="191"/>
      <c r="E8" s="187" t="s">
        <v>184</v>
      </c>
      <c r="F8" s="187"/>
      <c r="G8" s="187"/>
      <c r="H8" s="187"/>
      <c r="I8" s="187"/>
      <c r="J8" s="187"/>
      <c r="K8" s="187"/>
      <c r="L8" s="187"/>
      <c r="M8" s="194" t="s">
        <v>22</v>
      </c>
      <c r="N8" s="194"/>
      <c r="O8" s="46"/>
      <c r="P8" s="46"/>
      <c r="Q8" s="47" t="s">
        <v>187</v>
      </c>
      <c r="R8" s="14"/>
      <c r="S8" s="12"/>
      <c r="T8" s="12"/>
      <c r="U8" s="11"/>
      <c r="W8" s="11"/>
    </row>
    <row r="9" spans="2:35" ht="17.25" x14ac:dyDescent="0.25">
      <c r="B9" s="10"/>
      <c r="C9" s="190" t="s">
        <v>13</v>
      </c>
      <c r="D9" s="191"/>
      <c r="E9" s="106">
        <v>2760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1"/>
      <c r="W9" s="11"/>
    </row>
    <row r="10" spans="2:35" ht="17.25" x14ac:dyDescent="0.25">
      <c r="B10" s="10"/>
      <c r="C10" s="190" t="s">
        <v>14</v>
      </c>
      <c r="D10" s="191"/>
      <c r="E10" s="106">
        <v>51</v>
      </c>
      <c r="F10" s="54"/>
      <c r="G10" s="54"/>
      <c r="H10" s="15" t="s">
        <v>67</v>
      </c>
      <c r="I10" s="3">
        <v>10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1"/>
      <c r="W10" s="11"/>
    </row>
    <row r="11" spans="2:35" ht="7.5" customHeight="1" thickBot="1" x14ac:dyDescent="0.3">
      <c r="B11" s="10"/>
      <c r="C11" s="17"/>
      <c r="D11" s="18"/>
      <c r="E11" s="19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0"/>
      <c r="W11" s="11"/>
    </row>
    <row r="12" spans="2:35" x14ac:dyDescent="0.25">
      <c r="B12" s="10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2"/>
      <c r="N12" s="12"/>
      <c r="O12" s="12"/>
      <c r="P12" s="12"/>
      <c r="Q12" s="12"/>
      <c r="R12" s="12"/>
      <c r="S12" s="12"/>
      <c r="T12" s="12"/>
      <c r="U12" s="12"/>
      <c r="W12" s="11"/>
      <c r="Y12" s="42"/>
    </row>
    <row r="13" spans="2:35" x14ac:dyDescent="0.25">
      <c r="B13" s="10"/>
      <c r="C13" s="200" t="s">
        <v>20</v>
      </c>
      <c r="D13" s="200"/>
      <c r="E13" s="200"/>
      <c r="F13" s="200"/>
      <c r="G13" s="200"/>
      <c r="H13" s="200"/>
      <c r="I13" s="200"/>
      <c r="J13" s="200"/>
      <c r="K13" s="175">
        <v>0.1</v>
      </c>
      <c r="L13" s="174"/>
      <c r="M13" s="12"/>
      <c r="N13" s="136" t="s">
        <v>130</v>
      </c>
      <c r="O13" s="137"/>
      <c r="P13" s="137"/>
      <c r="Q13" s="137"/>
      <c r="R13" s="137"/>
      <c r="S13" s="138"/>
      <c r="T13" s="138"/>
      <c r="U13" s="139"/>
      <c r="W13" s="11"/>
      <c r="Y13" s="39"/>
    </row>
    <row r="14" spans="2:35" ht="62.25" x14ac:dyDescent="0.25">
      <c r="B14" s="10"/>
      <c r="C14" s="174"/>
      <c r="D14" s="188" t="s">
        <v>11</v>
      </c>
      <c r="E14" s="188"/>
      <c r="F14" s="188"/>
      <c r="G14" s="176" t="s">
        <v>15</v>
      </c>
      <c r="H14" s="176" t="s">
        <v>61</v>
      </c>
      <c r="I14" s="176" t="s">
        <v>12</v>
      </c>
      <c r="J14" s="176" t="s">
        <v>17</v>
      </c>
      <c r="K14" s="176" t="s">
        <v>129</v>
      </c>
      <c r="L14" s="176" t="s">
        <v>64</v>
      </c>
      <c r="M14" s="12"/>
      <c r="N14" s="23" t="s">
        <v>23</v>
      </c>
      <c r="O14" s="44" t="s">
        <v>65</v>
      </c>
      <c r="P14" s="53" t="s">
        <v>66</v>
      </c>
      <c r="Q14" s="201" t="s">
        <v>57</v>
      </c>
      <c r="R14" s="202"/>
      <c r="S14" s="22" t="s">
        <v>58</v>
      </c>
      <c r="T14" s="22" t="s">
        <v>59</v>
      </c>
      <c r="U14" s="24" t="s">
        <v>60</v>
      </c>
      <c r="W14" s="11"/>
      <c r="Y14" s="25"/>
      <c r="Z14" s="25"/>
      <c r="AA14" s="26"/>
      <c r="AB14" s="27"/>
      <c r="AD14" s="25"/>
      <c r="AE14" s="28"/>
      <c r="AH14" s="26"/>
      <c r="AI14" s="26"/>
    </row>
    <row r="15" spans="2:35" x14ac:dyDescent="0.25">
      <c r="B15" s="10"/>
      <c r="C15" s="177" t="s">
        <v>0</v>
      </c>
      <c r="D15" s="189" t="s">
        <v>185</v>
      </c>
      <c r="E15" s="189"/>
      <c r="F15" s="189"/>
      <c r="G15" s="147">
        <v>51</v>
      </c>
      <c r="H15" s="173" t="s">
        <v>62</v>
      </c>
      <c r="I15" s="169">
        <v>235000</v>
      </c>
      <c r="J15" s="147">
        <v>10</v>
      </c>
      <c r="K15" s="169">
        <f>IF(H15="Anúncio",-I15*$K$13,0)</f>
        <v>-23500</v>
      </c>
      <c r="L15" s="169">
        <f>IF(OR(I15="",I15=0),"",((I15+K15)/G15))</f>
        <v>4147.0588235294117</v>
      </c>
      <c r="M15" s="12"/>
      <c r="N15" s="16">
        <f>$I$10-J15</f>
        <v>0</v>
      </c>
      <c r="O15" s="47">
        <v>70</v>
      </c>
      <c r="P15" s="16">
        <f>IFERROR(EVEN(N15/O15*100),0)</f>
        <v>0</v>
      </c>
      <c r="Q15" s="2" t="s">
        <v>41</v>
      </c>
      <c r="R15" s="16" t="str">
        <f>IF(Q15="","",VLOOKUP(Q15,'Tabela Ross-Heidecke'!$B$6:$C$14,2,FALSE))</f>
        <v>B</v>
      </c>
      <c r="S15" s="31">
        <f>IF(R15="A",2,IF(R15="B",3,IF(R15="C",4,IF(R15="D",5,IF(R15="E",6,IF(R15="F",7,IF(R15="G",8,IF(R15="H",9,""))))))))</f>
        <v>3</v>
      </c>
      <c r="T15" s="32" t="str">
        <f>IFERROR(VLOOKUP(EVEN(P15*SIGN(P15)),'Tabela Ross-Heidecke'!$E$7:$M$56,S15,FALSE),"")</f>
        <v/>
      </c>
      <c r="U15" s="40">
        <f>IFERROR(IF(SIGN(N15)=1,(L15-(L15*T15/100)),IF(SIGN(N15)=-1,(L15/((100-T15)/100)),L15)),0)</f>
        <v>4147.0588235294117</v>
      </c>
      <c r="V15" s="43">
        <f>U15-L15</f>
        <v>0</v>
      </c>
      <c r="W15" s="11"/>
      <c r="X15" s="5"/>
      <c r="Y15" s="6"/>
      <c r="Z15" s="6"/>
      <c r="AB15" s="6"/>
    </row>
    <row r="16" spans="2:35" x14ac:dyDescent="0.25">
      <c r="B16" s="10"/>
      <c r="C16" s="177" t="s">
        <v>1</v>
      </c>
      <c r="D16" s="189" t="s">
        <v>185</v>
      </c>
      <c r="E16" s="189"/>
      <c r="F16" s="189"/>
      <c r="G16" s="147">
        <v>49</v>
      </c>
      <c r="H16" s="173" t="s">
        <v>62</v>
      </c>
      <c r="I16" s="169">
        <v>225000</v>
      </c>
      <c r="J16" s="147">
        <v>10</v>
      </c>
      <c r="K16" s="169">
        <f>IF(H16="Anúncio",-I16*$K$13,0)</f>
        <v>-22500</v>
      </c>
      <c r="L16" s="169">
        <f t="shared" ref="L16:L24" si="0">IF(OR(I16="",I16=0),"",((I16+K16)/G16))</f>
        <v>4132.6530612244896</v>
      </c>
      <c r="M16" s="12"/>
      <c r="N16" s="16">
        <f t="shared" ref="N16:N24" si="1">$I$10-J16</f>
        <v>0</v>
      </c>
      <c r="O16" s="47">
        <v>70</v>
      </c>
      <c r="P16" s="16">
        <f t="shared" ref="P16:P24" si="2">IFERROR(EVEN(N16/O16*100),0)</f>
        <v>0</v>
      </c>
      <c r="Q16" s="50" t="s">
        <v>41</v>
      </c>
      <c r="R16" s="16" t="str">
        <f>IF(Q16="","",VLOOKUP(Q16,'Tabela Ross-Heidecke'!$B$6:$C$14,2,FALSE))</f>
        <v>B</v>
      </c>
      <c r="S16" s="31">
        <f t="shared" ref="S16:S24" si="3">IF(R16="A",2,IF(R16="B",3,IF(R16="C",4,IF(R16="D",5,IF(R16="E",6,IF(R16="F",7,IF(R16="G",8,IF(R16="H",9,""))))))))</f>
        <v>3</v>
      </c>
      <c r="T16" s="32" t="str">
        <f>IFERROR(VLOOKUP(EVEN(P16*SIGN(P16)),'Tabela Ross-Heidecke'!$E$7:$M$56,S16,FALSE),"")</f>
        <v/>
      </c>
      <c r="U16" s="40">
        <f t="shared" ref="U16:U24" si="4">IFERROR(IF(SIGN(N16)=1,(L16-(L16*T16/100)),IF(SIGN(N16)=-1,(L16/((100-T16)/100)),L16)),0)</f>
        <v>4132.6530612244896</v>
      </c>
      <c r="V16" s="43">
        <f t="shared" ref="V16:V24" si="5">U16-L16</f>
        <v>0</v>
      </c>
      <c r="W16" s="11"/>
      <c r="X16" s="5"/>
      <c r="Y16" s="6"/>
      <c r="Z16" s="6"/>
      <c r="AB16" s="6"/>
      <c r="AI16" s="6"/>
    </row>
    <row r="17" spans="2:35" x14ac:dyDescent="0.25">
      <c r="B17" s="10"/>
      <c r="C17" s="177" t="s">
        <v>2</v>
      </c>
      <c r="D17" s="189" t="s">
        <v>186</v>
      </c>
      <c r="E17" s="189"/>
      <c r="F17" s="189"/>
      <c r="G17" s="147">
        <v>60</v>
      </c>
      <c r="H17" s="173" t="s">
        <v>62</v>
      </c>
      <c r="I17" s="169">
        <v>180000</v>
      </c>
      <c r="J17" s="147">
        <v>5</v>
      </c>
      <c r="K17" s="169">
        <f t="shared" ref="K17:K24" si="6">IF(H17="Anúncio",-I17*$K$13,0)</f>
        <v>-18000</v>
      </c>
      <c r="L17" s="169">
        <f t="shared" si="0"/>
        <v>2700</v>
      </c>
      <c r="M17" s="12"/>
      <c r="N17" s="16">
        <f t="shared" si="1"/>
        <v>5</v>
      </c>
      <c r="O17" s="47">
        <v>70</v>
      </c>
      <c r="P17" s="16">
        <f t="shared" si="2"/>
        <v>8</v>
      </c>
      <c r="Q17" s="50" t="s">
        <v>41</v>
      </c>
      <c r="R17" s="16" t="str">
        <f>IF(Q17="","",VLOOKUP(Q17,'Tabela Ross-Heidecke'!$B$6:$C$14,2,FALSE))</f>
        <v>B</v>
      </c>
      <c r="S17" s="31">
        <f t="shared" si="3"/>
        <v>3</v>
      </c>
      <c r="T17" s="32">
        <f>IFERROR(VLOOKUP(EVEN(P17*SIGN(P17)),'Tabela Ross-Heidecke'!$E$7:$M$56,S17,FALSE),"")</f>
        <v>4.3499999999999996</v>
      </c>
      <c r="U17" s="40">
        <f t="shared" si="4"/>
        <v>2582.5500000000002</v>
      </c>
      <c r="V17" s="43">
        <f t="shared" si="5"/>
        <v>-117.44999999999982</v>
      </c>
      <c r="W17" s="11"/>
      <c r="X17" s="33"/>
      <c r="Y17" s="6"/>
      <c r="Z17" s="6"/>
      <c r="AB17" s="6"/>
      <c r="AI17" s="6"/>
    </row>
    <row r="18" spans="2:35" x14ac:dyDescent="0.25">
      <c r="B18" s="10"/>
      <c r="C18" s="29" t="s">
        <v>3</v>
      </c>
      <c r="D18" s="187" t="s">
        <v>185</v>
      </c>
      <c r="E18" s="187"/>
      <c r="F18" s="187"/>
      <c r="G18" s="3">
        <v>52</v>
      </c>
      <c r="H18" s="2" t="s">
        <v>62</v>
      </c>
      <c r="I18" s="1">
        <v>250000</v>
      </c>
      <c r="J18" s="47">
        <v>10</v>
      </c>
      <c r="K18" s="30">
        <f t="shared" si="6"/>
        <v>-25000</v>
      </c>
      <c r="L18" s="30">
        <f t="shared" si="0"/>
        <v>4326.9230769230771</v>
      </c>
      <c r="M18" s="12"/>
      <c r="N18" s="16">
        <f t="shared" si="1"/>
        <v>0</v>
      </c>
      <c r="O18" s="47">
        <v>70</v>
      </c>
      <c r="P18" s="16">
        <f t="shared" si="2"/>
        <v>0</v>
      </c>
      <c r="Q18" s="2" t="s">
        <v>41</v>
      </c>
      <c r="R18" s="16" t="str">
        <f>IF(Q18="","",VLOOKUP(Q18,'Tabela Ross-Heidecke'!$B$6:$C$14,2,FALSE))</f>
        <v>B</v>
      </c>
      <c r="S18" s="31">
        <f t="shared" si="3"/>
        <v>3</v>
      </c>
      <c r="T18" s="32" t="str">
        <f>IFERROR(VLOOKUP(EVEN(P18*SIGN(P18)),'Tabela Ross-Heidecke'!$E$7:$M$56,S18,FALSE),"")</f>
        <v/>
      </c>
      <c r="U18" s="40">
        <f t="shared" si="4"/>
        <v>4326.9230769230771</v>
      </c>
      <c r="V18" s="43">
        <f t="shared" si="5"/>
        <v>0</v>
      </c>
      <c r="W18" s="11"/>
      <c r="X18" s="5"/>
      <c r="Y18" s="6"/>
      <c r="Z18" s="6"/>
      <c r="AB18" s="6"/>
      <c r="AI18" s="6"/>
    </row>
    <row r="19" spans="2:35" x14ac:dyDescent="0.25">
      <c r="B19" s="10"/>
      <c r="C19" s="29" t="s">
        <v>4</v>
      </c>
      <c r="D19" s="187"/>
      <c r="E19" s="187"/>
      <c r="F19" s="187"/>
      <c r="G19" s="3"/>
      <c r="H19" s="2"/>
      <c r="I19" s="1"/>
      <c r="J19" s="47"/>
      <c r="K19" s="30">
        <f t="shared" si="6"/>
        <v>0</v>
      </c>
      <c r="L19" s="30" t="str">
        <f t="shared" si="0"/>
        <v/>
      </c>
      <c r="M19" s="12"/>
      <c r="N19" s="16">
        <f t="shared" si="1"/>
        <v>10</v>
      </c>
      <c r="O19" s="47"/>
      <c r="P19" s="16">
        <f t="shared" si="2"/>
        <v>0</v>
      </c>
      <c r="Q19" s="2"/>
      <c r="R19" s="16" t="str">
        <f>IF(Q19="","",VLOOKUP(Q19,'Tabela Ross-Heidecke'!$B$6:$C$14,2,FALSE))</f>
        <v/>
      </c>
      <c r="S19" s="31" t="str">
        <f t="shared" si="3"/>
        <v/>
      </c>
      <c r="T19" s="32" t="str">
        <f>IFERROR(VLOOKUP(EVEN(P19*SIGN(P19)),'Tabela Ross-Heidecke'!$E$7:$M$56,S19,FALSE),"")</f>
        <v/>
      </c>
      <c r="U19" s="40">
        <f t="shared" si="4"/>
        <v>0</v>
      </c>
      <c r="V19" s="43" t="e">
        <f t="shared" si="5"/>
        <v>#VALUE!</v>
      </c>
      <c r="W19" s="11"/>
      <c r="X19" s="5"/>
      <c r="Y19" s="6"/>
      <c r="Z19" s="6"/>
      <c r="AB19" s="6"/>
      <c r="AI19" s="6"/>
    </row>
    <row r="20" spans="2:35" x14ac:dyDescent="0.25">
      <c r="B20" s="10"/>
      <c r="C20" s="29" t="s">
        <v>5</v>
      </c>
      <c r="D20" s="187"/>
      <c r="E20" s="187"/>
      <c r="F20" s="187"/>
      <c r="G20" s="3"/>
      <c r="H20" s="2"/>
      <c r="I20" s="1"/>
      <c r="J20" s="47"/>
      <c r="K20" s="30">
        <f t="shared" si="6"/>
        <v>0</v>
      </c>
      <c r="L20" s="30" t="str">
        <f t="shared" si="0"/>
        <v/>
      </c>
      <c r="M20" s="12"/>
      <c r="N20" s="16">
        <f t="shared" si="1"/>
        <v>10</v>
      </c>
      <c r="O20" s="47"/>
      <c r="P20" s="16">
        <f t="shared" si="2"/>
        <v>0</v>
      </c>
      <c r="Q20" s="2"/>
      <c r="R20" s="16" t="str">
        <f>IF(Q20="","",VLOOKUP(Q20,'Tabela Ross-Heidecke'!$B$6:$C$14,2,FALSE))</f>
        <v/>
      </c>
      <c r="S20" s="31" t="str">
        <f t="shared" si="3"/>
        <v/>
      </c>
      <c r="T20" s="32" t="str">
        <f>IFERROR(VLOOKUP(EVEN(P20*SIGN(P20)),'Tabela Ross-Heidecke'!$E$7:$M$56,S20,FALSE),"")</f>
        <v/>
      </c>
      <c r="U20" s="40">
        <f t="shared" si="4"/>
        <v>0</v>
      </c>
      <c r="V20" s="43" t="e">
        <f t="shared" si="5"/>
        <v>#VALUE!</v>
      </c>
      <c r="W20" s="11"/>
      <c r="X20" s="5"/>
      <c r="Y20" s="6"/>
      <c r="Z20" s="6"/>
      <c r="AB20" s="6"/>
      <c r="AI20" s="6"/>
    </row>
    <row r="21" spans="2:35" x14ac:dyDescent="0.25">
      <c r="B21" s="10"/>
      <c r="C21" s="29" t="s">
        <v>6</v>
      </c>
      <c r="D21" s="187"/>
      <c r="E21" s="187"/>
      <c r="F21" s="187"/>
      <c r="G21" s="3"/>
      <c r="H21" s="2"/>
      <c r="I21" s="1"/>
      <c r="J21" s="47"/>
      <c r="K21" s="30">
        <f t="shared" si="6"/>
        <v>0</v>
      </c>
      <c r="L21" s="30" t="str">
        <f t="shared" si="0"/>
        <v/>
      </c>
      <c r="M21" s="12"/>
      <c r="N21" s="16">
        <f t="shared" si="1"/>
        <v>10</v>
      </c>
      <c r="O21" s="47"/>
      <c r="P21" s="16">
        <f t="shared" si="2"/>
        <v>0</v>
      </c>
      <c r="Q21" s="2"/>
      <c r="R21" s="16" t="str">
        <f>IF(Q21="","",VLOOKUP(Q21,'Tabela Ross-Heidecke'!$B$6:$C$14,2,FALSE))</f>
        <v/>
      </c>
      <c r="S21" s="31" t="str">
        <f t="shared" si="3"/>
        <v/>
      </c>
      <c r="T21" s="32" t="str">
        <f>IFERROR(VLOOKUP(EVEN(P21*SIGN(P21)),'Tabela Ross-Heidecke'!$E$7:$M$56,S21,FALSE),"")</f>
        <v/>
      </c>
      <c r="U21" s="40">
        <f t="shared" si="4"/>
        <v>0</v>
      </c>
      <c r="V21" s="43" t="e">
        <f t="shared" si="5"/>
        <v>#VALUE!</v>
      </c>
      <c r="W21" s="11"/>
      <c r="X21" s="5"/>
      <c r="Y21" s="6"/>
      <c r="Z21" s="6"/>
      <c r="AB21" s="6"/>
      <c r="AI21" s="6"/>
    </row>
    <row r="22" spans="2:35" x14ac:dyDescent="0.25">
      <c r="B22" s="10"/>
      <c r="C22" s="29" t="s">
        <v>7</v>
      </c>
      <c r="D22" s="187"/>
      <c r="E22" s="187"/>
      <c r="F22" s="187"/>
      <c r="G22" s="3"/>
      <c r="H22" s="2"/>
      <c r="I22" s="1"/>
      <c r="J22" s="47"/>
      <c r="K22" s="30">
        <f t="shared" si="6"/>
        <v>0</v>
      </c>
      <c r="L22" s="30" t="str">
        <f t="shared" si="0"/>
        <v/>
      </c>
      <c r="M22" s="12"/>
      <c r="N22" s="16">
        <f t="shared" si="1"/>
        <v>10</v>
      </c>
      <c r="O22" s="47"/>
      <c r="P22" s="16">
        <f t="shared" si="2"/>
        <v>0</v>
      </c>
      <c r="Q22" s="2"/>
      <c r="R22" s="16" t="str">
        <f>IF(Q22="","",VLOOKUP(Q22,'Tabela Ross-Heidecke'!$B$6:$C$14,2,FALSE))</f>
        <v/>
      </c>
      <c r="S22" s="31" t="str">
        <f t="shared" si="3"/>
        <v/>
      </c>
      <c r="T22" s="32" t="str">
        <f>IFERROR(VLOOKUP(EVEN(P22*SIGN(P22)),'Tabela Ross-Heidecke'!$E$7:$M$56,S22,FALSE),"")</f>
        <v/>
      </c>
      <c r="U22" s="40">
        <f t="shared" si="4"/>
        <v>0</v>
      </c>
      <c r="V22" s="43" t="e">
        <f t="shared" si="5"/>
        <v>#VALUE!</v>
      </c>
      <c r="W22" s="11"/>
      <c r="X22" s="5"/>
      <c r="Y22" s="6"/>
      <c r="Z22" s="6"/>
      <c r="AB22" s="6"/>
      <c r="AI22" s="6"/>
    </row>
    <row r="23" spans="2:35" x14ac:dyDescent="0.25">
      <c r="B23" s="10"/>
      <c r="C23" s="29" t="s">
        <v>8</v>
      </c>
      <c r="D23" s="187"/>
      <c r="E23" s="187"/>
      <c r="F23" s="187"/>
      <c r="G23" s="3"/>
      <c r="H23" s="2"/>
      <c r="I23" s="1"/>
      <c r="J23" s="47"/>
      <c r="K23" s="30">
        <f t="shared" si="6"/>
        <v>0</v>
      </c>
      <c r="L23" s="30" t="str">
        <f t="shared" si="0"/>
        <v/>
      </c>
      <c r="M23" s="12"/>
      <c r="N23" s="16">
        <f t="shared" si="1"/>
        <v>10</v>
      </c>
      <c r="O23" s="47"/>
      <c r="P23" s="16">
        <f t="shared" si="2"/>
        <v>0</v>
      </c>
      <c r="Q23" s="2"/>
      <c r="R23" s="16" t="str">
        <f>IF(Q23="","",VLOOKUP(Q23,'Tabela Ross-Heidecke'!$B$6:$C$14,2,FALSE))</f>
        <v/>
      </c>
      <c r="S23" s="31" t="str">
        <f t="shared" si="3"/>
        <v/>
      </c>
      <c r="T23" s="32" t="str">
        <f>IFERROR(VLOOKUP(EVEN(P23*SIGN(P23)),'Tabela Ross-Heidecke'!$E$7:$M$56,S23,FALSE),"")</f>
        <v/>
      </c>
      <c r="U23" s="40">
        <f t="shared" si="4"/>
        <v>0</v>
      </c>
      <c r="V23" s="43" t="e">
        <f t="shared" si="5"/>
        <v>#VALUE!</v>
      </c>
      <c r="W23" s="11"/>
      <c r="X23" s="5"/>
      <c r="Y23" s="6"/>
      <c r="Z23" s="6"/>
      <c r="AB23" s="6"/>
      <c r="AI23" s="6"/>
    </row>
    <row r="24" spans="2:35" x14ac:dyDescent="0.25">
      <c r="B24" s="10"/>
      <c r="C24" s="29" t="s">
        <v>9</v>
      </c>
      <c r="D24" s="187"/>
      <c r="E24" s="187"/>
      <c r="F24" s="187"/>
      <c r="G24" s="3"/>
      <c r="H24" s="2"/>
      <c r="I24" s="1"/>
      <c r="J24" s="47"/>
      <c r="K24" s="30">
        <f t="shared" si="6"/>
        <v>0</v>
      </c>
      <c r="L24" s="30" t="str">
        <f t="shared" si="0"/>
        <v/>
      </c>
      <c r="M24" s="12"/>
      <c r="N24" s="16">
        <f t="shared" si="1"/>
        <v>10</v>
      </c>
      <c r="O24" s="47"/>
      <c r="P24" s="16">
        <f t="shared" si="2"/>
        <v>0</v>
      </c>
      <c r="Q24" s="2"/>
      <c r="R24" s="16" t="str">
        <f>IF(Q24="","",VLOOKUP(Q24,'Tabela Ross-Heidecke'!$B$6:$C$14,2,FALSE))</f>
        <v/>
      </c>
      <c r="S24" s="31" t="str">
        <f t="shared" si="3"/>
        <v/>
      </c>
      <c r="T24" s="32" t="str">
        <f>IFERROR(VLOOKUP(EVEN(P24*SIGN(P24)),'Tabela Ross-Heidecke'!$E$7:$M$56,S24,FALSE),"")</f>
        <v/>
      </c>
      <c r="U24" s="40">
        <f t="shared" si="4"/>
        <v>0</v>
      </c>
      <c r="V24" s="43" t="e">
        <f t="shared" si="5"/>
        <v>#VALUE!</v>
      </c>
      <c r="W24" s="11"/>
      <c r="X24" s="5"/>
      <c r="Y24" s="6"/>
      <c r="Z24" s="6"/>
      <c r="AB24" s="6"/>
      <c r="AI24" s="6"/>
    </row>
    <row r="25" spans="2:35" x14ac:dyDescent="0.25">
      <c r="B25" s="10"/>
      <c r="C25" s="12"/>
      <c r="D25" s="12"/>
      <c r="E25" s="12"/>
      <c r="F25" s="12"/>
      <c r="G25" s="34"/>
      <c r="H25" s="34"/>
      <c r="I25" s="35"/>
      <c r="J25" s="12"/>
      <c r="K25" s="12"/>
      <c r="L25" s="12"/>
      <c r="M25" s="12"/>
      <c r="N25" s="36"/>
      <c r="O25" s="36"/>
      <c r="P25" s="36"/>
      <c r="Q25" s="36"/>
      <c r="R25" s="36"/>
      <c r="T25" s="29" t="s">
        <v>16</v>
      </c>
      <c r="U25" s="40">
        <f>SUM(U15:U24)</f>
        <v>15189.18496167698</v>
      </c>
      <c r="W25" s="11"/>
      <c r="X25" s="5"/>
      <c r="Y25" s="6"/>
      <c r="Z25" s="6"/>
      <c r="AB25" s="6"/>
      <c r="AI25" s="6"/>
    </row>
    <row r="26" spans="2:35" ht="17.25" x14ac:dyDescent="0.25">
      <c r="B26" s="10"/>
      <c r="C26" s="12"/>
      <c r="D26" s="12"/>
      <c r="I26" s="42"/>
      <c r="J26" s="12"/>
      <c r="K26" s="12"/>
      <c r="L26" s="12"/>
      <c r="M26" s="12"/>
      <c r="N26" s="36"/>
      <c r="O26" s="36"/>
      <c r="P26" s="36"/>
      <c r="Q26" s="36"/>
      <c r="R26" s="36"/>
      <c r="S26" s="15"/>
      <c r="T26" s="15" t="s">
        <v>78</v>
      </c>
      <c r="U26" s="38">
        <f>U25/COUNTA(I15:I24)</f>
        <v>3797.2962404192449</v>
      </c>
      <c r="W26" s="11"/>
      <c r="X26" s="5"/>
      <c r="Y26" s="6"/>
      <c r="Z26" s="6"/>
      <c r="AB26" s="6"/>
      <c r="AI26" s="6"/>
    </row>
    <row r="27" spans="2:35" ht="15.75" thickBot="1" x14ac:dyDescent="0.3">
      <c r="B27" s="10"/>
      <c r="C27" s="12"/>
      <c r="D27" s="12"/>
      <c r="E27" s="12"/>
      <c r="F27" s="12"/>
      <c r="G27" s="12"/>
      <c r="H27" s="12"/>
      <c r="I27" s="107"/>
      <c r="J27" s="107"/>
      <c r="K27" s="107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1"/>
      <c r="AI27" s="6"/>
    </row>
    <row r="28" spans="2:35" ht="16.5" thickBot="1" x14ac:dyDescent="0.3">
      <c r="B28" s="10"/>
      <c r="C28" s="12"/>
      <c r="D28" s="12"/>
      <c r="E28" s="12"/>
      <c r="M28" s="12"/>
      <c r="Q28" s="197" t="s">
        <v>71</v>
      </c>
      <c r="R28" s="198"/>
      <c r="S28" s="198"/>
      <c r="T28" s="199"/>
      <c r="U28" s="41">
        <f>U26*E10</f>
        <v>193662.10826138148</v>
      </c>
      <c r="W28" s="11"/>
      <c r="Z28" s="39"/>
      <c r="AI28" s="6"/>
    </row>
    <row r="29" spans="2:35" ht="7.5" customHeight="1" thickBot="1" x14ac:dyDescent="0.3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20"/>
      <c r="AI29" s="6"/>
    </row>
    <row r="30" spans="2:35" ht="15.75" thickBot="1" x14ac:dyDescent="0.3">
      <c r="AI30" s="6"/>
    </row>
    <row r="31" spans="2:35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  <c r="AI31" s="6"/>
    </row>
    <row r="32" spans="2:35" x14ac:dyDescent="0.25">
      <c r="B32" s="10"/>
      <c r="C32" s="12"/>
      <c r="D32" s="195" t="s">
        <v>122</v>
      </c>
      <c r="E32" s="195"/>
      <c r="F32" s="54"/>
      <c r="G32" s="196" t="s">
        <v>124</v>
      </c>
      <c r="H32" s="196"/>
      <c r="I32" s="54"/>
      <c r="J32" s="54"/>
      <c r="K32" s="12"/>
      <c r="L32" s="11"/>
    </row>
    <row r="33" spans="2:12" x14ac:dyDescent="0.25">
      <c r="B33" s="10"/>
      <c r="C33" s="12"/>
      <c r="D33" s="29" t="s">
        <v>126</v>
      </c>
      <c r="E33" s="29" t="s">
        <v>123</v>
      </c>
      <c r="F33" s="12"/>
      <c r="G33" s="12"/>
      <c r="H33" s="12"/>
      <c r="I33" s="12"/>
      <c r="J33" s="12"/>
      <c r="K33" s="12"/>
      <c r="L33" s="11"/>
    </row>
    <row r="34" spans="2:12" x14ac:dyDescent="0.25">
      <c r="B34" s="10"/>
      <c r="C34" s="12"/>
      <c r="D34" s="29" t="str">
        <f>CONCATENATE("IA - ",E10,"m2")</f>
        <v>IA - 51m2</v>
      </c>
      <c r="E34" s="35">
        <f>U28</f>
        <v>193662.10826138148</v>
      </c>
      <c r="F34" s="12"/>
      <c r="G34" s="12"/>
      <c r="H34" s="12"/>
      <c r="I34" s="12"/>
      <c r="J34" s="12"/>
      <c r="K34" s="12"/>
      <c r="L34" s="11"/>
    </row>
    <row r="35" spans="2:12" x14ac:dyDescent="0.25">
      <c r="B35" s="10"/>
      <c r="C35" s="12"/>
      <c r="D35" s="29" t="str">
        <f>CONCATENATE(C15," - ",G15,"m2")</f>
        <v>R1 - 51m2</v>
      </c>
      <c r="E35" s="35">
        <f t="shared" ref="E35:E44" si="7">I15</f>
        <v>235000</v>
      </c>
      <c r="F35" s="12"/>
      <c r="G35" s="12"/>
      <c r="H35" s="12"/>
      <c r="I35" s="12"/>
      <c r="J35" s="12"/>
      <c r="K35" s="12"/>
      <c r="L35" s="11"/>
    </row>
    <row r="36" spans="2:12" x14ac:dyDescent="0.25">
      <c r="B36" s="10"/>
      <c r="C36" s="12"/>
      <c r="D36" s="29" t="str">
        <f t="shared" ref="D36:D44" si="8">CONCATENATE(C16," - ",G16,"m2")</f>
        <v>R2 - 49m2</v>
      </c>
      <c r="E36" s="35">
        <f t="shared" si="7"/>
        <v>225000</v>
      </c>
      <c r="F36" s="12"/>
      <c r="G36" s="12"/>
      <c r="H36" s="12"/>
      <c r="I36" s="12"/>
      <c r="J36" s="12"/>
      <c r="K36" s="12"/>
      <c r="L36" s="11"/>
    </row>
    <row r="37" spans="2:12" x14ac:dyDescent="0.25">
      <c r="B37" s="10"/>
      <c r="C37" s="12"/>
      <c r="D37" s="29" t="str">
        <f t="shared" si="8"/>
        <v>R3 - 60m2</v>
      </c>
      <c r="E37" s="35">
        <f t="shared" si="7"/>
        <v>180000</v>
      </c>
      <c r="F37" s="12"/>
      <c r="G37" s="12"/>
      <c r="H37" s="12"/>
      <c r="I37" s="12"/>
      <c r="J37" s="12"/>
      <c r="K37" s="12"/>
      <c r="L37" s="11"/>
    </row>
    <row r="38" spans="2:12" x14ac:dyDescent="0.25">
      <c r="B38" s="10"/>
      <c r="C38" s="12"/>
      <c r="D38" s="29" t="str">
        <f t="shared" si="8"/>
        <v>R4 - 52m2</v>
      </c>
      <c r="E38" s="35">
        <f t="shared" si="7"/>
        <v>250000</v>
      </c>
      <c r="F38" s="12"/>
      <c r="G38" s="12"/>
      <c r="H38" s="12"/>
      <c r="I38" s="12"/>
      <c r="J38" s="12"/>
      <c r="K38" s="12"/>
      <c r="L38" s="11"/>
    </row>
    <row r="39" spans="2:12" x14ac:dyDescent="0.25">
      <c r="B39" s="10"/>
      <c r="C39" s="12"/>
      <c r="D39" s="29" t="str">
        <f t="shared" si="8"/>
        <v>R5 - m2</v>
      </c>
      <c r="E39" s="35">
        <f t="shared" si="7"/>
        <v>0</v>
      </c>
      <c r="F39" s="12"/>
      <c r="G39" s="12"/>
      <c r="H39" s="12"/>
      <c r="I39" s="12"/>
      <c r="J39" s="12"/>
      <c r="K39" s="12"/>
      <c r="L39" s="11"/>
    </row>
    <row r="40" spans="2:12" x14ac:dyDescent="0.25">
      <c r="B40" s="10"/>
      <c r="C40" s="12"/>
      <c r="D40" s="29" t="str">
        <f t="shared" si="8"/>
        <v>R6 - m2</v>
      </c>
      <c r="E40" s="35">
        <f t="shared" si="7"/>
        <v>0</v>
      </c>
      <c r="F40" s="12"/>
      <c r="G40" s="12"/>
      <c r="H40" s="12"/>
      <c r="I40" s="12"/>
      <c r="J40" s="12"/>
      <c r="K40" s="12"/>
      <c r="L40" s="11"/>
    </row>
    <row r="41" spans="2:12" x14ac:dyDescent="0.25">
      <c r="B41" s="10"/>
      <c r="C41" s="12"/>
      <c r="D41" s="29" t="str">
        <f t="shared" si="8"/>
        <v>R7 - m2</v>
      </c>
      <c r="E41" s="35">
        <f t="shared" si="7"/>
        <v>0</v>
      </c>
      <c r="F41" s="12"/>
      <c r="G41" s="12"/>
      <c r="H41" s="12"/>
      <c r="I41" s="12"/>
      <c r="J41" s="12"/>
      <c r="K41" s="12"/>
      <c r="L41" s="11"/>
    </row>
    <row r="42" spans="2:12" x14ac:dyDescent="0.25">
      <c r="B42" s="10"/>
      <c r="C42" s="12"/>
      <c r="D42" s="29" t="str">
        <f t="shared" si="8"/>
        <v>R8 - m2</v>
      </c>
      <c r="E42" s="35">
        <f t="shared" si="7"/>
        <v>0</v>
      </c>
      <c r="F42" s="12"/>
      <c r="G42" s="12"/>
      <c r="H42" s="12"/>
      <c r="I42" s="12"/>
      <c r="J42" s="12"/>
      <c r="K42" s="12"/>
      <c r="L42" s="11"/>
    </row>
    <row r="43" spans="2:12" x14ac:dyDescent="0.25">
      <c r="B43" s="10"/>
      <c r="C43" s="12"/>
      <c r="D43" s="29" t="str">
        <f t="shared" si="8"/>
        <v>R9 - m2</v>
      </c>
      <c r="E43" s="35">
        <f t="shared" si="7"/>
        <v>0</v>
      </c>
      <c r="F43" s="12"/>
      <c r="G43" s="12"/>
      <c r="H43" s="12"/>
      <c r="I43" s="12"/>
      <c r="J43" s="12"/>
      <c r="K43" s="12"/>
      <c r="L43" s="11"/>
    </row>
    <row r="44" spans="2:12" x14ac:dyDescent="0.25">
      <c r="B44" s="10"/>
      <c r="C44" s="12"/>
      <c r="D44" s="29" t="str">
        <f t="shared" si="8"/>
        <v>R10 - m2</v>
      </c>
      <c r="E44" s="35">
        <f t="shared" si="7"/>
        <v>0</v>
      </c>
      <c r="F44" s="12"/>
      <c r="G44" s="12"/>
      <c r="H44" s="12"/>
      <c r="I44" s="12"/>
      <c r="J44" s="12"/>
      <c r="K44" s="12"/>
      <c r="L44" s="11"/>
    </row>
    <row r="45" spans="2:12" x14ac:dyDescent="0.25">
      <c r="B45" s="10"/>
      <c r="C45" s="12"/>
      <c r="D45" s="12"/>
      <c r="E45" s="12"/>
      <c r="F45" s="12"/>
      <c r="G45" s="12"/>
      <c r="H45" s="12"/>
      <c r="I45" s="12"/>
      <c r="J45" s="12"/>
      <c r="K45" s="12"/>
      <c r="L45" s="11"/>
    </row>
    <row r="46" spans="2:12" x14ac:dyDescent="0.25">
      <c r="B46" s="10"/>
      <c r="C46" s="12"/>
      <c r="D46" s="12"/>
      <c r="E46" s="12"/>
      <c r="F46" s="12"/>
      <c r="G46" s="12"/>
      <c r="H46" s="12"/>
      <c r="I46" s="12"/>
      <c r="J46" s="12"/>
      <c r="K46" s="12"/>
      <c r="L46" s="11"/>
    </row>
    <row r="47" spans="2:12" x14ac:dyDescent="0.25">
      <c r="B47" s="10"/>
      <c r="C47" s="12"/>
      <c r="D47" s="12"/>
      <c r="E47" s="12"/>
      <c r="F47" s="12"/>
      <c r="G47" s="12"/>
      <c r="H47" s="12"/>
      <c r="I47" s="12"/>
      <c r="J47" s="12"/>
      <c r="K47" s="12"/>
      <c r="L47" s="11"/>
    </row>
    <row r="48" spans="2:12" x14ac:dyDescent="0.25">
      <c r="B48" s="10"/>
      <c r="C48" s="12"/>
      <c r="D48" s="29" t="s">
        <v>126</v>
      </c>
      <c r="E48" s="29" t="s">
        <v>125</v>
      </c>
      <c r="F48" s="12"/>
      <c r="G48" s="12"/>
      <c r="H48" s="12"/>
      <c r="I48" s="12"/>
      <c r="J48" s="12"/>
      <c r="K48" s="12"/>
      <c r="L48" s="11"/>
    </row>
    <row r="49" spans="2:12" x14ac:dyDescent="0.25">
      <c r="B49" s="10"/>
      <c r="C49" s="12"/>
      <c r="D49" s="29" t="str">
        <f>CONCATENATE("IA - ",E10,"m2")</f>
        <v>IA - 51m2</v>
      </c>
      <c r="E49" s="35">
        <f>U26</f>
        <v>3797.2962404192449</v>
      </c>
      <c r="F49" s="12"/>
      <c r="G49" s="12"/>
      <c r="H49" s="12"/>
      <c r="I49" s="12"/>
      <c r="J49" s="12"/>
      <c r="K49" s="12"/>
      <c r="L49" s="11"/>
    </row>
    <row r="50" spans="2:12" x14ac:dyDescent="0.25">
      <c r="B50" s="10"/>
      <c r="C50" s="12"/>
      <c r="D50" s="29" t="str">
        <f>CONCATENATE(C15," - ",G15,"m2")</f>
        <v>R1 - 51m2</v>
      </c>
      <c r="E50" s="35">
        <f>L15</f>
        <v>4147.0588235294117</v>
      </c>
      <c r="F50" s="12"/>
      <c r="G50" s="12"/>
      <c r="H50" s="12"/>
      <c r="I50" s="12"/>
      <c r="J50" s="12"/>
      <c r="K50" s="12"/>
      <c r="L50" s="11"/>
    </row>
    <row r="51" spans="2:12" x14ac:dyDescent="0.25">
      <c r="B51" s="10"/>
      <c r="C51" s="12"/>
      <c r="D51" s="29" t="str">
        <f t="shared" ref="D51:D59" si="9">CONCATENATE(C16," - ",G16,"m2")</f>
        <v>R2 - 49m2</v>
      </c>
      <c r="E51" s="35">
        <f t="shared" ref="E51:E59" si="10">L16</f>
        <v>4132.6530612244896</v>
      </c>
      <c r="F51" s="12"/>
      <c r="G51" s="12"/>
      <c r="H51" s="12"/>
      <c r="I51" s="12"/>
      <c r="J51" s="12"/>
      <c r="K51" s="12"/>
      <c r="L51" s="11"/>
    </row>
    <row r="52" spans="2:12" x14ac:dyDescent="0.25">
      <c r="B52" s="10"/>
      <c r="C52" s="12"/>
      <c r="D52" s="29" t="str">
        <f t="shared" si="9"/>
        <v>R3 - 60m2</v>
      </c>
      <c r="E52" s="35">
        <f t="shared" si="10"/>
        <v>2700</v>
      </c>
      <c r="F52" s="12"/>
      <c r="G52" s="12"/>
      <c r="H52" s="12"/>
      <c r="I52" s="12"/>
      <c r="J52" s="12"/>
      <c r="K52" s="12"/>
      <c r="L52" s="11"/>
    </row>
    <row r="53" spans="2:12" x14ac:dyDescent="0.25">
      <c r="B53" s="10"/>
      <c r="C53" s="12"/>
      <c r="D53" s="29" t="str">
        <f t="shared" si="9"/>
        <v>R4 - 52m2</v>
      </c>
      <c r="E53" s="35">
        <f t="shared" si="10"/>
        <v>4326.9230769230771</v>
      </c>
      <c r="F53" s="12"/>
      <c r="G53" s="12"/>
      <c r="H53" s="12"/>
      <c r="I53" s="12"/>
      <c r="J53" s="12"/>
      <c r="K53" s="12"/>
      <c r="L53" s="11"/>
    </row>
    <row r="54" spans="2:12" x14ac:dyDescent="0.25">
      <c r="B54" s="10"/>
      <c r="C54" s="12"/>
      <c r="D54" s="29" t="str">
        <f t="shared" si="9"/>
        <v>R5 - m2</v>
      </c>
      <c r="E54" s="35" t="str">
        <f t="shared" si="10"/>
        <v/>
      </c>
      <c r="F54" s="12"/>
      <c r="G54" s="12"/>
      <c r="H54" s="12"/>
      <c r="I54" s="12"/>
      <c r="J54" s="12"/>
      <c r="K54" s="12"/>
      <c r="L54" s="11"/>
    </row>
    <row r="55" spans="2:12" x14ac:dyDescent="0.25">
      <c r="B55" s="10"/>
      <c r="C55" s="12"/>
      <c r="D55" s="29" t="str">
        <f t="shared" si="9"/>
        <v>R6 - m2</v>
      </c>
      <c r="E55" s="35" t="str">
        <f t="shared" si="10"/>
        <v/>
      </c>
      <c r="F55" s="12"/>
      <c r="G55" s="12"/>
      <c r="H55" s="12"/>
      <c r="I55" s="12"/>
      <c r="J55" s="12"/>
      <c r="K55" s="12"/>
      <c r="L55" s="11"/>
    </row>
    <row r="56" spans="2:12" x14ac:dyDescent="0.25">
      <c r="B56" s="10"/>
      <c r="C56" s="12"/>
      <c r="D56" s="29" t="str">
        <f t="shared" si="9"/>
        <v>R7 - m2</v>
      </c>
      <c r="E56" s="35" t="str">
        <f t="shared" si="10"/>
        <v/>
      </c>
      <c r="F56" s="12"/>
      <c r="G56" s="12"/>
      <c r="H56" s="12"/>
      <c r="I56" s="12"/>
      <c r="J56" s="12"/>
      <c r="K56" s="12"/>
      <c r="L56" s="11"/>
    </row>
    <row r="57" spans="2:12" x14ac:dyDescent="0.25">
      <c r="B57" s="10"/>
      <c r="C57" s="12"/>
      <c r="D57" s="29" t="str">
        <f t="shared" si="9"/>
        <v>R8 - m2</v>
      </c>
      <c r="E57" s="35" t="str">
        <f t="shared" si="10"/>
        <v/>
      </c>
      <c r="F57" s="12"/>
      <c r="G57" s="12"/>
      <c r="H57" s="12"/>
      <c r="I57" s="12"/>
      <c r="J57" s="12"/>
      <c r="K57" s="12"/>
      <c r="L57" s="11"/>
    </row>
    <row r="58" spans="2:12" x14ac:dyDescent="0.25">
      <c r="B58" s="10"/>
      <c r="C58" s="12"/>
      <c r="D58" s="29" t="str">
        <f t="shared" si="9"/>
        <v>R9 - m2</v>
      </c>
      <c r="E58" s="35" t="str">
        <f t="shared" si="10"/>
        <v/>
      </c>
      <c r="F58" s="12"/>
      <c r="G58" s="12"/>
      <c r="H58" s="12"/>
      <c r="I58" s="12"/>
      <c r="J58" s="12"/>
      <c r="K58" s="12"/>
      <c r="L58" s="11"/>
    </row>
    <row r="59" spans="2:12" x14ac:dyDescent="0.25">
      <c r="B59" s="10"/>
      <c r="C59" s="12"/>
      <c r="D59" s="29" t="str">
        <f t="shared" si="9"/>
        <v>R10 - m2</v>
      </c>
      <c r="E59" s="35" t="str">
        <f t="shared" si="10"/>
        <v/>
      </c>
      <c r="F59" s="12"/>
      <c r="G59" s="12"/>
      <c r="H59" s="12"/>
      <c r="I59" s="12"/>
      <c r="J59" s="12"/>
      <c r="K59" s="12"/>
      <c r="L59" s="11"/>
    </row>
    <row r="60" spans="2:12" x14ac:dyDescent="0.25">
      <c r="B60" s="10"/>
      <c r="C60" s="12"/>
      <c r="D60" s="12"/>
      <c r="E60" s="12"/>
      <c r="F60" s="12"/>
      <c r="G60" s="12"/>
      <c r="H60" s="12"/>
      <c r="I60" s="12"/>
      <c r="J60" s="12"/>
      <c r="K60" s="12"/>
      <c r="L60" s="11"/>
    </row>
    <row r="61" spans="2:12" x14ac:dyDescent="0.25">
      <c r="B61" s="10"/>
      <c r="C61" s="12"/>
      <c r="D61" s="12"/>
      <c r="E61" s="12"/>
      <c r="F61" s="12"/>
      <c r="G61" s="12"/>
      <c r="H61" s="12"/>
      <c r="I61" s="12"/>
      <c r="J61" s="12"/>
      <c r="K61" s="12"/>
      <c r="L61" s="11"/>
    </row>
    <row r="62" spans="2:12" x14ac:dyDescent="0.25">
      <c r="B62" s="10"/>
      <c r="C62" s="12"/>
      <c r="D62" s="12"/>
      <c r="E62" s="12"/>
      <c r="F62" s="12"/>
      <c r="G62" s="12"/>
      <c r="H62" s="12"/>
      <c r="I62" s="12"/>
      <c r="J62" s="12"/>
      <c r="K62" s="12"/>
      <c r="L62" s="11"/>
    </row>
    <row r="63" spans="2:12" ht="15.75" thickBot="1" x14ac:dyDescent="0.3"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20"/>
    </row>
  </sheetData>
  <mergeCells count="25">
    <mergeCell ref="D32:E32"/>
    <mergeCell ref="G32:H32"/>
    <mergeCell ref="Q28:T28"/>
    <mergeCell ref="C9:D9"/>
    <mergeCell ref="C10:D10"/>
    <mergeCell ref="C13:J13"/>
    <mergeCell ref="Q14:R14"/>
    <mergeCell ref="D23:F23"/>
    <mergeCell ref="D24:F24"/>
    <mergeCell ref="C3:V3"/>
    <mergeCell ref="C4:V4"/>
    <mergeCell ref="C5:V5"/>
    <mergeCell ref="D21:F21"/>
    <mergeCell ref="D22:F22"/>
    <mergeCell ref="D14:F14"/>
    <mergeCell ref="D15:F15"/>
    <mergeCell ref="D16:F16"/>
    <mergeCell ref="D17:F17"/>
    <mergeCell ref="C8:D8"/>
    <mergeCell ref="C7:N7"/>
    <mergeCell ref="D20:F20"/>
    <mergeCell ref="D18:F18"/>
    <mergeCell ref="D19:F19"/>
    <mergeCell ref="M8:N8"/>
    <mergeCell ref="E8:L8"/>
  </mergeCells>
  <conditionalFormatting sqref="V15:V24">
    <cfRule type="iconSet" priority="2">
      <iconSet>
        <cfvo type="percent" val="0"/>
        <cfvo type="num" val="0"/>
        <cfvo type="num" val="0" gte="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H15:H24">
      <formula1>"Anúncio,Venda realizada"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05C558C-9785-4723-A4EC-9A65B152B99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V15:V24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Ross-Heidecke'!$B$6:$B$14</xm:f>
          </x14:formula1>
          <xm:sqref>Q15:Q24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2"/>
  <sheetViews>
    <sheetView showGridLines="0" zoomScaleNormal="100" workbookViewId="0">
      <selection activeCell="N50" sqref="N50"/>
    </sheetView>
  </sheetViews>
  <sheetFormatPr defaultRowHeight="15" x14ac:dyDescent="0.25"/>
  <cols>
    <col min="1" max="2" width="1.42578125" style="4" customWidth="1"/>
    <col min="3" max="3" width="5.5703125" style="4" customWidth="1"/>
    <col min="4" max="4" width="10.140625" style="4" customWidth="1"/>
    <col min="5" max="5" width="14.85546875" style="4" customWidth="1"/>
    <col min="6" max="6" width="5.28515625" style="4" customWidth="1"/>
    <col min="7" max="7" width="10.42578125" style="4" customWidth="1"/>
    <col min="8" max="8" width="15.28515625" style="4" bestFit="1" customWidth="1"/>
    <col min="9" max="9" width="17.42578125" style="4" customWidth="1"/>
    <col min="10" max="10" width="14" style="4" customWidth="1"/>
    <col min="11" max="11" width="16.7109375" style="4" customWidth="1"/>
    <col min="12" max="12" width="1.42578125" style="4" customWidth="1"/>
    <col min="13" max="13" width="9.5703125" style="4" bestFit="1" customWidth="1"/>
    <col min="14" max="15" width="17.28515625" style="4" customWidth="1"/>
    <col min="16" max="16" width="9.140625" style="4"/>
    <col min="17" max="17" width="13.28515625" style="4" bestFit="1" customWidth="1"/>
    <col min="18" max="18" width="12.140625" style="5" bestFit="1" customWidth="1"/>
    <col min="19" max="19" width="13" style="4" customWidth="1"/>
    <col min="20" max="21" width="14.28515625" style="6" bestFit="1" customWidth="1"/>
    <col min="22" max="22" width="9.140625" style="4"/>
    <col min="23" max="23" width="17.42578125" style="4" customWidth="1"/>
    <col min="24" max="24" width="14.28515625" style="4" bestFit="1" customWidth="1"/>
    <col min="25" max="25" width="9.140625" style="4"/>
    <col min="26" max="26" width="14.28515625" style="4" bestFit="1" customWidth="1"/>
    <col min="27" max="16384" width="9.140625" style="4"/>
  </cols>
  <sheetData>
    <row r="1" spans="2:24" ht="6.75" customHeight="1" thickBot="1" x14ac:dyDescent="0.3"/>
    <row r="2" spans="2:24" ht="7.5" customHeight="1" thickBo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9"/>
    </row>
    <row r="3" spans="2:24" ht="7.5" customHeight="1" x14ac:dyDescent="0.25">
      <c r="B3" s="10"/>
      <c r="C3" s="178"/>
      <c r="D3" s="179"/>
      <c r="E3" s="179"/>
      <c r="F3" s="179"/>
      <c r="G3" s="179"/>
      <c r="H3" s="179"/>
      <c r="I3" s="179"/>
      <c r="J3" s="179"/>
      <c r="K3" s="180"/>
      <c r="L3" s="11"/>
    </row>
    <row r="4" spans="2:24" ht="23.25" x14ac:dyDescent="0.35">
      <c r="B4" s="10"/>
      <c r="C4" s="181" t="s">
        <v>10</v>
      </c>
      <c r="D4" s="182"/>
      <c r="E4" s="182"/>
      <c r="F4" s="182"/>
      <c r="G4" s="182"/>
      <c r="H4" s="182"/>
      <c r="I4" s="182"/>
      <c r="J4" s="182"/>
      <c r="K4" s="183"/>
      <c r="L4" s="11"/>
    </row>
    <row r="5" spans="2:24" ht="7.5" customHeight="1" thickBot="1" x14ac:dyDescent="0.3">
      <c r="B5" s="10"/>
      <c r="C5" s="184"/>
      <c r="D5" s="185"/>
      <c r="E5" s="185"/>
      <c r="F5" s="185"/>
      <c r="G5" s="185"/>
      <c r="H5" s="185"/>
      <c r="I5" s="185"/>
      <c r="J5" s="185"/>
      <c r="K5" s="186"/>
      <c r="L5" s="11"/>
    </row>
    <row r="6" spans="2:24" ht="15.75" thickBot="1" x14ac:dyDescent="0.3">
      <c r="B6" s="10"/>
      <c r="C6" s="12"/>
      <c r="D6" s="12"/>
      <c r="E6" s="12"/>
      <c r="F6" s="12"/>
      <c r="G6" s="12"/>
      <c r="H6" s="12"/>
      <c r="I6" s="12"/>
      <c r="J6" s="12"/>
      <c r="K6" s="12"/>
      <c r="L6" s="11"/>
    </row>
    <row r="7" spans="2:24" x14ac:dyDescent="0.25">
      <c r="B7" s="10"/>
      <c r="C7" s="192" t="s">
        <v>19</v>
      </c>
      <c r="D7" s="193"/>
      <c r="E7" s="193"/>
      <c r="F7" s="193"/>
      <c r="G7" s="193"/>
      <c r="H7" s="193"/>
      <c r="I7" s="193"/>
      <c r="J7" s="193"/>
      <c r="K7" s="193"/>
      <c r="L7" s="11"/>
    </row>
    <row r="8" spans="2:24" x14ac:dyDescent="0.25">
      <c r="B8" s="10"/>
      <c r="C8" s="190" t="s">
        <v>21</v>
      </c>
      <c r="D8" s="191"/>
      <c r="E8" s="207" t="s">
        <v>140</v>
      </c>
      <c r="F8" s="208"/>
      <c r="G8" s="208"/>
      <c r="H8" s="208"/>
      <c r="I8" s="209"/>
      <c r="J8" s="111" t="s">
        <v>22</v>
      </c>
      <c r="K8" s="114" t="s">
        <v>131</v>
      </c>
      <c r="L8" s="11"/>
    </row>
    <row r="9" spans="2:24" ht="17.25" x14ac:dyDescent="0.25">
      <c r="B9" s="10"/>
      <c r="C9" s="190" t="s">
        <v>13</v>
      </c>
      <c r="D9" s="191"/>
      <c r="E9" s="112">
        <v>450</v>
      </c>
      <c r="F9" s="12"/>
      <c r="G9" s="12"/>
      <c r="J9" s="12"/>
      <c r="K9" s="12"/>
      <c r="L9" s="11"/>
    </row>
    <row r="10" spans="2:24" ht="7.5" customHeight="1" thickBot="1" x14ac:dyDescent="0.3">
      <c r="B10" s="10"/>
      <c r="C10" s="17"/>
      <c r="D10" s="18"/>
      <c r="E10" s="19"/>
      <c r="F10" s="18"/>
      <c r="G10" s="18"/>
      <c r="H10" s="18"/>
      <c r="I10" s="18"/>
      <c r="J10" s="18"/>
      <c r="K10" s="18"/>
      <c r="L10" s="11"/>
    </row>
    <row r="11" spans="2:24" x14ac:dyDescent="0.25"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1"/>
      <c r="N11" s="42"/>
    </row>
    <row r="12" spans="2:24" x14ac:dyDescent="0.25">
      <c r="B12" s="10"/>
      <c r="C12" s="196" t="s">
        <v>20</v>
      </c>
      <c r="D12" s="196"/>
      <c r="E12" s="196"/>
      <c r="F12" s="196"/>
      <c r="G12" s="196"/>
      <c r="H12" s="196"/>
      <c r="I12" s="196"/>
      <c r="J12" s="113">
        <v>0.05</v>
      </c>
      <c r="K12" s="12"/>
      <c r="L12" s="11"/>
      <c r="N12" s="39"/>
    </row>
    <row r="13" spans="2:24" ht="47.25" x14ac:dyDescent="0.25">
      <c r="B13" s="10"/>
      <c r="C13" s="12"/>
      <c r="D13" s="206" t="s">
        <v>11</v>
      </c>
      <c r="E13" s="206"/>
      <c r="F13" s="206"/>
      <c r="G13" s="115" t="s">
        <v>26</v>
      </c>
      <c r="H13" s="109" t="s">
        <v>61</v>
      </c>
      <c r="I13" s="109" t="s">
        <v>12</v>
      </c>
      <c r="J13" s="109" t="s">
        <v>129</v>
      </c>
      <c r="K13" s="109" t="s">
        <v>64</v>
      </c>
      <c r="L13" s="11"/>
      <c r="N13" s="25"/>
      <c r="O13" s="25"/>
      <c r="P13" s="26"/>
      <c r="Q13" s="27"/>
      <c r="S13" s="25"/>
      <c r="T13" s="28"/>
      <c r="W13" s="26"/>
      <c r="X13" s="26"/>
    </row>
    <row r="14" spans="2:24" x14ac:dyDescent="0.25">
      <c r="B14" s="10"/>
      <c r="C14" s="29" t="s">
        <v>0</v>
      </c>
      <c r="D14" s="187" t="s">
        <v>141</v>
      </c>
      <c r="E14" s="187"/>
      <c r="F14" s="187"/>
      <c r="G14" s="47">
        <v>380</v>
      </c>
      <c r="H14" s="108" t="s">
        <v>62</v>
      </c>
      <c r="I14" s="1">
        <v>50000</v>
      </c>
      <c r="J14" s="30">
        <f>IF(H14="Anúncio",-I14*$J$12,0)</f>
        <v>-2500</v>
      </c>
      <c r="K14" s="30">
        <f t="shared" ref="K14:K23" si="0">IF(OR(I14="",I14=0),"",((I14+J14)/G14))</f>
        <v>125</v>
      </c>
      <c r="L14" s="11"/>
      <c r="M14" s="5"/>
      <c r="N14" s="6"/>
      <c r="O14" s="6"/>
      <c r="Q14" s="6"/>
    </row>
    <row r="15" spans="2:24" x14ac:dyDescent="0.25">
      <c r="B15" s="10"/>
      <c r="C15" s="29" t="s">
        <v>1</v>
      </c>
      <c r="D15" s="187" t="s">
        <v>144</v>
      </c>
      <c r="E15" s="187"/>
      <c r="F15" s="187"/>
      <c r="G15" s="47">
        <v>410</v>
      </c>
      <c r="H15" s="108" t="s">
        <v>63</v>
      </c>
      <c r="I15" s="1">
        <v>380000</v>
      </c>
      <c r="J15" s="30">
        <f t="shared" ref="J15:J23" si="1">IF(H15="Anúncio",-I15*$J$12,0)</f>
        <v>0</v>
      </c>
      <c r="K15" s="30">
        <f t="shared" si="0"/>
        <v>926.82926829268297</v>
      </c>
      <c r="L15" s="11"/>
      <c r="M15" s="5"/>
      <c r="N15" s="6"/>
      <c r="O15" s="6"/>
      <c r="Q15" s="6"/>
      <c r="X15" s="6"/>
    </row>
    <row r="16" spans="2:24" x14ac:dyDescent="0.25">
      <c r="B16" s="10"/>
      <c r="C16" s="29" t="s">
        <v>2</v>
      </c>
      <c r="D16" s="187" t="s">
        <v>142</v>
      </c>
      <c r="E16" s="187"/>
      <c r="F16" s="187"/>
      <c r="G16" s="47">
        <v>520</v>
      </c>
      <c r="H16" s="114" t="s">
        <v>63</v>
      </c>
      <c r="I16" s="1">
        <v>420000</v>
      </c>
      <c r="J16" s="30">
        <f t="shared" si="1"/>
        <v>0</v>
      </c>
      <c r="K16" s="30">
        <f t="shared" si="0"/>
        <v>807.69230769230774</v>
      </c>
      <c r="L16" s="11"/>
      <c r="M16" s="33"/>
      <c r="N16" s="6"/>
      <c r="O16" s="6"/>
      <c r="Q16" s="6"/>
      <c r="X16" s="6"/>
    </row>
    <row r="17" spans="2:24" x14ac:dyDescent="0.25">
      <c r="B17" s="10"/>
      <c r="C17" s="29" t="s">
        <v>3</v>
      </c>
      <c r="D17" s="187" t="s">
        <v>143</v>
      </c>
      <c r="E17" s="187"/>
      <c r="F17" s="187"/>
      <c r="G17" s="47">
        <v>470</v>
      </c>
      <c r="H17" s="114" t="s">
        <v>63</v>
      </c>
      <c r="I17" s="1">
        <v>950000</v>
      </c>
      <c r="J17" s="30">
        <f t="shared" si="1"/>
        <v>0</v>
      </c>
      <c r="K17" s="30">
        <f t="shared" si="0"/>
        <v>2021.2765957446809</v>
      </c>
      <c r="L17" s="11"/>
      <c r="M17" s="5"/>
      <c r="N17" s="6"/>
      <c r="O17" s="6"/>
      <c r="Q17" s="6"/>
      <c r="X17" s="6"/>
    </row>
    <row r="18" spans="2:24" x14ac:dyDescent="0.25">
      <c r="B18" s="10"/>
      <c r="C18" s="29" t="s">
        <v>4</v>
      </c>
      <c r="D18" s="187"/>
      <c r="E18" s="187"/>
      <c r="F18" s="187"/>
      <c r="G18" s="47"/>
      <c r="H18" s="108"/>
      <c r="I18" s="1"/>
      <c r="J18" s="30">
        <f t="shared" si="1"/>
        <v>0</v>
      </c>
      <c r="K18" s="30" t="str">
        <f t="shared" si="0"/>
        <v/>
      </c>
      <c r="L18" s="11"/>
      <c r="M18" s="5"/>
      <c r="N18" s="6"/>
      <c r="O18" s="6"/>
      <c r="Q18" s="6"/>
      <c r="X18" s="6"/>
    </row>
    <row r="19" spans="2:24" x14ac:dyDescent="0.25">
      <c r="B19" s="10"/>
      <c r="C19" s="29" t="s">
        <v>5</v>
      </c>
      <c r="D19" s="187"/>
      <c r="E19" s="187"/>
      <c r="F19" s="187"/>
      <c r="G19" s="47"/>
      <c r="H19" s="108"/>
      <c r="I19" s="1"/>
      <c r="J19" s="30">
        <f t="shared" si="1"/>
        <v>0</v>
      </c>
      <c r="K19" s="30" t="str">
        <f t="shared" si="0"/>
        <v/>
      </c>
      <c r="L19" s="11"/>
      <c r="M19" s="5"/>
      <c r="N19" s="6"/>
      <c r="O19" s="6"/>
      <c r="Q19" s="6"/>
      <c r="X19" s="6"/>
    </row>
    <row r="20" spans="2:24" x14ac:dyDescent="0.25">
      <c r="B20" s="10"/>
      <c r="C20" s="29" t="s">
        <v>6</v>
      </c>
      <c r="D20" s="187"/>
      <c r="E20" s="187"/>
      <c r="F20" s="187"/>
      <c r="G20" s="47"/>
      <c r="H20" s="108"/>
      <c r="I20" s="1"/>
      <c r="J20" s="30">
        <f t="shared" si="1"/>
        <v>0</v>
      </c>
      <c r="K20" s="30" t="str">
        <f t="shared" si="0"/>
        <v/>
      </c>
      <c r="L20" s="11"/>
      <c r="M20" s="5"/>
      <c r="N20" s="6"/>
      <c r="O20" s="6"/>
      <c r="Q20" s="6"/>
      <c r="X20" s="6"/>
    </row>
    <row r="21" spans="2:24" x14ac:dyDescent="0.25">
      <c r="B21" s="10"/>
      <c r="C21" s="29" t="s">
        <v>7</v>
      </c>
      <c r="D21" s="187"/>
      <c r="E21" s="187"/>
      <c r="F21" s="187"/>
      <c r="G21" s="47"/>
      <c r="H21" s="108"/>
      <c r="I21" s="1"/>
      <c r="J21" s="30">
        <f t="shared" si="1"/>
        <v>0</v>
      </c>
      <c r="K21" s="30" t="str">
        <f t="shared" si="0"/>
        <v/>
      </c>
      <c r="L21" s="11"/>
      <c r="M21" s="5"/>
      <c r="N21" s="6"/>
      <c r="O21" s="6"/>
      <c r="Q21" s="6"/>
      <c r="X21" s="6"/>
    </row>
    <row r="22" spans="2:24" x14ac:dyDescent="0.25">
      <c r="B22" s="10"/>
      <c r="C22" s="29" t="s">
        <v>8</v>
      </c>
      <c r="D22" s="187"/>
      <c r="E22" s="187"/>
      <c r="F22" s="187"/>
      <c r="G22" s="47"/>
      <c r="H22" s="108"/>
      <c r="I22" s="1"/>
      <c r="J22" s="30">
        <f t="shared" si="1"/>
        <v>0</v>
      </c>
      <c r="K22" s="30" t="str">
        <f t="shared" si="0"/>
        <v/>
      </c>
      <c r="L22" s="11"/>
      <c r="M22" s="5"/>
      <c r="N22" s="6"/>
      <c r="O22" s="6"/>
      <c r="Q22" s="6"/>
      <c r="X22" s="6"/>
    </row>
    <row r="23" spans="2:24" x14ac:dyDescent="0.25">
      <c r="B23" s="10"/>
      <c r="C23" s="29" t="s">
        <v>9</v>
      </c>
      <c r="D23" s="187"/>
      <c r="E23" s="187"/>
      <c r="F23" s="187"/>
      <c r="G23" s="47"/>
      <c r="H23" s="108"/>
      <c r="I23" s="1"/>
      <c r="J23" s="30">
        <f t="shared" si="1"/>
        <v>0</v>
      </c>
      <c r="K23" s="30" t="str">
        <f t="shared" si="0"/>
        <v/>
      </c>
      <c r="L23" s="11"/>
      <c r="M23" s="5"/>
      <c r="N23" s="6"/>
      <c r="O23" s="6"/>
      <c r="Q23" s="6"/>
      <c r="X23" s="6"/>
    </row>
    <row r="24" spans="2:24" x14ac:dyDescent="0.25">
      <c r="B24" s="10"/>
      <c r="C24" s="12"/>
      <c r="D24" s="12"/>
      <c r="E24" s="12"/>
      <c r="F24" s="12"/>
      <c r="G24" s="34"/>
      <c r="H24" s="36"/>
      <c r="I24" s="36"/>
      <c r="J24" s="29" t="s">
        <v>16</v>
      </c>
      <c r="K24" s="40">
        <f>SUM(K14:K23)</f>
        <v>3880.7981717296716</v>
      </c>
      <c r="L24" s="11"/>
      <c r="M24" s="5"/>
      <c r="N24" s="6"/>
      <c r="O24" s="6"/>
      <c r="Q24" s="6"/>
      <c r="X24" s="6"/>
    </row>
    <row r="25" spans="2:24" ht="17.25" x14ac:dyDescent="0.25">
      <c r="B25" s="10"/>
      <c r="C25" s="12"/>
      <c r="D25" s="12"/>
      <c r="H25" s="36"/>
      <c r="I25" s="36"/>
      <c r="J25" s="110" t="s">
        <v>78</v>
      </c>
      <c r="K25" s="38">
        <f>K24/COUNTA(I14:I23)</f>
        <v>970.1995429324179</v>
      </c>
      <c r="L25" s="11"/>
      <c r="M25" s="5"/>
      <c r="N25" s="6"/>
      <c r="O25" s="6"/>
      <c r="Q25" s="6"/>
      <c r="X25" s="6"/>
    </row>
    <row r="26" spans="2:24" ht="15.75" thickBot="1" x14ac:dyDescent="0.3">
      <c r="B26" s="10"/>
      <c r="C26" s="12"/>
      <c r="D26" s="12"/>
      <c r="E26" s="12"/>
      <c r="F26" s="12"/>
      <c r="G26" s="12"/>
      <c r="H26" s="12"/>
      <c r="I26" s="12"/>
      <c r="J26" s="12"/>
      <c r="K26" s="12"/>
      <c r="L26" s="11"/>
      <c r="X26" s="6"/>
    </row>
    <row r="27" spans="2:24" ht="16.5" thickBot="1" x14ac:dyDescent="0.3">
      <c r="B27" s="10"/>
      <c r="C27" s="12"/>
      <c r="D27" s="12"/>
      <c r="E27" s="12"/>
      <c r="G27" s="203" t="s">
        <v>71</v>
      </c>
      <c r="H27" s="204"/>
      <c r="I27" s="204"/>
      <c r="J27" s="205"/>
      <c r="K27" s="41">
        <f>K25*E9</f>
        <v>436589.79431958805</v>
      </c>
      <c r="L27" s="11"/>
      <c r="O27" s="39"/>
      <c r="X27" s="6"/>
    </row>
    <row r="28" spans="2:24" ht="7.5" customHeight="1" thickBot="1" x14ac:dyDescent="0.3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20"/>
      <c r="X28" s="6"/>
    </row>
    <row r="29" spans="2:24" ht="15.75" thickBot="1" x14ac:dyDescent="0.3">
      <c r="X29" s="6"/>
    </row>
    <row r="30" spans="2:24" x14ac:dyDescent="0.25">
      <c r="B30" s="7"/>
      <c r="C30" s="8"/>
      <c r="D30" s="8"/>
      <c r="E30" s="8"/>
      <c r="F30" s="8"/>
      <c r="G30" s="8"/>
      <c r="H30" s="8"/>
      <c r="I30" s="8"/>
      <c r="J30" s="8"/>
      <c r="K30" s="9"/>
      <c r="X30" s="6"/>
    </row>
    <row r="31" spans="2:24" x14ac:dyDescent="0.25">
      <c r="B31" s="10"/>
      <c r="C31" s="12"/>
      <c r="D31" s="195" t="s">
        <v>122</v>
      </c>
      <c r="E31" s="195"/>
      <c r="F31" s="54"/>
      <c r="G31" s="196" t="s">
        <v>124</v>
      </c>
      <c r="H31" s="196"/>
      <c r="I31" s="54"/>
      <c r="J31" s="12"/>
      <c r="K31" s="11"/>
    </row>
    <row r="32" spans="2:24" x14ac:dyDescent="0.25">
      <c r="B32" s="10"/>
      <c r="C32" s="12"/>
      <c r="D32" s="29" t="s">
        <v>126</v>
      </c>
      <c r="E32" s="29" t="s">
        <v>123</v>
      </c>
      <c r="F32" s="12"/>
      <c r="G32" s="12"/>
      <c r="H32" s="12"/>
      <c r="I32" s="12"/>
      <c r="J32" s="12"/>
      <c r="K32" s="11"/>
    </row>
    <row r="33" spans="2:11" x14ac:dyDescent="0.25">
      <c r="B33" s="10"/>
      <c r="C33" s="12"/>
      <c r="D33" s="29" t="str">
        <f>CONCATENATE("IA - ",E9,"m2")</f>
        <v>IA - 450m2</v>
      </c>
      <c r="E33" s="35">
        <f>K27</f>
        <v>436589.79431958805</v>
      </c>
      <c r="F33" s="12"/>
      <c r="G33" s="12"/>
      <c r="H33" s="12"/>
      <c r="I33" s="12"/>
      <c r="J33" s="12"/>
      <c r="K33" s="11"/>
    </row>
    <row r="34" spans="2:11" x14ac:dyDescent="0.25">
      <c r="B34" s="10"/>
      <c r="C34" s="12"/>
      <c r="D34" s="29" t="str">
        <f>CONCATENATE(C14," - ",G14,"m2")</f>
        <v>R1 - 380m2</v>
      </c>
      <c r="E34" s="35">
        <f t="shared" ref="E34:E43" si="2">I14</f>
        <v>50000</v>
      </c>
      <c r="F34" s="12"/>
      <c r="G34" s="12"/>
      <c r="H34" s="12"/>
      <c r="I34" s="12"/>
      <c r="J34" s="12"/>
      <c r="K34" s="11"/>
    </row>
    <row r="35" spans="2:11" x14ac:dyDescent="0.25">
      <c r="B35" s="10"/>
      <c r="C35" s="12"/>
      <c r="D35" s="29" t="str">
        <f t="shared" ref="D35:D43" si="3">CONCATENATE(C15," - ",G15,"m2")</f>
        <v>R2 - 410m2</v>
      </c>
      <c r="E35" s="35">
        <f t="shared" si="2"/>
        <v>380000</v>
      </c>
      <c r="F35" s="12"/>
      <c r="G35" s="12"/>
      <c r="H35" s="12"/>
      <c r="I35" s="12"/>
      <c r="J35" s="12"/>
      <c r="K35" s="11"/>
    </row>
    <row r="36" spans="2:11" x14ac:dyDescent="0.25">
      <c r="B36" s="10"/>
      <c r="C36" s="12"/>
      <c r="D36" s="29" t="str">
        <f t="shared" si="3"/>
        <v>R3 - 520m2</v>
      </c>
      <c r="E36" s="35">
        <f t="shared" si="2"/>
        <v>420000</v>
      </c>
      <c r="F36" s="12"/>
      <c r="G36" s="12"/>
      <c r="H36" s="12"/>
      <c r="I36" s="12"/>
      <c r="J36" s="12"/>
      <c r="K36" s="11"/>
    </row>
    <row r="37" spans="2:11" x14ac:dyDescent="0.25">
      <c r="B37" s="10"/>
      <c r="C37" s="12"/>
      <c r="D37" s="29" t="str">
        <f t="shared" si="3"/>
        <v>R4 - 470m2</v>
      </c>
      <c r="E37" s="35">
        <f t="shared" si="2"/>
        <v>950000</v>
      </c>
      <c r="F37" s="12"/>
      <c r="G37" s="12"/>
      <c r="H37" s="12"/>
      <c r="I37" s="12"/>
      <c r="J37" s="12"/>
      <c r="K37" s="11"/>
    </row>
    <row r="38" spans="2:11" x14ac:dyDescent="0.25">
      <c r="B38" s="10"/>
      <c r="C38" s="12"/>
      <c r="D38" s="29" t="str">
        <f t="shared" si="3"/>
        <v>R5 - m2</v>
      </c>
      <c r="E38" s="35">
        <f t="shared" si="2"/>
        <v>0</v>
      </c>
      <c r="F38" s="12"/>
      <c r="G38" s="12"/>
      <c r="H38" s="12"/>
      <c r="I38" s="12"/>
      <c r="J38" s="12"/>
      <c r="K38" s="11"/>
    </row>
    <row r="39" spans="2:11" x14ac:dyDescent="0.25">
      <c r="B39" s="10"/>
      <c r="C39" s="12"/>
      <c r="D39" s="29" t="str">
        <f t="shared" si="3"/>
        <v>R6 - m2</v>
      </c>
      <c r="E39" s="35">
        <f t="shared" si="2"/>
        <v>0</v>
      </c>
      <c r="F39" s="12"/>
      <c r="G39" s="12"/>
      <c r="H39" s="12"/>
      <c r="I39" s="12"/>
      <c r="J39" s="12"/>
      <c r="K39" s="11"/>
    </row>
    <row r="40" spans="2:11" x14ac:dyDescent="0.25">
      <c r="B40" s="10"/>
      <c r="C40" s="12"/>
      <c r="D40" s="29" t="str">
        <f t="shared" si="3"/>
        <v>R7 - m2</v>
      </c>
      <c r="E40" s="35">
        <f t="shared" si="2"/>
        <v>0</v>
      </c>
      <c r="F40" s="12"/>
      <c r="G40" s="12"/>
      <c r="H40" s="12"/>
      <c r="I40" s="12"/>
      <c r="J40" s="12"/>
      <c r="K40" s="11"/>
    </row>
    <row r="41" spans="2:11" x14ac:dyDescent="0.25">
      <c r="B41" s="10"/>
      <c r="C41" s="12"/>
      <c r="D41" s="29" t="str">
        <f t="shared" si="3"/>
        <v>R8 - m2</v>
      </c>
      <c r="E41" s="35">
        <f t="shared" si="2"/>
        <v>0</v>
      </c>
      <c r="F41" s="12"/>
      <c r="G41" s="12"/>
      <c r="H41" s="12"/>
      <c r="I41" s="12"/>
      <c r="J41" s="12"/>
      <c r="K41" s="11"/>
    </row>
    <row r="42" spans="2:11" x14ac:dyDescent="0.25">
      <c r="B42" s="10"/>
      <c r="C42" s="12"/>
      <c r="D42" s="29" t="str">
        <f t="shared" si="3"/>
        <v>R9 - m2</v>
      </c>
      <c r="E42" s="35">
        <f t="shared" si="2"/>
        <v>0</v>
      </c>
      <c r="F42" s="12"/>
      <c r="G42" s="12"/>
      <c r="H42" s="12"/>
      <c r="I42" s="12"/>
      <c r="J42" s="12"/>
      <c r="K42" s="11"/>
    </row>
    <row r="43" spans="2:11" x14ac:dyDescent="0.25">
      <c r="B43" s="10"/>
      <c r="C43" s="12"/>
      <c r="D43" s="29" t="str">
        <f t="shared" si="3"/>
        <v>R10 - m2</v>
      </c>
      <c r="E43" s="35">
        <f t="shared" si="2"/>
        <v>0</v>
      </c>
      <c r="F43" s="12"/>
      <c r="G43" s="12"/>
      <c r="H43" s="12"/>
      <c r="I43" s="12"/>
      <c r="J43" s="12"/>
      <c r="K43" s="11"/>
    </row>
    <row r="44" spans="2:11" x14ac:dyDescent="0.25">
      <c r="B44" s="10"/>
      <c r="C44" s="12"/>
      <c r="D44" s="12"/>
      <c r="E44" s="12"/>
      <c r="F44" s="12"/>
      <c r="G44" s="12"/>
      <c r="H44" s="12"/>
      <c r="I44" s="12"/>
      <c r="J44" s="12"/>
      <c r="K44" s="11"/>
    </row>
    <row r="45" spans="2:11" x14ac:dyDescent="0.25">
      <c r="B45" s="10"/>
      <c r="C45" s="12"/>
      <c r="D45" s="12"/>
      <c r="E45" s="12"/>
      <c r="F45" s="12"/>
      <c r="G45" s="12"/>
      <c r="H45" s="12"/>
      <c r="I45" s="12"/>
      <c r="J45" s="12"/>
      <c r="K45" s="11"/>
    </row>
    <row r="46" spans="2:11" x14ac:dyDescent="0.25">
      <c r="B46" s="10"/>
      <c r="C46" s="12"/>
      <c r="D46" s="12"/>
      <c r="E46" s="12"/>
      <c r="F46" s="12"/>
      <c r="G46" s="12"/>
      <c r="H46" s="12"/>
      <c r="I46" s="12"/>
      <c r="J46" s="12"/>
      <c r="K46" s="11"/>
    </row>
    <row r="47" spans="2:11" x14ac:dyDescent="0.25">
      <c r="B47" s="10"/>
      <c r="C47" s="12"/>
      <c r="D47" s="29" t="s">
        <v>126</v>
      </c>
      <c r="E47" s="29" t="s">
        <v>125</v>
      </c>
      <c r="F47" s="12"/>
      <c r="G47" s="12"/>
      <c r="H47" s="12"/>
      <c r="I47" s="12"/>
      <c r="J47" s="12"/>
      <c r="K47" s="11"/>
    </row>
    <row r="48" spans="2:11" x14ac:dyDescent="0.25">
      <c r="B48" s="10"/>
      <c r="C48" s="12"/>
      <c r="D48" s="29" t="str">
        <f>D33</f>
        <v>IA - 450m2</v>
      </c>
      <c r="E48" s="35">
        <f>K25</f>
        <v>970.1995429324179</v>
      </c>
      <c r="F48" s="12"/>
      <c r="G48" s="12"/>
      <c r="H48" s="12"/>
      <c r="I48" s="12"/>
      <c r="J48" s="12"/>
      <c r="K48" s="11"/>
    </row>
    <row r="49" spans="2:11" x14ac:dyDescent="0.25">
      <c r="B49" s="10"/>
      <c r="C49" s="12"/>
      <c r="D49" s="29" t="str">
        <f>CONCATENATE(C14," - ",G14,"m2")</f>
        <v>R1 - 380m2</v>
      </c>
      <c r="E49" s="35">
        <f>K14</f>
        <v>125</v>
      </c>
      <c r="F49" s="12"/>
      <c r="G49" s="12"/>
      <c r="H49" s="12"/>
      <c r="I49" s="12"/>
      <c r="J49" s="12"/>
      <c r="K49" s="11"/>
    </row>
    <row r="50" spans="2:11" x14ac:dyDescent="0.25">
      <c r="B50" s="10"/>
      <c r="C50" s="12"/>
      <c r="D50" s="29" t="str">
        <f t="shared" ref="D50:D58" si="4">CONCATENATE(C15," - ",G15,"m2")</f>
        <v>R2 - 410m2</v>
      </c>
      <c r="E50" s="35">
        <f t="shared" ref="E50:E58" si="5">K15</f>
        <v>926.82926829268297</v>
      </c>
      <c r="F50" s="12"/>
      <c r="G50" s="12"/>
      <c r="H50" s="12"/>
      <c r="I50" s="12"/>
      <c r="J50" s="12"/>
      <c r="K50" s="11"/>
    </row>
    <row r="51" spans="2:11" x14ac:dyDescent="0.25">
      <c r="B51" s="10"/>
      <c r="C51" s="12"/>
      <c r="D51" s="29" t="str">
        <f t="shared" si="4"/>
        <v>R3 - 520m2</v>
      </c>
      <c r="E51" s="35">
        <f t="shared" si="5"/>
        <v>807.69230769230774</v>
      </c>
      <c r="F51" s="12"/>
      <c r="G51" s="12"/>
      <c r="H51" s="12"/>
      <c r="I51" s="12"/>
      <c r="J51" s="12"/>
      <c r="K51" s="11"/>
    </row>
    <row r="52" spans="2:11" x14ac:dyDescent="0.25">
      <c r="B52" s="10"/>
      <c r="C52" s="12"/>
      <c r="D52" s="29" t="str">
        <f t="shared" si="4"/>
        <v>R4 - 470m2</v>
      </c>
      <c r="E52" s="35">
        <f t="shared" si="5"/>
        <v>2021.2765957446809</v>
      </c>
      <c r="F52" s="12"/>
      <c r="G52" s="12"/>
      <c r="H52" s="12"/>
      <c r="I52" s="12"/>
      <c r="J52" s="12"/>
      <c r="K52" s="11"/>
    </row>
    <row r="53" spans="2:11" x14ac:dyDescent="0.25">
      <c r="B53" s="10"/>
      <c r="C53" s="12"/>
      <c r="D53" s="29" t="str">
        <f t="shared" si="4"/>
        <v>R5 - m2</v>
      </c>
      <c r="E53" s="35" t="str">
        <f t="shared" si="5"/>
        <v/>
      </c>
      <c r="F53" s="12"/>
      <c r="G53" s="12"/>
      <c r="H53" s="12"/>
      <c r="I53" s="12"/>
      <c r="J53" s="12"/>
      <c r="K53" s="11"/>
    </row>
    <row r="54" spans="2:11" x14ac:dyDescent="0.25">
      <c r="B54" s="10"/>
      <c r="C54" s="12"/>
      <c r="D54" s="29" t="str">
        <f t="shared" si="4"/>
        <v>R6 - m2</v>
      </c>
      <c r="E54" s="35" t="str">
        <f t="shared" si="5"/>
        <v/>
      </c>
      <c r="F54" s="12"/>
      <c r="G54" s="12"/>
      <c r="H54" s="12"/>
      <c r="I54" s="12"/>
      <c r="J54" s="12"/>
      <c r="K54" s="11"/>
    </row>
    <row r="55" spans="2:11" x14ac:dyDescent="0.25">
      <c r="B55" s="10"/>
      <c r="C55" s="12"/>
      <c r="D55" s="29" t="str">
        <f t="shared" si="4"/>
        <v>R7 - m2</v>
      </c>
      <c r="E55" s="35" t="str">
        <f t="shared" si="5"/>
        <v/>
      </c>
      <c r="F55" s="12"/>
      <c r="G55" s="12"/>
      <c r="H55" s="12"/>
      <c r="I55" s="12"/>
      <c r="J55" s="12"/>
      <c r="K55" s="11"/>
    </row>
    <row r="56" spans="2:11" x14ac:dyDescent="0.25">
      <c r="B56" s="10"/>
      <c r="C56" s="12"/>
      <c r="D56" s="29" t="str">
        <f t="shared" si="4"/>
        <v>R8 - m2</v>
      </c>
      <c r="E56" s="35" t="str">
        <f t="shared" si="5"/>
        <v/>
      </c>
      <c r="F56" s="12"/>
      <c r="G56" s="12"/>
      <c r="H56" s="12"/>
      <c r="I56" s="12"/>
      <c r="J56" s="12"/>
      <c r="K56" s="11"/>
    </row>
    <row r="57" spans="2:11" x14ac:dyDescent="0.25">
      <c r="B57" s="10"/>
      <c r="C57" s="12"/>
      <c r="D57" s="29" t="str">
        <f t="shared" si="4"/>
        <v>R9 - m2</v>
      </c>
      <c r="E57" s="35" t="str">
        <f t="shared" si="5"/>
        <v/>
      </c>
      <c r="F57" s="12"/>
      <c r="G57" s="12"/>
      <c r="H57" s="12"/>
      <c r="I57" s="12"/>
      <c r="J57" s="12"/>
      <c r="K57" s="11"/>
    </row>
    <row r="58" spans="2:11" x14ac:dyDescent="0.25">
      <c r="B58" s="10"/>
      <c r="C58" s="12"/>
      <c r="D58" s="29" t="str">
        <f t="shared" si="4"/>
        <v>R10 - m2</v>
      </c>
      <c r="E58" s="35" t="str">
        <f t="shared" si="5"/>
        <v/>
      </c>
      <c r="F58" s="12"/>
      <c r="G58" s="12"/>
      <c r="H58" s="12"/>
      <c r="I58" s="12"/>
      <c r="J58" s="12"/>
      <c r="K58" s="11"/>
    </row>
    <row r="59" spans="2:11" x14ac:dyDescent="0.25">
      <c r="B59" s="10"/>
      <c r="C59" s="12"/>
      <c r="D59" s="12"/>
      <c r="E59" s="12"/>
      <c r="F59" s="12"/>
      <c r="G59" s="12"/>
      <c r="H59" s="12"/>
      <c r="I59" s="12"/>
      <c r="J59" s="12"/>
      <c r="K59" s="11"/>
    </row>
    <row r="60" spans="2:11" x14ac:dyDescent="0.25">
      <c r="B60" s="10"/>
      <c r="C60" s="12"/>
      <c r="D60" s="12"/>
      <c r="E60" s="12"/>
      <c r="F60" s="12"/>
      <c r="G60" s="12"/>
      <c r="H60" s="12"/>
      <c r="I60" s="12"/>
      <c r="J60" s="12"/>
      <c r="K60" s="11"/>
    </row>
    <row r="61" spans="2:11" x14ac:dyDescent="0.25">
      <c r="B61" s="10"/>
      <c r="C61" s="12"/>
      <c r="D61" s="12"/>
      <c r="E61" s="12"/>
      <c r="F61" s="12"/>
      <c r="G61" s="12"/>
      <c r="H61" s="12"/>
      <c r="I61" s="12"/>
      <c r="J61" s="12"/>
      <c r="K61" s="11"/>
    </row>
    <row r="62" spans="2:11" ht="15.75" thickBot="1" x14ac:dyDescent="0.3">
      <c r="B62" s="17"/>
      <c r="C62" s="18"/>
      <c r="D62" s="18"/>
      <c r="E62" s="18"/>
      <c r="F62" s="18"/>
      <c r="G62" s="18"/>
      <c r="H62" s="18"/>
      <c r="I62" s="18"/>
      <c r="J62" s="18"/>
      <c r="K62" s="20"/>
    </row>
  </sheetData>
  <mergeCells count="22">
    <mergeCell ref="C3:K3"/>
    <mergeCell ref="C4:K4"/>
    <mergeCell ref="C5:K5"/>
    <mergeCell ref="C7:K7"/>
    <mergeCell ref="C8:D8"/>
    <mergeCell ref="E8:I8"/>
    <mergeCell ref="D20:F20"/>
    <mergeCell ref="C9:D9"/>
    <mergeCell ref="C12:I12"/>
    <mergeCell ref="D13:F13"/>
    <mergeCell ref="D14:F14"/>
    <mergeCell ref="D15:F15"/>
    <mergeCell ref="D16:F16"/>
    <mergeCell ref="D17:F17"/>
    <mergeCell ref="D18:F18"/>
    <mergeCell ref="D19:F19"/>
    <mergeCell ref="D21:F21"/>
    <mergeCell ref="D22:F22"/>
    <mergeCell ref="D23:F23"/>
    <mergeCell ref="D31:E31"/>
    <mergeCell ref="G31:H31"/>
    <mergeCell ref="G27:J27"/>
  </mergeCells>
  <dataValidations disablePrompts="1" count="1">
    <dataValidation type="list" allowBlank="1" showInputMessage="1" showErrorMessage="1" sqref="H14:H23">
      <formula1>"Anúncio,Venda realizada"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63"/>
  <sheetViews>
    <sheetView showGridLines="0" zoomScale="80" zoomScaleNormal="80" workbookViewId="0">
      <selection activeCell="R16" sqref="R16"/>
    </sheetView>
  </sheetViews>
  <sheetFormatPr defaultRowHeight="15" x14ac:dyDescent="0.25"/>
  <cols>
    <col min="1" max="2" width="1.42578125" style="4" customWidth="1"/>
    <col min="3" max="3" width="5.5703125" style="4" customWidth="1"/>
    <col min="4" max="4" width="12.5703125" style="4" customWidth="1"/>
    <col min="5" max="5" width="15.5703125" style="4" customWidth="1"/>
    <col min="6" max="7" width="9.140625" style="4"/>
    <col min="8" max="8" width="11.140625" style="4" customWidth="1"/>
    <col min="9" max="9" width="14.85546875" style="4" customWidth="1"/>
    <col min="10" max="12" width="17.42578125" style="4" customWidth="1"/>
    <col min="13" max="13" width="16.42578125" style="4" customWidth="1"/>
    <col min="14" max="14" width="1.7109375" style="4" customWidth="1"/>
    <col min="15" max="15" width="30.140625" style="4" customWidth="1"/>
    <col min="16" max="16" width="21" style="4" customWidth="1"/>
    <col min="17" max="17" width="2.140625" style="4" bestFit="1" customWidth="1"/>
    <col min="18" max="16384" width="9.140625" style="4"/>
  </cols>
  <sheetData>
    <row r="1" spans="2:17" ht="6.75" customHeight="1" thickBot="1" x14ac:dyDescent="0.3"/>
    <row r="2" spans="2:17" ht="7.5" customHeight="1" thickBo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2:17" ht="7.5" customHeight="1" x14ac:dyDescent="0.25">
      <c r="B3" s="10"/>
      <c r="C3" s="178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80"/>
      <c r="Q3" s="11"/>
    </row>
    <row r="4" spans="2:17" ht="23.25" x14ac:dyDescent="0.35">
      <c r="B4" s="10"/>
      <c r="C4" s="181" t="s">
        <v>10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3"/>
      <c r="Q4" s="11"/>
    </row>
    <row r="5" spans="2:17" ht="7.5" customHeight="1" thickBot="1" x14ac:dyDescent="0.3">
      <c r="B5" s="10"/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6"/>
      <c r="Q5" s="11"/>
    </row>
    <row r="6" spans="2:17" ht="15.75" thickBot="1" x14ac:dyDescent="0.3">
      <c r="B6" s="10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1"/>
    </row>
    <row r="7" spans="2:17" x14ac:dyDescent="0.25">
      <c r="B7" s="10"/>
      <c r="C7" s="213" t="s">
        <v>19</v>
      </c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5"/>
      <c r="Q7" s="11"/>
    </row>
    <row r="8" spans="2:17" x14ac:dyDescent="0.25">
      <c r="B8" s="10"/>
      <c r="C8" s="210" t="s">
        <v>21</v>
      </c>
      <c r="D8" s="211"/>
      <c r="E8" s="189" t="s">
        <v>128</v>
      </c>
      <c r="F8" s="189"/>
      <c r="G8" s="189"/>
      <c r="H8" s="189"/>
      <c r="I8" s="189"/>
      <c r="J8" s="189"/>
      <c r="K8" s="189"/>
      <c r="L8" s="189"/>
      <c r="M8" s="189"/>
      <c r="N8" s="212" t="s">
        <v>22</v>
      </c>
      <c r="O8" s="212"/>
      <c r="P8" s="146" t="s">
        <v>131</v>
      </c>
      <c r="Q8" s="11"/>
    </row>
    <row r="9" spans="2:17" ht="17.25" x14ac:dyDescent="0.25">
      <c r="B9" s="10"/>
      <c r="C9" s="210" t="s">
        <v>13</v>
      </c>
      <c r="D9" s="211"/>
      <c r="E9" s="216">
        <v>300</v>
      </c>
      <c r="F9" s="216"/>
      <c r="G9" s="135"/>
      <c r="H9" s="135"/>
      <c r="I9" s="135"/>
      <c r="J9" s="135"/>
      <c r="K9" s="135"/>
      <c r="L9" s="135"/>
      <c r="M9" s="135"/>
      <c r="N9" s="135"/>
      <c r="O9" s="135"/>
      <c r="P9" s="140"/>
      <c r="Q9" s="11"/>
    </row>
    <row r="10" spans="2:17" ht="17.25" x14ac:dyDescent="0.25">
      <c r="B10" s="10"/>
      <c r="C10" s="210" t="s">
        <v>14</v>
      </c>
      <c r="D10" s="211"/>
      <c r="E10" s="216">
        <v>250</v>
      </c>
      <c r="F10" s="216"/>
      <c r="G10" s="211" t="s">
        <v>18</v>
      </c>
      <c r="H10" s="211"/>
      <c r="I10" s="141"/>
      <c r="J10" s="147">
        <v>10</v>
      </c>
      <c r="K10" s="135"/>
      <c r="L10" s="135"/>
      <c r="M10" s="135"/>
      <c r="N10" s="135"/>
      <c r="O10" s="135"/>
      <c r="P10" s="140"/>
      <c r="Q10" s="11"/>
    </row>
    <row r="11" spans="2:17" ht="7.5" customHeight="1" thickBot="1" x14ac:dyDescent="0.3">
      <c r="B11" s="10"/>
      <c r="C11" s="142"/>
      <c r="D11" s="143"/>
      <c r="E11" s="144"/>
      <c r="F11" s="144"/>
      <c r="G11" s="143"/>
      <c r="H11" s="143"/>
      <c r="I11" s="143"/>
      <c r="J11" s="143"/>
      <c r="K11" s="143"/>
      <c r="L11" s="143"/>
      <c r="M11" s="143"/>
      <c r="N11" s="143"/>
      <c r="O11" s="143"/>
      <c r="P11" s="145"/>
      <c r="Q11" s="11"/>
    </row>
    <row r="12" spans="2:17" x14ac:dyDescent="0.25">
      <c r="B12" s="10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1"/>
    </row>
    <row r="13" spans="2:17" ht="15.75" thickBot="1" x14ac:dyDescent="0.3">
      <c r="B13" s="10"/>
      <c r="C13" s="196" t="s">
        <v>77</v>
      </c>
      <c r="D13" s="196"/>
      <c r="E13" s="196"/>
      <c r="F13" s="196"/>
      <c r="G13" s="196"/>
      <c r="H13" s="196"/>
      <c r="I13" s="196"/>
      <c r="J13" s="196"/>
      <c r="K13" s="92"/>
      <c r="L13" s="113">
        <v>0.05</v>
      </c>
      <c r="M13" s="12"/>
      <c r="N13" s="12"/>
      <c r="O13" s="148" t="s">
        <v>25</v>
      </c>
      <c r="P13" s="149"/>
      <c r="Q13" s="11"/>
    </row>
    <row r="14" spans="2:17" ht="48" thickBot="1" x14ac:dyDescent="0.3">
      <c r="B14" s="10"/>
      <c r="C14" s="12"/>
      <c r="D14" s="206" t="s">
        <v>11</v>
      </c>
      <c r="E14" s="206"/>
      <c r="F14" s="206"/>
      <c r="G14" s="206"/>
      <c r="H14" s="94" t="s">
        <v>26</v>
      </c>
      <c r="I14" s="94" t="s">
        <v>61</v>
      </c>
      <c r="J14" s="94" t="s">
        <v>76</v>
      </c>
      <c r="K14" s="94" t="s">
        <v>75</v>
      </c>
      <c r="L14" s="94" t="s">
        <v>129</v>
      </c>
      <c r="M14" s="94" t="s">
        <v>64</v>
      </c>
      <c r="N14" s="12"/>
      <c r="O14" s="150" t="s">
        <v>29</v>
      </c>
      <c r="P14" s="151">
        <v>1480.14</v>
      </c>
      <c r="Q14" s="11"/>
    </row>
    <row r="15" spans="2:17" x14ac:dyDescent="0.25">
      <c r="B15" s="10"/>
      <c r="C15" s="29" t="s">
        <v>0</v>
      </c>
      <c r="D15" s="187" t="s">
        <v>132</v>
      </c>
      <c r="E15" s="187"/>
      <c r="F15" s="187"/>
      <c r="G15" s="187"/>
      <c r="H15" s="47">
        <v>200</v>
      </c>
      <c r="I15" s="93" t="s">
        <v>63</v>
      </c>
      <c r="J15" s="1">
        <v>200000</v>
      </c>
      <c r="K15" s="30">
        <f t="shared" ref="K15:K24" si="0">IF(OR(J15="",J15=0),"",J15/H15)</f>
        <v>1000</v>
      </c>
      <c r="L15" s="30">
        <f>IF(I15="Anúncio",-K15*$L$13,0)</f>
        <v>0</v>
      </c>
      <c r="M15" s="30">
        <f>IF(OR(K15="",K15=0),0,(K15+L15))</f>
        <v>1000</v>
      </c>
      <c r="N15" s="12"/>
      <c r="O15" s="218" t="s">
        <v>27</v>
      </c>
      <c r="P15" s="219">
        <f>P14*E10</f>
        <v>370035</v>
      </c>
      <c r="Q15" s="11"/>
    </row>
    <row r="16" spans="2:17" ht="15" customHeight="1" x14ac:dyDescent="0.25">
      <c r="B16" s="10"/>
      <c r="C16" s="29" t="s">
        <v>1</v>
      </c>
      <c r="D16" s="187" t="s">
        <v>134</v>
      </c>
      <c r="E16" s="187"/>
      <c r="F16" s="187"/>
      <c r="G16" s="187"/>
      <c r="H16" s="47">
        <v>280</v>
      </c>
      <c r="I16" s="93" t="s">
        <v>63</v>
      </c>
      <c r="J16" s="1">
        <v>300000</v>
      </c>
      <c r="K16" s="30">
        <f t="shared" si="0"/>
        <v>1071.4285714285713</v>
      </c>
      <c r="L16" s="30">
        <f t="shared" ref="L16:L24" si="1">IF(I16="Anúncio",-K16*$L$13,0)</f>
        <v>0</v>
      </c>
      <c r="M16" s="30">
        <f t="shared" ref="M16:M24" si="2">IF(OR(K16="",K16=0),0,(K16+L16))</f>
        <v>1071.4285714285713</v>
      </c>
      <c r="N16" s="12"/>
      <c r="O16" s="218"/>
      <c r="P16" s="219"/>
      <c r="Q16" s="11"/>
    </row>
    <row r="17" spans="2:17" x14ac:dyDescent="0.25">
      <c r="B17" s="10"/>
      <c r="C17" s="29" t="s">
        <v>2</v>
      </c>
      <c r="D17" s="187" t="s">
        <v>133</v>
      </c>
      <c r="E17" s="187"/>
      <c r="F17" s="187"/>
      <c r="G17" s="187"/>
      <c r="H17" s="47">
        <v>210</v>
      </c>
      <c r="I17" s="93" t="s">
        <v>62</v>
      </c>
      <c r="J17" s="1">
        <v>260000</v>
      </c>
      <c r="K17" s="30">
        <f t="shared" si="0"/>
        <v>1238.0952380952381</v>
      </c>
      <c r="L17" s="30">
        <f t="shared" si="1"/>
        <v>-61.904761904761905</v>
      </c>
      <c r="M17" s="30">
        <f t="shared" si="2"/>
        <v>1176.1904761904761</v>
      </c>
      <c r="N17" s="12"/>
      <c r="O17" s="12"/>
      <c r="P17" s="12"/>
      <c r="Q17" s="11"/>
    </row>
    <row r="18" spans="2:17" x14ac:dyDescent="0.25">
      <c r="B18" s="10"/>
      <c r="C18" s="29" t="s">
        <v>3</v>
      </c>
      <c r="D18" s="187" t="s">
        <v>145</v>
      </c>
      <c r="E18" s="187"/>
      <c r="F18" s="187"/>
      <c r="G18" s="187"/>
      <c r="H18" s="47">
        <v>16</v>
      </c>
      <c r="I18" s="93" t="s">
        <v>62</v>
      </c>
      <c r="J18" s="1">
        <v>900000</v>
      </c>
      <c r="K18" s="30">
        <f t="shared" si="0"/>
        <v>56250</v>
      </c>
      <c r="L18" s="30">
        <f t="shared" si="1"/>
        <v>-2812.5</v>
      </c>
      <c r="M18" s="30">
        <f t="shared" si="2"/>
        <v>53437.5</v>
      </c>
      <c r="N18" s="12"/>
      <c r="O18" s="152" t="s">
        <v>72</v>
      </c>
      <c r="P18" s="153"/>
      <c r="Q18" s="159"/>
    </row>
    <row r="19" spans="2:17" x14ac:dyDescent="0.25">
      <c r="B19" s="10"/>
      <c r="C19" s="29" t="s">
        <v>4</v>
      </c>
      <c r="D19" s="187"/>
      <c r="E19" s="187"/>
      <c r="F19" s="187"/>
      <c r="G19" s="187"/>
      <c r="H19" s="47"/>
      <c r="I19" s="93"/>
      <c r="J19" s="1"/>
      <c r="K19" s="30" t="str">
        <f t="shared" si="0"/>
        <v/>
      </c>
      <c r="L19" s="30">
        <f t="shared" si="1"/>
        <v>0</v>
      </c>
      <c r="M19" s="30">
        <f t="shared" si="2"/>
        <v>0</v>
      </c>
      <c r="N19" s="12"/>
      <c r="O19" s="154" t="s">
        <v>68</v>
      </c>
      <c r="P19" s="156">
        <v>60</v>
      </c>
      <c r="Q19" s="160"/>
    </row>
    <row r="20" spans="2:17" x14ac:dyDescent="0.25">
      <c r="B20" s="10"/>
      <c r="C20" s="29" t="s">
        <v>5</v>
      </c>
      <c r="D20" s="187"/>
      <c r="E20" s="187"/>
      <c r="F20" s="187"/>
      <c r="G20" s="187"/>
      <c r="H20" s="47"/>
      <c r="I20" s="93"/>
      <c r="J20" s="1"/>
      <c r="K20" s="30" t="str">
        <f t="shared" si="0"/>
        <v/>
      </c>
      <c r="L20" s="30">
        <f t="shared" si="1"/>
        <v>0</v>
      </c>
      <c r="M20" s="30">
        <f t="shared" si="2"/>
        <v>0</v>
      </c>
      <c r="N20" s="12"/>
      <c r="O20" s="155" t="s">
        <v>69</v>
      </c>
      <c r="P20" s="157" t="s">
        <v>41</v>
      </c>
      <c r="Q20" s="160" t="str">
        <f>IF(P20="","",VLOOKUP(P20,'Tabela Ross-Heidecke'!$B$6:$C$14,2,FALSE))</f>
        <v>B</v>
      </c>
    </row>
    <row r="21" spans="2:17" x14ac:dyDescent="0.25">
      <c r="B21" s="10"/>
      <c r="C21" s="29" t="s">
        <v>6</v>
      </c>
      <c r="D21" s="187"/>
      <c r="E21" s="187"/>
      <c r="F21" s="187"/>
      <c r="G21" s="187"/>
      <c r="H21" s="47"/>
      <c r="I21" s="93"/>
      <c r="J21" s="1"/>
      <c r="K21" s="30" t="str">
        <f t="shared" si="0"/>
        <v/>
      </c>
      <c r="L21" s="30">
        <f t="shared" si="1"/>
        <v>0</v>
      </c>
      <c r="M21" s="30">
        <f t="shared" si="2"/>
        <v>0</v>
      </c>
      <c r="N21" s="12"/>
      <c r="O21" s="155" t="s">
        <v>70</v>
      </c>
      <c r="P21" s="158">
        <f>IFERROR(VLOOKUP((EVEN(J10/P19*100)),'Tabela Ross-Heidecke'!$E$7:$M$56,(IF(Q20="A",2,IF(Q20="B",3,IF(Q20="C",4,IF(Q20="D",5,IF(Q20="E",6,IF(Q20="F",7,IF(Q20="G",8,IF(Q20="H",9,""))))))))),FALSE),"")</f>
        <v>10.6</v>
      </c>
      <c r="Q21" s="160"/>
    </row>
    <row r="22" spans="2:17" x14ac:dyDescent="0.25">
      <c r="B22" s="10"/>
      <c r="C22" s="29" t="s">
        <v>7</v>
      </c>
      <c r="D22" s="187"/>
      <c r="E22" s="187"/>
      <c r="F22" s="187"/>
      <c r="G22" s="187"/>
      <c r="H22" s="47"/>
      <c r="I22" s="93"/>
      <c r="J22" s="1"/>
      <c r="K22" s="30" t="str">
        <f t="shared" si="0"/>
        <v/>
      </c>
      <c r="L22" s="30">
        <f t="shared" si="1"/>
        <v>0</v>
      </c>
      <c r="M22" s="30">
        <f t="shared" si="2"/>
        <v>0</v>
      </c>
      <c r="N22" s="12"/>
      <c r="O22" s="220" t="s">
        <v>117</v>
      </c>
      <c r="P22" s="221">
        <f>IFERROR(P15-(P15*P21/100),0)</f>
        <v>330811.28999999998</v>
      </c>
      <c r="Q22" s="160"/>
    </row>
    <row r="23" spans="2:17" x14ac:dyDescent="0.25">
      <c r="B23" s="10"/>
      <c r="C23" s="29" t="s">
        <v>8</v>
      </c>
      <c r="D23" s="187"/>
      <c r="E23" s="187"/>
      <c r="F23" s="187"/>
      <c r="G23" s="187"/>
      <c r="H23" s="47"/>
      <c r="I23" s="93"/>
      <c r="J23" s="1"/>
      <c r="K23" s="30" t="str">
        <f t="shared" si="0"/>
        <v/>
      </c>
      <c r="L23" s="30">
        <f t="shared" si="1"/>
        <v>0</v>
      </c>
      <c r="M23" s="30">
        <f t="shared" si="2"/>
        <v>0</v>
      </c>
      <c r="N23" s="12"/>
      <c r="O23" s="220"/>
      <c r="P23" s="221"/>
      <c r="Q23" s="161"/>
    </row>
    <row r="24" spans="2:17" x14ac:dyDescent="0.25">
      <c r="B24" s="10"/>
      <c r="C24" s="29" t="s">
        <v>9</v>
      </c>
      <c r="D24" s="187"/>
      <c r="E24" s="187"/>
      <c r="F24" s="187"/>
      <c r="G24" s="187"/>
      <c r="H24" s="47"/>
      <c r="I24" s="93"/>
      <c r="J24" s="1"/>
      <c r="K24" s="30" t="str">
        <f t="shared" si="0"/>
        <v/>
      </c>
      <c r="L24" s="30">
        <f t="shared" si="1"/>
        <v>0</v>
      </c>
      <c r="M24" s="30">
        <f t="shared" si="2"/>
        <v>0</v>
      </c>
      <c r="N24" s="12"/>
      <c r="O24" s="12"/>
      <c r="P24" s="12"/>
      <c r="Q24" s="11"/>
    </row>
    <row r="25" spans="2:17" x14ac:dyDescent="0.25">
      <c r="B25" s="10"/>
      <c r="C25" s="12"/>
      <c r="D25" s="12"/>
      <c r="E25" s="12"/>
      <c r="F25" s="12"/>
      <c r="G25" s="12"/>
      <c r="H25" s="12"/>
      <c r="I25" s="12"/>
      <c r="J25" s="12"/>
      <c r="K25" s="12"/>
      <c r="L25" s="29" t="s">
        <v>16</v>
      </c>
      <c r="M25" s="30">
        <f>SUM(M15:M24)</f>
        <v>56685.119047619046</v>
      </c>
      <c r="N25" s="12"/>
      <c r="O25" s="227" t="s">
        <v>28</v>
      </c>
      <c r="P25" s="217">
        <f>M26*E9</f>
        <v>4251383.9285714282</v>
      </c>
      <c r="Q25" s="11"/>
    </row>
    <row r="26" spans="2:17" ht="17.25" x14ac:dyDescent="0.25">
      <c r="B26" s="10"/>
      <c r="C26" s="12"/>
      <c r="D26" s="12"/>
      <c r="E26" s="12"/>
      <c r="F26" s="224" t="s">
        <v>24</v>
      </c>
      <c r="G26" s="225"/>
      <c r="H26" s="225"/>
      <c r="I26" s="225"/>
      <c r="J26" s="225"/>
      <c r="K26" s="225"/>
      <c r="L26" s="226"/>
      <c r="M26" s="37">
        <f>M25/COUNTA(J15:J24)</f>
        <v>14171.279761904761</v>
      </c>
      <c r="N26" s="12"/>
      <c r="O26" s="227"/>
      <c r="P26" s="217"/>
      <c r="Q26" s="11"/>
    </row>
    <row r="27" spans="2:17" ht="15.75" thickBot="1" x14ac:dyDescent="0.3">
      <c r="B27" s="1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1"/>
    </row>
    <row r="28" spans="2:17" ht="15.75" thickBot="1" x14ac:dyDescent="0.3">
      <c r="B28" s="10"/>
      <c r="C28" s="12"/>
      <c r="D28" s="12"/>
      <c r="E28" s="12"/>
      <c r="F28" s="12"/>
      <c r="G28" s="55"/>
      <c r="H28" s="55"/>
      <c r="I28" s="55"/>
      <c r="J28" s="55"/>
      <c r="K28" s="55"/>
      <c r="L28" s="55"/>
      <c r="M28" s="222" t="s">
        <v>71</v>
      </c>
      <c r="N28" s="223"/>
      <c r="O28" s="223"/>
      <c r="P28" s="56">
        <f>P22+P25</f>
        <v>4582195.2185714282</v>
      </c>
      <c r="Q28" s="11"/>
    </row>
    <row r="29" spans="2:17" ht="7.5" customHeight="1" thickBot="1" x14ac:dyDescent="0.3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20"/>
    </row>
    <row r="30" spans="2:17" ht="15.75" thickBot="1" x14ac:dyDescent="0.3"/>
    <row r="31" spans="2:17" x14ac:dyDescent="0.25">
      <c r="B31" s="7"/>
      <c r="C31" s="8"/>
      <c r="D31" s="8"/>
      <c r="E31" s="8"/>
      <c r="F31" s="8"/>
      <c r="G31" s="8"/>
      <c r="H31" s="8"/>
      <c r="I31" s="8"/>
      <c r="J31" s="8"/>
      <c r="K31" s="9"/>
    </row>
    <row r="32" spans="2:17" x14ac:dyDescent="0.25">
      <c r="B32" s="10"/>
      <c r="C32" s="12"/>
      <c r="D32" s="195" t="s">
        <v>122</v>
      </c>
      <c r="E32" s="195"/>
      <c r="F32" s="54"/>
      <c r="G32" s="196" t="s">
        <v>124</v>
      </c>
      <c r="H32" s="196"/>
      <c r="I32" s="54"/>
      <c r="J32" s="12"/>
      <c r="K32" s="11"/>
    </row>
    <row r="33" spans="2:11" x14ac:dyDescent="0.25">
      <c r="B33" s="10"/>
      <c r="C33" s="12"/>
      <c r="D33" s="29" t="s">
        <v>126</v>
      </c>
      <c r="E33" s="29" t="s">
        <v>123</v>
      </c>
      <c r="F33" s="12"/>
      <c r="G33" s="12"/>
      <c r="H33" s="12"/>
      <c r="I33" s="12"/>
      <c r="J33" s="12"/>
      <c r="K33" s="11"/>
    </row>
    <row r="34" spans="2:11" x14ac:dyDescent="0.25">
      <c r="B34" s="10"/>
      <c r="C34" s="12"/>
      <c r="D34" s="29" t="str">
        <f>CONCATENATE("IA - ",E9,"m2")</f>
        <v>IA - 300m2</v>
      </c>
      <c r="E34" s="35">
        <f>P25</f>
        <v>4251383.9285714282</v>
      </c>
      <c r="F34" s="12"/>
      <c r="G34" s="12"/>
      <c r="H34" s="12"/>
      <c r="I34" s="12"/>
      <c r="J34" s="12"/>
      <c r="K34" s="11"/>
    </row>
    <row r="35" spans="2:11" x14ac:dyDescent="0.25">
      <c r="B35" s="10"/>
      <c r="C35" s="12"/>
      <c r="D35" s="29" t="str">
        <f t="shared" ref="D35:D44" si="3">CONCATENATE(C15," - ",H15,"m2")</f>
        <v>R1 - 200m2</v>
      </c>
      <c r="E35" s="35">
        <f t="shared" ref="E35:E44" si="4">J15</f>
        <v>200000</v>
      </c>
      <c r="F35" s="12"/>
      <c r="G35" s="12"/>
      <c r="H35" s="12"/>
      <c r="I35" s="12"/>
      <c r="J35" s="12"/>
      <c r="K35" s="11"/>
    </row>
    <row r="36" spans="2:11" x14ac:dyDescent="0.25">
      <c r="B36" s="10"/>
      <c r="C36" s="12"/>
      <c r="D36" s="29" t="str">
        <f t="shared" si="3"/>
        <v>R2 - 280m2</v>
      </c>
      <c r="E36" s="35">
        <f t="shared" si="4"/>
        <v>300000</v>
      </c>
      <c r="F36" s="12"/>
      <c r="G36" s="12"/>
      <c r="H36" s="12"/>
      <c r="I36" s="12"/>
      <c r="J36" s="12"/>
      <c r="K36" s="11"/>
    </row>
    <row r="37" spans="2:11" x14ac:dyDescent="0.25">
      <c r="B37" s="10"/>
      <c r="C37" s="12"/>
      <c r="D37" s="29" t="str">
        <f t="shared" si="3"/>
        <v>R3 - 210m2</v>
      </c>
      <c r="E37" s="35">
        <f t="shared" si="4"/>
        <v>260000</v>
      </c>
      <c r="F37" s="12"/>
      <c r="G37" s="12"/>
      <c r="H37" s="12"/>
      <c r="I37" s="12"/>
      <c r="J37" s="12"/>
      <c r="K37" s="11"/>
    </row>
    <row r="38" spans="2:11" x14ac:dyDescent="0.25">
      <c r="B38" s="10"/>
      <c r="C38" s="12"/>
      <c r="D38" s="29" t="str">
        <f t="shared" si="3"/>
        <v>R4 - 16m2</v>
      </c>
      <c r="E38" s="35">
        <f t="shared" si="4"/>
        <v>900000</v>
      </c>
      <c r="F38" s="12"/>
      <c r="G38" s="12"/>
      <c r="H38" s="12"/>
      <c r="I38" s="12"/>
      <c r="J38" s="12"/>
      <c r="K38" s="11"/>
    </row>
    <row r="39" spans="2:11" x14ac:dyDescent="0.25">
      <c r="B39" s="10"/>
      <c r="C39" s="12"/>
      <c r="D39" s="29" t="str">
        <f t="shared" si="3"/>
        <v>R5 - m2</v>
      </c>
      <c r="E39" s="35">
        <f t="shared" si="4"/>
        <v>0</v>
      </c>
      <c r="F39" s="12"/>
      <c r="G39" s="12"/>
      <c r="H39" s="12"/>
      <c r="I39" s="12"/>
      <c r="J39" s="12"/>
      <c r="K39" s="11"/>
    </row>
    <row r="40" spans="2:11" x14ac:dyDescent="0.25">
      <c r="B40" s="10"/>
      <c r="C40" s="12"/>
      <c r="D40" s="29" t="str">
        <f t="shared" si="3"/>
        <v>R6 - m2</v>
      </c>
      <c r="E40" s="35">
        <f t="shared" si="4"/>
        <v>0</v>
      </c>
      <c r="F40" s="12"/>
      <c r="G40" s="12"/>
      <c r="H40" s="12"/>
      <c r="I40" s="12"/>
      <c r="J40" s="12"/>
      <c r="K40" s="11"/>
    </row>
    <row r="41" spans="2:11" x14ac:dyDescent="0.25">
      <c r="B41" s="10"/>
      <c r="C41" s="12"/>
      <c r="D41" s="29" t="str">
        <f t="shared" si="3"/>
        <v>R7 - m2</v>
      </c>
      <c r="E41" s="35">
        <f t="shared" si="4"/>
        <v>0</v>
      </c>
      <c r="F41" s="12"/>
      <c r="G41" s="12"/>
      <c r="H41" s="12"/>
      <c r="I41" s="12"/>
      <c r="J41" s="12"/>
      <c r="K41" s="11"/>
    </row>
    <row r="42" spans="2:11" x14ac:dyDescent="0.25">
      <c r="B42" s="10"/>
      <c r="C42" s="12"/>
      <c r="D42" s="29" t="str">
        <f t="shared" si="3"/>
        <v>R8 - m2</v>
      </c>
      <c r="E42" s="35">
        <f t="shared" si="4"/>
        <v>0</v>
      </c>
      <c r="F42" s="12"/>
      <c r="G42" s="12"/>
      <c r="H42" s="12"/>
      <c r="I42" s="12"/>
      <c r="J42" s="12"/>
      <c r="K42" s="11"/>
    </row>
    <row r="43" spans="2:11" x14ac:dyDescent="0.25">
      <c r="B43" s="10"/>
      <c r="C43" s="12"/>
      <c r="D43" s="29" t="str">
        <f t="shared" si="3"/>
        <v>R9 - m2</v>
      </c>
      <c r="E43" s="35">
        <f t="shared" si="4"/>
        <v>0</v>
      </c>
      <c r="F43" s="12"/>
      <c r="G43" s="12"/>
      <c r="H43" s="12"/>
      <c r="I43" s="12"/>
      <c r="J43" s="12"/>
      <c r="K43" s="11"/>
    </row>
    <row r="44" spans="2:11" x14ac:dyDescent="0.25">
      <c r="B44" s="10"/>
      <c r="C44" s="12"/>
      <c r="D44" s="29" t="str">
        <f t="shared" si="3"/>
        <v>R10 - m2</v>
      </c>
      <c r="E44" s="35">
        <f t="shared" si="4"/>
        <v>0</v>
      </c>
      <c r="F44" s="12"/>
      <c r="G44" s="12"/>
      <c r="H44" s="12"/>
      <c r="I44" s="12"/>
      <c r="J44" s="12"/>
      <c r="K44" s="11"/>
    </row>
    <row r="45" spans="2:11" x14ac:dyDescent="0.25">
      <c r="B45" s="10"/>
      <c r="C45" s="12"/>
      <c r="D45" s="12"/>
      <c r="E45" s="12"/>
      <c r="F45" s="12"/>
      <c r="G45" s="12"/>
      <c r="H45" s="12"/>
      <c r="I45" s="12"/>
      <c r="J45" s="12"/>
      <c r="K45" s="11"/>
    </row>
    <row r="46" spans="2:11" x14ac:dyDescent="0.25">
      <c r="B46" s="10"/>
      <c r="C46" s="12"/>
      <c r="D46" s="12"/>
      <c r="E46" s="12"/>
      <c r="F46" s="12"/>
      <c r="G46" s="12"/>
      <c r="H46" s="12"/>
      <c r="I46" s="12"/>
      <c r="J46" s="12"/>
      <c r="K46" s="11"/>
    </row>
    <row r="47" spans="2:11" x14ac:dyDescent="0.25">
      <c r="B47" s="10"/>
      <c r="C47" s="12"/>
      <c r="D47" s="12"/>
      <c r="E47" s="12"/>
      <c r="F47" s="12"/>
      <c r="G47" s="12"/>
      <c r="H47" s="12"/>
      <c r="I47" s="12"/>
      <c r="J47" s="12"/>
      <c r="K47" s="11"/>
    </row>
    <row r="48" spans="2:11" x14ac:dyDescent="0.25">
      <c r="B48" s="10"/>
      <c r="C48" s="12"/>
      <c r="D48" s="29" t="s">
        <v>126</v>
      </c>
      <c r="E48" s="29" t="s">
        <v>125</v>
      </c>
      <c r="F48" s="12"/>
      <c r="G48" s="12"/>
      <c r="H48" s="12"/>
      <c r="I48" s="12"/>
      <c r="J48" s="12"/>
      <c r="K48" s="11"/>
    </row>
    <row r="49" spans="2:11" x14ac:dyDescent="0.25">
      <c r="B49" s="10"/>
      <c r="C49" s="12"/>
      <c r="D49" s="29" t="str">
        <f>D34</f>
        <v>IA - 300m2</v>
      </c>
      <c r="E49" s="35">
        <f>M26</f>
        <v>14171.279761904761</v>
      </c>
      <c r="F49" s="12"/>
      <c r="G49" s="12"/>
      <c r="H49" s="12"/>
      <c r="I49" s="12"/>
      <c r="J49" s="12"/>
      <c r="K49" s="11"/>
    </row>
    <row r="50" spans="2:11" x14ac:dyDescent="0.25">
      <c r="B50" s="10"/>
      <c r="C50" s="12"/>
      <c r="D50" s="29" t="str">
        <f>D35</f>
        <v>R1 - 200m2</v>
      </c>
      <c r="E50" s="35">
        <f t="shared" ref="E50:E59" si="5">M15</f>
        <v>1000</v>
      </c>
      <c r="F50" s="12"/>
      <c r="G50" s="12"/>
      <c r="H50" s="12"/>
      <c r="I50" s="12"/>
      <c r="J50" s="12"/>
      <c r="K50" s="11"/>
    </row>
    <row r="51" spans="2:11" x14ac:dyDescent="0.25">
      <c r="B51" s="10"/>
      <c r="C51" s="12"/>
      <c r="D51" s="29" t="str">
        <f t="shared" ref="D51:D59" si="6">D36</f>
        <v>R2 - 280m2</v>
      </c>
      <c r="E51" s="35">
        <f t="shared" si="5"/>
        <v>1071.4285714285713</v>
      </c>
      <c r="F51" s="12"/>
      <c r="G51" s="12"/>
      <c r="H51" s="12"/>
      <c r="I51" s="12"/>
      <c r="J51" s="12"/>
      <c r="K51" s="11"/>
    </row>
    <row r="52" spans="2:11" x14ac:dyDescent="0.25">
      <c r="B52" s="10"/>
      <c r="C52" s="12"/>
      <c r="D52" s="29" t="str">
        <f t="shared" si="6"/>
        <v>R3 - 210m2</v>
      </c>
      <c r="E52" s="35">
        <f t="shared" si="5"/>
        <v>1176.1904761904761</v>
      </c>
      <c r="F52" s="12"/>
      <c r="G52" s="12"/>
      <c r="H52" s="12"/>
      <c r="I52" s="12"/>
      <c r="J52" s="12"/>
      <c r="K52" s="11"/>
    </row>
    <row r="53" spans="2:11" x14ac:dyDescent="0.25">
      <c r="B53" s="10"/>
      <c r="C53" s="12"/>
      <c r="D53" s="29" t="str">
        <f t="shared" si="6"/>
        <v>R4 - 16m2</v>
      </c>
      <c r="E53" s="35">
        <f t="shared" si="5"/>
        <v>53437.5</v>
      </c>
      <c r="F53" s="12"/>
      <c r="G53" s="12"/>
      <c r="H53" s="12"/>
      <c r="I53" s="12"/>
      <c r="J53" s="12"/>
      <c r="K53" s="11"/>
    </row>
    <row r="54" spans="2:11" x14ac:dyDescent="0.25">
      <c r="B54" s="10"/>
      <c r="C54" s="12"/>
      <c r="D54" s="29" t="str">
        <f t="shared" si="6"/>
        <v>R5 - m2</v>
      </c>
      <c r="E54" s="35">
        <f t="shared" si="5"/>
        <v>0</v>
      </c>
      <c r="F54" s="12"/>
      <c r="G54" s="12"/>
      <c r="H54" s="12"/>
      <c r="I54" s="12"/>
      <c r="J54" s="12"/>
      <c r="K54" s="11"/>
    </row>
    <row r="55" spans="2:11" x14ac:dyDescent="0.25">
      <c r="B55" s="10"/>
      <c r="C55" s="12"/>
      <c r="D55" s="29" t="str">
        <f t="shared" si="6"/>
        <v>R6 - m2</v>
      </c>
      <c r="E55" s="35">
        <f t="shared" si="5"/>
        <v>0</v>
      </c>
      <c r="F55" s="12"/>
      <c r="G55" s="12"/>
      <c r="H55" s="12"/>
      <c r="I55" s="12"/>
      <c r="J55" s="12"/>
      <c r="K55" s="11"/>
    </row>
    <row r="56" spans="2:11" x14ac:dyDescent="0.25">
      <c r="B56" s="10"/>
      <c r="C56" s="12"/>
      <c r="D56" s="29" t="str">
        <f t="shared" si="6"/>
        <v>R7 - m2</v>
      </c>
      <c r="E56" s="35">
        <f t="shared" si="5"/>
        <v>0</v>
      </c>
      <c r="F56" s="12"/>
      <c r="G56" s="12"/>
      <c r="H56" s="12"/>
      <c r="I56" s="12"/>
      <c r="J56" s="12"/>
      <c r="K56" s="11"/>
    </row>
    <row r="57" spans="2:11" x14ac:dyDescent="0.25">
      <c r="B57" s="10"/>
      <c r="C57" s="12"/>
      <c r="D57" s="29" t="str">
        <f t="shared" si="6"/>
        <v>R8 - m2</v>
      </c>
      <c r="E57" s="35">
        <f t="shared" si="5"/>
        <v>0</v>
      </c>
      <c r="F57" s="12"/>
      <c r="G57" s="12"/>
      <c r="H57" s="12"/>
      <c r="I57" s="12"/>
      <c r="J57" s="12"/>
      <c r="K57" s="11"/>
    </row>
    <row r="58" spans="2:11" x14ac:dyDescent="0.25">
      <c r="B58" s="10"/>
      <c r="C58" s="12"/>
      <c r="D58" s="29" t="str">
        <f t="shared" si="6"/>
        <v>R9 - m2</v>
      </c>
      <c r="E58" s="35">
        <f t="shared" si="5"/>
        <v>0</v>
      </c>
      <c r="F58" s="12"/>
      <c r="G58" s="12"/>
      <c r="H58" s="12"/>
      <c r="I58" s="12"/>
      <c r="J58" s="12"/>
      <c r="K58" s="11"/>
    </row>
    <row r="59" spans="2:11" x14ac:dyDescent="0.25">
      <c r="B59" s="10"/>
      <c r="C59" s="12"/>
      <c r="D59" s="29" t="str">
        <f t="shared" si="6"/>
        <v>R10 - m2</v>
      </c>
      <c r="E59" s="35">
        <f t="shared" si="5"/>
        <v>0</v>
      </c>
      <c r="F59" s="12"/>
      <c r="G59" s="12"/>
      <c r="H59" s="12"/>
      <c r="I59" s="12"/>
      <c r="J59" s="12"/>
      <c r="K59" s="11"/>
    </row>
    <row r="60" spans="2:11" x14ac:dyDescent="0.25">
      <c r="B60" s="10"/>
      <c r="C60" s="12"/>
      <c r="D60" s="12"/>
      <c r="E60" s="12"/>
      <c r="F60" s="12"/>
      <c r="G60" s="12"/>
      <c r="H60" s="12"/>
      <c r="I60" s="12"/>
      <c r="J60" s="12"/>
      <c r="K60" s="11"/>
    </row>
    <row r="61" spans="2:11" x14ac:dyDescent="0.25">
      <c r="B61" s="10"/>
      <c r="C61" s="12"/>
      <c r="D61" s="12"/>
      <c r="E61" s="12"/>
      <c r="F61" s="12"/>
      <c r="G61" s="12"/>
      <c r="H61" s="12"/>
      <c r="I61" s="12"/>
      <c r="J61" s="12"/>
      <c r="K61" s="11"/>
    </row>
    <row r="62" spans="2:11" x14ac:dyDescent="0.25">
      <c r="B62" s="10"/>
      <c r="C62" s="12"/>
      <c r="D62" s="12"/>
      <c r="E62" s="12"/>
      <c r="F62" s="12"/>
      <c r="G62" s="12"/>
      <c r="H62" s="12"/>
      <c r="I62" s="12"/>
      <c r="J62" s="12"/>
      <c r="K62" s="11"/>
    </row>
    <row r="63" spans="2:11" ht="15.75" thickBot="1" x14ac:dyDescent="0.3">
      <c r="B63" s="17"/>
      <c r="C63" s="18"/>
      <c r="D63" s="18"/>
      <c r="E63" s="18"/>
      <c r="F63" s="18"/>
      <c r="G63" s="18"/>
      <c r="H63" s="18"/>
      <c r="I63" s="18"/>
      <c r="J63" s="18"/>
      <c r="K63" s="20"/>
    </row>
  </sheetData>
  <mergeCells count="34">
    <mergeCell ref="D32:E32"/>
    <mergeCell ref="G32:H32"/>
    <mergeCell ref="M28:O28"/>
    <mergeCell ref="D23:G23"/>
    <mergeCell ref="D24:G24"/>
    <mergeCell ref="F26:L26"/>
    <mergeCell ref="O25:O26"/>
    <mergeCell ref="P25:P26"/>
    <mergeCell ref="O15:O16"/>
    <mergeCell ref="P15:P16"/>
    <mergeCell ref="D18:G18"/>
    <mergeCell ref="D19:G19"/>
    <mergeCell ref="D20:G20"/>
    <mergeCell ref="D21:G21"/>
    <mergeCell ref="D22:G22"/>
    <mergeCell ref="O22:O23"/>
    <mergeCell ref="P22:P23"/>
    <mergeCell ref="C13:J13"/>
    <mergeCell ref="D14:G14"/>
    <mergeCell ref="D15:G15"/>
    <mergeCell ref="D16:G16"/>
    <mergeCell ref="D17:G17"/>
    <mergeCell ref="C9:D9"/>
    <mergeCell ref="E9:F9"/>
    <mergeCell ref="C10:D10"/>
    <mergeCell ref="E10:F10"/>
    <mergeCell ref="G10:H10"/>
    <mergeCell ref="C3:P3"/>
    <mergeCell ref="C4:P4"/>
    <mergeCell ref="C5:P5"/>
    <mergeCell ref="C8:D8"/>
    <mergeCell ref="E8:M8"/>
    <mergeCell ref="N8:O8"/>
    <mergeCell ref="C7:P7"/>
  </mergeCells>
  <dataValidations count="1">
    <dataValidation type="list" allowBlank="1" showInputMessage="1" showErrorMessage="1" sqref="I15:I24">
      <formula1>"Anúncio,Venda realizada"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Ross-Heidecke'!$B$6:$B$14</xm:f>
          </x14:formula1>
          <xm:sqref>P20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63"/>
  <sheetViews>
    <sheetView showGridLines="0" topLeftCell="M7" zoomScale="80" zoomScaleNormal="80" workbookViewId="0">
      <selection activeCell="AF17" sqref="AF17"/>
    </sheetView>
  </sheetViews>
  <sheetFormatPr defaultRowHeight="15" x14ac:dyDescent="0.25"/>
  <cols>
    <col min="1" max="2" width="1.42578125" style="4" customWidth="1"/>
    <col min="3" max="3" width="6" style="4" customWidth="1"/>
    <col min="4" max="4" width="13.140625" style="4" customWidth="1"/>
    <col min="5" max="5" width="14.28515625" style="4" bestFit="1" customWidth="1"/>
    <col min="6" max="7" width="9.140625" style="4"/>
    <col min="8" max="8" width="11.140625" style="4" customWidth="1"/>
    <col min="9" max="10" width="10" style="4" customWidth="1"/>
    <col min="11" max="11" width="15" style="4" customWidth="1"/>
    <col min="12" max="14" width="17.42578125" style="4" customWidth="1"/>
    <col min="15" max="15" width="1.42578125" style="4" customWidth="1"/>
    <col min="16" max="17" width="16.42578125" style="4" customWidth="1"/>
    <col min="18" max="18" width="1.42578125" style="4" customWidth="1"/>
    <col min="19" max="19" width="8.28515625" style="4" customWidth="1"/>
    <col min="20" max="20" width="10.7109375" style="4" customWidth="1"/>
    <col min="21" max="21" width="37.28515625" style="4" bestFit="1" customWidth="1"/>
    <col min="22" max="22" width="2.28515625" style="4" bestFit="1" customWidth="1"/>
    <col min="23" max="23" width="9.42578125" style="4" customWidth="1"/>
    <col min="24" max="24" width="10.5703125" style="4" customWidth="1"/>
    <col min="25" max="25" width="16.28515625" style="4" customWidth="1"/>
    <col min="26" max="26" width="1.42578125" style="4" customWidth="1"/>
    <col min="27" max="27" width="18.28515625" style="4" customWidth="1"/>
    <col min="28" max="28" width="16.85546875" style="4" customWidth="1"/>
    <col min="29" max="29" width="1.42578125" style="12" customWidth="1"/>
    <col min="30" max="16384" width="9.140625" style="4"/>
  </cols>
  <sheetData>
    <row r="1" spans="2:29" ht="6.75" customHeight="1" thickBot="1" x14ac:dyDescent="0.3"/>
    <row r="2" spans="2:29" ht="7.5" customHeight="1" thickBo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spans="2:29" ht="7.5" customHeight="1" x14ac:dyDescent="0.25">
      <c r="B3" s="10"/>
      <c r="C3" s="178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80"/>
      <c r="AC3" s="11"/>
    </row>
    <row r="4" spans="2:29" ht="23.25" x14ac:dyDescent="0.35">
      <c r="B4" s="10"/>
      <c r="C4" s="181" t="s">
        <v>10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3"/>
      <c r="AC4" s="11"/>
    </row>
    <row r="5" spans="2:29" ht="7.5" customHeight="1" thickBot="1" x14ac:dyDescent="0.3">
      <c r="B5" s="10"/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6"/>
      <c r="AC5" s="11"/>
    </row>
    <row r="6" spans="2:29" ht="15.75" thickBot="1" x14ac:dyDescent="0.3">
      <c r="B6" s="10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1"/>
    </row>
    <row r="7" spans="2:29" x14ac:dyDescent="0.25">
      <c r="B7" s="10"/>
      <c r="C7" s="192" t="s">
        <v>19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228"/>
      <c r="AC7" s="11"/>
    </row>
    <row r="8" spans="2:29" x14ac:dyDescent="0.25">
      <c r="B8" s="10"/>
      <c r="C8" s="190" t="s">
        <v>21</v>
      </c>
      <c r="D8" s="191"/>
      <c r="E8" s="187" t="s">
        <v>139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51" t="s">
        <v>22</v>
      </c>
      <c r="R8" s="51"/>
      <c r="S8" s="229" t="s">
        <v>131</v>
      </c>
      <c r="T8" s="230"/>
      <c r="U8" s="231"/>
      <c r="V8" s="51"/>
      <c r="W8" s="51"/>
      <c r="X8" s="51"/>
      <c r="Y8" s="51"/>
      <c r="Z8" s="51"/>
      <c r="AA8" s="12"/>
      <c r="AB8" s="11"/>
      <c r="AC8" s="11"/>
    </row>
    <row r="9" spans="2:29" ht="17.25" x14ac:dyDescent="0.25">
      <c r="B9" s="10"/>
      <c r="C9" s="190" t="s">
        <v>13</v>
      </c>
      <c r="D9" s="191"/>
      <c r="E9" s="232">
        <v>300</v>
      </c>
      <c r="F9" s="23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1"/>
      <c r="AC9" s="11"/>
    </row>
    <row r="10" spans="2:29" x14ac:dyDescent="0.25">
      <c r="B10" s="10"/>
      <c r="C10" s="190"/>
      <c r="D10" s="19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1"/>
      <c r="AC10" s="11"/>
    </row>
    <row r="11" spans="2:29" ht="7.5" customHeight="1" thickBot="1" x14ac:dyDescent="0.3">
      <c r="B11" s="10"/>
      <c r="C11" s="17"/>
      <c r="D11" s="18"/>
      <c r="E11" s="19"/>
      <c r="F11" s="1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0"/>
      <c r="AC11" s="11"/>
    </row>
    <row r="12" spans="2:29" x14ac:dyDescent="0.25">
      <c r="B12" s="10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1"/>
    </row>
    <row r="13" spans="2:29" x14ac:dyDescent="0.25">
      <c r="B13" s="10"/>
      <c r="C13" s="196" t="s">
        <v>20</v>
      </c>
      <c r="D13" s="196"/>
      <c r="E13" s="196"/>
      <c r="F13" s="196"/>
      <c r="G13" s="196"/>
      <c r="H13" s="196"/>
      <c r="I13" s="196"/>
      <c r="J13" s="196"/>
      <c r="K13" s="196"/>
      <c r="L13" s="196"/>
      <c r="M13" s="113">
        <v>0.05</v>
      </c>
      <c r="N13" s="49"/>
      <c r="O13" s="12"/>
      <c r="P13" s="195" t="s">
        <v>25</v>
      </c>
      <c r="Q13" s="195"/>
      <c r="R13" s="12"/>
      <c r="S13" s="170" t="s">
        <v>119</v>
      </c>
      <c r="T13" s="171"/>
      <c r="U13" s="172"/>
      <c r="V13" s="171"/>
      <c r="W13" s="171"/>
      <c r="X13" s="171"/>
      <c r="Y13" s="171"/>
      <c r="Z13" s="12"/>
      <c r="AA13" s="21" t="s">
        <v>74</v>
      </c>
      <c r="AB13" s="12"/>
      <c r="AC13" s="11"/>
    </row>
    <row r="14" spans="2:29" s="63" customFormat="1" ht="75" x14ac:dyDescent="0.25">
      <c r="B14" s="60"/>
      <c r="C14" s="61"/>
      <c r="D14" s="206" t="s">
        <v>11</v>
      </c>
      <c r="E14" s="206"/>
      <c r="F14" s="206"/>
      <c r="G14" s="206"/>
      <c r="H14" s="52" t="s">
        <v>15</v>
      </c>
      <c r="I14" s="52" t="s">
        <v>31</v>
      </c>
      <c r="J14" s="52" t="s">
        <v>17</v>
      </c>
      <c r="K14" s="52" t="s">
        <v>61</v>
      </c>
      <c r="L14" s="52" t="s">
        <v>12</v>
      </c>
      <c r="M14" s="52" t="s">
        <v>129</v>
      </c>
      <c r="N14" s="52" t="s">
        <v>118</v>
      </c>
      <c r="O14" s="61"/>
      <c r="P14" s="24" t="s">
        <v>73</v>
      </c>
      <c r="Q14" s="52" t="s">
        <v>30</v>
      </c>
      <c r="R14" s="61"/>
      <c r="S14" s="163" t="s">
        <v>65</v>
      </c>
      <c r="T14" s="163" t="s">
        <v>66</v>
      </c>
      <c r="U14" s="236" t="s">
        <v>57</v>
      </c>
      <c r="V14" s="237"/>
      <c r="W14" s="164" t="s">
        <v>58</v>
      </c>
      <c r="X14" s="164" t="s">
        <v>59</v>
      </c>
      <c r="Y14" s="164" t="s">
        <v>121</v>
      </c>
      <c r="Z14" s="61"/>
      <c r="AA14" s="52" t="s">
        <v>32</v>
      </c>
      <c r="AB14" s="52" t="s">
        <v>33</v>
      </c>
      <c r="AC14" s="62"/>
    </row>
    <row r="15" spans="2:29" x14ac:dyDescent="0.25">
      <c r="B15" s="10"/>
      <c r="C15" s="29" t="s">
        <v>0</v>
      </c>
      <c r="D15" s="187" t="s">
        <v>135</v>
      </c>
      <c r="E15" s="187"/>
      <c r="F15" s="187"/>
      <c r="G15" s="187"/>
      <c r="H15" s="47">
        <v>250</v>
      </c>
      <c r="I15" s="47">
        <v>120</v>
      </c>
      <c r="J15" s="47">
        <v>10</v>
      </c>
      <c r="K15" s="116" t="s">
        <v>62</v>
      </c>
      <c r="L15" s="1">
        <v>450000</v>
      </c>
      <c r="M15" s="30">
        <f>IF(K15="Anúncio",-L15*$M$13,0)</f>
        <v>-22500</v>
      </c>
      <c r="N15" s="30">
        <f>IF(OR(L15="",L15=0),0,(L15+M15))</f>
        <v>427500</v>
      </c>
      <c r="O15" s="12"/>
      <c r="P15" s="1">
        <v>1480.14</v>
      </c>
      <c r="Q15" s="30">
        <f>P15*H15</f>
        <v>370035</v>
      </c>
      <c r="R15" s="12"/>
      <c r="S15" s="147">
        <v>70</v>
      </c>
      <c r="T15" s="165">
        <f>IFERROR(EVEN(J15/S15*100),0)</f>
        <v>16</v>
      </c>
      <c r="U15" s="162" t="s">
        <v>41</v>
      </c>
      <c r="V15" s="165" t="str">
        <f>IF(U15="","",VLOOKUP(U15,'Tabela Ross-Heidecke'!$B$6:$C$14,2,FALSE))</f>
        <v>B</v>
      </c>
      <c r="W15" s="166">
        <f>IF(V15="A",2,IF(V15="B",3,IF(V15="C",4,IF(V15="D",5,IF(V15="E",6,IF(V15="F",7,IF(V15="G",8,IF(V15="H",9,""))))))))</f>
        <v>3</v>
      </c>
      <c r="X15" s="167">
        <f>IFERROR(VLOOKUP(T15,'Tabela Ross-Heidecke'!$E$7:$M$56,W15,FALSE),"")</f>
        <v>9.31</v>
      </c>
      <c r="Y15" s="168">
        <f>IFERROR(Q15-(Q15*X15/100),0)</f>
        <v>335584.7415</v>
      </c>
      <c r="Z15" s="12"/>
      <c r="AA15" s="30">
        <f>N15-Y15</f>
        <v>91915.258499999996</v>
      </c>
      <c r="AB15" s="57">
        <f>IF(OR(AA15="",AA15=0),0,AA15/I15)</f>
        <v>765.9604875</v>
      </c>
      <c r="AC15" s="11"/>
    </row>
    <row r="16" spans="2:29" x14ac:dyDescent="0.25">
      <c r="B16" s="10"/>
      <c r="C16" s="29" t="s">
        <v>1</v>
      </c>
      <c r="D16" s="187" t="s">
        <v>136</v>
      </c>
      <c r="E16" s="187"/>
      <c r="F16" s="187"/>
      <c r="G16" s="187"/>
      <c r="H16" s="47">
        <v>350</v>
      </c>
      <c r="I16" s="47">
        <v>200</v>
      </c>
      <c r="J16" s="47">
        <v>8</v>
      </c>
      <c r="K16" s="116" t="s">
        <v>62</v>
      </c>
      <c r="L16" s="1">
        <v>650000</v>
      </c>
      <c r="M16" s="30">
        <f>IF(K16="Anúncio",-L16*$M$13,0)</f>
        <v>-32500</v>
      </c>
      <c r="N16" s="30">
        <f t="shared" ref="N16:N24" si="0">IF(OR(L16="",L16=0),0,(L16+M16))</f>
        <v>617500</v>
      </c>
      <c r="O16" s="12"/>
      <c r="P16" s="1">
        <v>1480.14</v>
      </c>
      <c r="Q16" s="30">
        <f t="shared" ref="Q16:Q24" si="1">P16*H16</f>
        <v>518049.00000000006</v>
      </c>
      <c r="R16" s="12"/>
      <c r="S16" s="147">
        <v>70</v>
      </c>
      <c r="T16" s="165">
        <f>IFERROR(EVEN(J16/S16*100),0)</f>
        <v>12</v>
      </c>
      <c r="U16" s="162" t="s">
        <v>41</v>
      </c>
      <c r="V16" s="165" t="str">
        <f>IF(U16="","",VLOOKUP(U16,'Tabela Ross-Heidecke'!$B$6:$C$14,2,FALSE))</f>
        <v>B</v>
      </c>
      <c r="W16" s="166">
        <f t="shared" ref="W16:W24" si="2">IF(V16="A",2,IF(V16="B",3,IF(V16="C",4,IF(V16="D",5,IF(V16="E",6,IF(V16="F",7,IF(V16="G",8,IF(V16="H",9,""))))))))</f>
        <v>3</v>
      </c>
      <c r="X16" s="167">
        <f>IFERROR(VLOOKUP(T16,'Tabela Ross-Heidecke'!$E$7:$M$56,W16,FALSE),"")</f>
        <v>6.75</v>
      </c>
      <c r="Y16" s="168">
        <f t="shared" ref="Y16:Y24" si="3">IFERROR(Q16-(Q16*X16/100),0)</f>
        <v>483080.69250000006</v>
      </c>
      <c r="Z16" s="12"/>
      <c r="AA16" s="30">
        <f t="shared" ref="AA16:AA24" si="4">N16-Y16</f>
        <v>134419.30749999994</v>
      </c>
      <c r="AB16" s="57">
        <f t="shared" ref="AB16:AB24" si="5">IF(OR(AA16="",AA16=0),0,AA16/I16)</f>
        <v>672.09653749999973</v>
      </c>
      <c r="AC16" s="11"/>
    </row>
    <row r="17" spans="2:29" x14ac:dyDescent="0.25">
      <c r="B17" s="10"/>
      <c r="C17" s="29" t="s">
        <v>2</v>
      </c>
      <c r="D17" s="207" t="s">
        <v>138</v>
      </c>
      <c r="E17" s="208"/>
      <c r="F17" s="208"/>
      <c r="G17" s="209"/>
      <c r="H17" s="47">
        <v>310</v>
      </c>
      <c r="I17" s="47">
        <v>155</v>
      </c>
      <c r="J17" s="47">
        <v>12</v>
      </c>
      <c r="K17" s="116" t="s">
        <v>63</v>
      </c>
      <c r="L17" s="1">
        <v>550000</v>
      </c>
      <c r="M17" s="30">
        <f>IF(K17="Anúncio",-L17*$M$13,0)</f>
        <v>0</v>
      </c>
      <c r="N17" s="30">
        <f t="shared" si="0"/>
        <v>550000</v>
      </c>
      <c r="O17" s="12"/>
      <c r="P17" s="1">
        <v>1480.14</v>
      </c>
      <c r="Q17" s="30">
        <f t="shared" si="1"/>
        <v>458843.4</v>
      </c>
      <c r="R17" s="12"/>
      <c r="S17" s="147">
        <v>70</v>
      </c>
      <c r="T17" s="165">
        <f t="shared" ref="T17:T24" si="6">IFERROR(EVEN(J17/S17*100),0)</f>
        <v>18</v>
      </c>
      <c r="U17" s="162" t="s">
        <v>41</v>
      </c>
      <c r="V17" s="165" t="str">
        <f>IF(U17="","",VLOOKUP(U17,'Tabela Ross-Heidecke'!$B$6:$C$14,2,FALSE))</f>
        <v>B</v>
      </c>
      <c r="W17" s="166">
        <f t="shared" si="2"/>
        <v>3</v>
      </c>
      <c r="X17" s="167">
        <f>IFERROR(VLOOKUP(T17,'Tabela Ross-Heidecke'!$E$7:$M$56,W17,FALSE),"")</f>
        <v>10.6</v>
      </c>
      <c r="Y17" s="168">
        <f t="shared" si="3"/>
        <v>410205.99960000004</v>
      </c>
      <c r="Z17" s="12"/>
      <c r="AA17" s="30">
        <f t="shared" si="4"/>
        <v>139794.00039999996</v>
      </c>
      <c r="AB17" s="57">
        <f t="shared" si="5"/>
        <v>901.89677677419331</v>
      </c>
      <c r="AC17" s="11"/>
    </row>
    <row r="18" spans="2:29" x14ac:dyDescent="0.25">
      <c r="B18" s="10"/>
      <c r="C18" s="29" t="s">
        <v>3</v>
      </c>
      <c r="D18" s="187" t="s">
        <v>137</v>
      </c>
      <c r="E18" s="187"/>
      <c r="F18" s="187"/>
      <c r="G18" s="187"/>
      <c r="H18" s="47">
        <v>360</v>
      </c>
      <c r="I18" s="47">
        <v>200</v>
      </c>
      <c r="J18" s="47">
        <v>5</v>
      </c>
      <c r="K18" s="116" t="s">
        <v>62</v>
      </c>
      <c r="L18" s="1">
        <v>630000</v>
      </c>
      <c r="M18" s="30">
        <f>IF(K18="Anúncio",-L18*$M$13,0)</f>
        <v>-31500</v>
      </c>
      <c r="N18" s="30">
        <f t="shared" si="0"/>
        <v>598500</v>
      </c>
      <c r="O18" s="12"/>
      <c r="P18" s="169">
        <v>1480.14</v>
      </c>
      <c r="Q18" s="30">
        <f t="shared" si="1"/>
        <v>532850.4</v>
      </c>
      <c r="R18" s="12"/>
      <c r="S18" s="147">
        <v>70</v>
      </c>
      <c r="T18" s="165">
        <f t="shared" si="6"/>
        <v>8</v>
      </c>
      <c r="U18" s="162" t="s">
        <v>45</v>
      </c>
      <c r="V18" s="165" t="str">
        <f>IF(U18="","",VLOOKUP(U18,'Tabela Ross-Heidecke'!$B$6:$C$14,2,FALSE))</f>
        <v>C</v>
      </c>
      <c r="W18" s="166">
        <f t="shared" si="2"/>
        <v>4</v>
      </c>
      <c r="X18" s="167">
        <f>IFERROR(VLOOKUP(T18,'Tabela Ross-Heidecke'!$E$7:$M$56,W18,FALSE),"")</f>
        <v>6.73</v>
      </c>
      <c r="Y18" s="168">
        <f t="shared" si="3"/>
        <v>496989.56808</v>
      </c>
      <c r="Z18" s="12"/>
      <c r="AA18" s="30">
        <f t="shared" si="4"/>
        <v>101510.43192</v>
      </c>
      <c r="AB18" s="57">
        <f t="shared" si="5"/>
        <v>507.55215960000004</v>
      </c>
      <c r="AC18" s="11"/>
    </row>
    <row r="19" spans="2:29" x14ac:dyDescent="0.25">
      <c r="B19" s="10"/>
      <c r="C19" s="29" t="s">
        <v>4</v>
      </c>
      <c r="D19" s="187"/>
      <c r="E19" s="187"/>
      <c r="F19" s="187"/>
      <c r="G19" s="187"/>
      <c r="H19" s="47"/>
      <c r="I19" s="47"/>
      <c r="J19" s="47"/>
      <c r="K19" s="116"/>
      <c r="L19" s="1"/>
      <c r="M19" s="30">
        <f t="shared" ref="M19:M24" si="7">IF(K19="Anúncio",-L19*$M$13,0)</f>
        <v>0</v>
      </c>
      <c r="N19" s="30">
        <f t="shared" si="0"/>
        <v>0</v>
      </c>
      <c r="O19" s="12"/>
      <c r="P19" s="1"/>
      <c r="Q19" s="30">
        <f t="shared" si="1"/>
        <v>0</v>
      </c>
      <c r="R19" s="12"/>
      <c r="S19" s="147"/>
      <c r="T19" s="165">
        <f t="shared" si="6"/>
        <v>0</v>
      </c>
      <c r="U19" s="162"/>
      <c r="V19" s="165" t="str">
        <f>IF(U19="","",VLOOKUP(U19,'Tabela Ross-Heidecke'!$B$6:$C$14,2,FALSE))</f>
        <v/>
      </c>
      <c r="W19" s="166" t="str">
        <f t="shared" si="2"/>
        <v/>
      </c>
      <c r="X19" s="167" t="str">
        <f>IFERROR(VLOOKUP(T19,'Tabela Ross-Heidecke'!$E$7:$M$56,W19,FALSE),"")</f>
        <v/>
      </c>
      <c r="Y19" s="168">
        <f t="shared" si="3"/>
        <v>0</v>
      </c>
      <c r="Z19" s="12"/>
      <c r="AA19" s="30">
        <f t="shared" si="4"/>
        <v>0</v>
      </c>
      <c r="AB19" s="57">
        <f t="shared" si="5"/>
        <v>0</v>
      </c>
      <c r="AC19" s="11"/>
    </row>
    <row r="20" spans="2:29" x14ac:dyDescent="0.25">
      <c r="B20" s="10"/>
      <c r="C20" s="29" t="s">
        <v>5</v>
      </c>
      <c r="D20" s="187"/>
      <c r="E20" s="187"/>
      <c r="F20" s="187"/>
      <c r="G20" s="187"/>
      <c r="H20" s="47"/>
      <c r="I20" s="47"/>
      <c r="J20" s="47"/>
      <c r="K20" s="50"/>
      <c r="L20" s="1"/>
      <c r="M20" s="30">
        <f t="shared" si="7"/>
        <v>0</v>
      </c>
      <c r="N20" s="30">
        <f t="shared" si="0"/>
        <v>0</v>
      </c>
      <c r="O20" s="12"/>
      <c r="P20" s="1"/>
      <c r="Q20" s="30">
        <f t="shared" si="1"/>
        <v>0</v>
      </c>
      <c r="R20" s="12"/>
      <c r="S20" s="147"/>
      <c r="T20" s="165">
        <f t="shared" si="6"/>
        <v>0</v>
      </c>
      <c r="U20" s="162"/>
      <c r="V20" s="165" t="str">
        <f>IF(U20="","",VLOOKUP(U20,'Tabela Ross-Heidecke'!$B$6:$C$14,2,FALSE))</f>
        <v/>
      </c>
      <c r="W20" s="166" t="str">
        <f t="shared" si="2"/>
        <v/>
      </c>
      <c r="X20" s="167" t="str">
        <f>IFERROR(VLOOKUP(T20,'Tabela Ross-Heidecke'!$E$7:$M$56,W20,FALSE),"")</f>
        <v/>
      </c>
      <c r="Y20" s="168">
        <f t="shared" si="3"/>
        <v>0</v>
      </c>
      <c r="Z20" s="12"/>
      <c r="AA20" s="30">
        <f t="shared" si="4"/>
        <v>0</v>
      </c>
      <c r="AB20" s="57">
        <f t="shared" si="5"/>
        <v>0</v>
      </c>
      <c r="AC20" s="11"/>
    </row>
    <row r="21" spans="2:29" x14ac:dyDescent="0.25">
      <c r="B21" s="10"/>
      <c r="C21" s="29" t="s">
        <v>6</v>
      </c>
      <c r="D21" s="187"/>
      <c r="E21" s="187"/>
      <c r="F21" s="187"/>
      <c r="G21" s="187"/>
      <c r="H21" s="47"/>
      <c r="I21" s="47"/>
      <c r="J21" s="47"/>
      <c r="K21" s="50"/>
      <c r="L21" s="1"/>
      <c r="M21" s="30">
        <f t="shared" si="7"/>
        <v>0</v>
      </c>
      <c r="N21" s="30">
        <f t="shared" si="0"/>
        <v>0</v>
      </c>
      <c r="O21" s="12"/>
      <c r="P21" s="1"/>
      <c r="Q21" s="30">
        <f t="shared" si="1"/>
        <v>0</v>
      </c>
      <c r="R21" s="12"/>
      <c r="S21" s="147"/>
      <c r="T21" s="165">
        <f t="shared" si="6"/>
        <v>0</v>
      </c>
      <c r="U21" s="162"/>
      <c r="V21" s="165" t="str">
        <f>IF(U21="","",VLOOKUP(U21,'Tabela Ross-Heidecke'!$B$6:$C$14,2,FALSE))</f>
        <v/>
      </c>
      <c r="W21" s="166" t="str">
        <f t="shared" si="2"/>
        <v/>
      </c>
      <c r="X21" s="167" t="str">
        <f>IFERROR(VLOOKUP(T21,'Tabela Ross-Heidecke'!$E$7:$M$56,W21,FALSE),"")</f>
        <v/>
      </c>
      <c r="Y21" s="168">
        <f t="shared" si="3"/>
        <v>0</v>
      </c>
      <c r="Z21" s="12"/>
      <c r="AA21" s="30">
        <f t="shared" si="4"/>
        <v>0</v>
      </c>
      <c r="AB21" s="57">
        <f t="shared" si="5"/>
        <v>0</v>
      </c>
      <c r="AC21" s="11"/>
    </row>
    <row r="22" spans="2:29" x14ac:dyDescent="0.25">
      <c r="B22" s="10"/>
      <c r="C22" s="29" t="s">
        <v>7</v>
      </c>
      <c r="D22" s="187"/>
      <c r="E22" s="187"/>
      <c r="F22" s="187"/>
      <c r="G22" s="187"/>
      <c r="H22" s="47"/>
      <c r="I22" s="47"/>
      <c r="J22" s="47"/>
      <c r="K22" s="50"/>
      <c r="L22" s="1"/>
      <c r="M22" s="30">
        <f t="shared" si="7"/>
        <v>0</v>
      </c>
      <c r="N22" s="30">
        <f t="shared" si="0"/>
        <v>0</v>
      </c>
      <c r="O22" s="12"/>
      <c r="P22" s="1"/>
      <c r="Q22" s="30">
        <f t="shared" si="1"/>
        <v>0</v>
      </c>
      <c r="R22" s="12"/>
      <c r="S22" s="147"/>
      <c r="T22" s="165">
        <f t="shared" si="6"/>
        <v>0</v>
      </c>
      <c r="U22" s="162"/>
      <c r="V22" s="165" t="str">
        <f>IF(U22="","",VLOOKUP(U22,'Tabela Ross-Heidecke'!$B$6:$C$14,2,FALSE))</f>
        <v/>
      </c>
      <c r="W22" s="166" t="str">
        <f t="shared" si="2"/>
        <v/>
      </c>
      <c r="X22" s="167" t="str">
        <f>IFERROR(VLOOKUP(T22,'Tabela Ross-Heidecke'!$E$7:$M$56,W22,FALSE),"")</f>
        <v/>
      </c>
      <c r="Y22" s="168">
        <f t="shared" si="3"/>
        <v>0</v>
      </c>
      <c r="Z22" s="12"/>
      <c r="AA22" s="30">
        <f t="shared" si="4"/>
        <v>0</v>
      </c>
      <c r="AB22" s="57">
        <f t="shared" si="5"/>
        <v>0</v>
      </c>
      <c r="AC22" s="11"/>
    </row>
    <row r="23" spans="2:29" x14ac:dyDescent="0.25">
      <c r="B23" s="10"/>
      <c r="C23" s="29" t="s">
        <v>8</v>
      </c>
      <c r="D23" s="187"/>
      <c r="E23" s="187"/>
      <c r="F23" s="187"/>
      <c r="G23" s="187"/>
      <c r="H23" s="47"/>
      <c r="I23" s="47"/>
      <c r="J23" s="47"/>
      <c r="K23" s="50"/>
      <c r="L23" s="1"/>
      <c r="M23" s="30">
        <f t="shared" si="7"/>
        <v>0</v>
      </c>
      <c r="N23" s="30">
        <f t="shared" si="0"/>
        <v>0</v>
      </c>
      <c r="O23" s="12"/>
      <c r="P23" s="1"/>
      <c r="Q23" s="30">
        <f t="shared" si="1"/>
        <v>0</v>
      </c>
      <c r="R23" s="12"/>
      <c r="S23" s="147"/>
      <c r="T23" s="165">
        <f t="shared" si="6"/>
        <v>0</v>
      </c>
      <c r="U23" s="162"/>
      <c r="V23" s="165" t="str">
        <f>IF(U23="","",VLOOKUP(U23,'Tabela Ross-Heidecke'!$B$6:$C$14,2,FALSE))</f>
        <v/>
      </c>
      <c r="W23" s="166" t="str">
        <f t="shared" si="2"/>
        <v/>
      </c>
      <c r="X23" s="167" t="str">
        <f>IFERROR(VLOOKUP(T23,'Tabela Ross-Heidecke'!$E$7:$M$56,W23,FALSE),"")</f>
        <v/>
      </c>
      <c r="Y23" s="168">
        <f t="shared" si="3"/>
        <v>0</v>
      </c>
      <c r="Z23" s="12"/>
      <c r="AA23" s="30">
        <f t="shared" si="4"/>
        <v>0</v>
      </c>
      <c r="AB23" s="57">
        <f t="shared" si="5"/>
        <v>0</v>
      </c>
      <c r="AC23" s="11"/>
    </row>
    <row r="24" spans="2:29" x14ac:dyDescent="0.25">
      <c r="B24" s="10"/>
      <c r="C24" s="29" t="s">
        <v>9</v>
      </c>
      <c r="D24" s="187"/>
      <c r="E24" s="187"/>
      <c r="F24" s="187"/>
      <c r="G24" s="187"/>
      <c r="H24" s="47"/>
      <c r="I24" s="47"/>
      <c r="J24" s="47"/>
      <c r="K24" s="50"/>
      <c r="L24" s="1"/>
      <c r="M24" s="30">
        <f t="shared" si="7"/>
        <v>0</v>
      </c>
      <c r="N24" s="30">
        <f t="shared" si="0"/>
        <v>0</v>
      </c>
      <c r="O24" s="12"/>
      <c r="P24" s="1"/>
      <c r="Q24" s="30">
        <f t="shared" si="1"/>
        <v>0</v>
      </c>
      <c r="R24" s="12"/>
      <c r="S24" s="147"/>
      <c r="T24" s="165">
        <f t="shared" si="6"/>
        <v>0</v>
      </c>
      <c r="U24" s="162"/>
      <c r="V24" s="165" t="str">
        <f>IF(U24="","",VLOOKUP(U24,'Tabela Ross-Heidecke'!$B$6:$C$14,2,FALSE))</f>
        <v/>
      </c>
      <c r="W24" s="166" t="str">
        <f t="shared" si="2"/>
        <v/>
      </c>
      <c r="X24" s="167" t="str">
        <f>IFERROR(VLOOKUP(T24,'Tabela Ross-Heidecke'!$E$7:$M$56,W24,FALSE),"")</f>
        <v/>
      </c>
      <c r="Y24" s="168">
        <f t="shared" si="3"/>
        <v>0</v>
      </c>
      <c r="Z24" s="12"/>
      <c r="AA24" s="30">
        <f t="shared" si="4"/>
        <v>0</v>
      </c>
      <c r="AB24" s="57">
        <f t="shared" si="5"/>
        <v>0</v>
      </c>
      <c r="AC24" s="11"/>
    </row>
    <row r="25" spans="2:29" x14ac:dyDescent="0.25">
      <c r="B25" s="10"/>
      <c r="C25" s="12"/>
      <c r="D25" s="12"/>
      <c r="E25" s="12"/>
      <c r="F25" s="12"/>
      <c r="G25" s="12"/>
      <c r="H25" s="34"/>
      <c r="I25" s="34"/>
      <c r="J25" s="34"/>
      <c r="K25" s="34"/>
      <c r="L25" s="35"/>
      <c r="M25" s="35"/>
      <c r="N25" s="35"/>
      <c r="O25" s="12"/>
      <c r="P25" s="12"/>
      <c r="Q25" s="12"/>
      <c r="R25" s="12"/>
      <c r="S25" s="12"/>
      <c r="T25" s="12"/>
      <c r="U25" s="12"/>
      <c r="V25" s="12"/>
      <c r="X25" s="12"/>
      <c r="Y25" s="12"/>
      <c r="Z25" s="12"/>
      <c r="AA25" s="29" t="s">
        <v>16</v>
      </c>
      <c r="AB25" s="57">
        <f>SUM(AB15:AB24)</f>
        <v>2847.5059613741928</v>
      </c>
      <c r="AC25" s="11"/>
    </row>
    <row r="26" spans="2:29" ht="17.25" x14ac:dyDescent="0.25">
      <c r="B26" s="1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35"/>
      <c r="R26" s="12"/>
      <c r="S26" s="12"/>
      <c r="T26" s="12"/>
      <c r="U26" s="12"/>
      <c r="V26" s="12"/>
      <c r="W26" s="48"/>
      <c r="X26" s="12"/>
      <c r="Y26" s="12"/>
      <c r="Z26" s="12"/>
      <c r="AA26" s="51" t="s">
        <v>24</v>
      </c>
      <c r="AB26" s="37">
        <f>AB25/COUNTA(L15:L24)</f>
        <v>711.8764903435482</v>
      </c>
      <c r="AC26" s="11"/>
    </row>
    <row r="27" spans="2:29" ht="15.75" thickBot="1" x14ac:dyDescent="0.3">
      <c r="B27" s="1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1"/>
    </row>
    <row r="28" spans="2:29" ht="15.75" thickBot="1" x14ac:dyDescent="0.3">
      <c r="B28" s="1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12"/>
      <c r="T28" s="12"/>
      <c r="U28" s="12"/>
      <c r="V28" s="12"/>
      <c r="W28" s="233" t="s">
        <v>71</v>
      </c>
      <c r="X28" s="234"/>
      <c r="Y28" s="234"/>
      <c r="Z28" s="234"/>
      <c r="AA28" s="235"/>
      <c r="AB28" s="56">
        <f>AB26*E9</f>
        <v>213562.94710306445</v>
      </c>
      <c r="AC28" s="11"/>
    </row>
    <row r="29" spans="2:29" ht="7.5" customHeight="1" thickBot="1" x14ac:dyDescent="0.3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20"/>
    </row>
    <row r="30" spans="2:29" ht="15.75" thickBot="1" x14ac:dyDescent="0.3"/>
    <row r="31" spans="2:29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2:29" x14ac:dyDescent="0.25">
      <c r="B32" s="10"/>
      <c r="C32" s="12"/>
      <c r="D32" s="195" t="s">
        <v>122</v>
      </c>
      <c r="E32" s="195"/>
      <c r="F32" s="54"/>
      <c r="G32" s="196" t="s">
        <v>124</v>
      </c>
      <c r="H32" s="196"/>
      <c r="I32" s="54"/>
      <c r="J32" s="12"/>
      <c r="K32" s="12"/>
      <c r="L32" s="11"/>
    </row>
    <row r="33" spans="2:12" x14ac:dyDescent="0.25">
      <c r="B33" s="10"/>
      <c r="C33" s="12"/>
      <c r="D33" s="29" t="s">
        <v>126</v>
      </c>
      <c r="E33" s="29" t="s">
        <v>123</v>
      </c>
      <c r="F33" s="12"/>
      <c r="G33" s="12"/>
      <c r="H33" s="12"/>
      <c r="I33" s="12"/>
      <c r="J33" s="12"/>
      <c r="K33" s="12"/>
      <c r="L33" s="11"/>
    </row>
    <row r="34" spans="2:12" x14ac:dyDescent="0.25">
      <c r="B34" s="10"/>
      <c r="C34" s="12"/>
      <c r="D34" s="29" t="str">
        <f>CONCATENATE("IA - ",E9,"m2")</f>
        <v>IA - 300m2</v>
      </c>
      <c r="E34" s="35">
        <f>AB28</f>
        <v>213562.94710306445</v>
      </c>
      <c r="F34" s="12"/>
      <c r="G34" s="12"/>
      <c r="H34" s="12"/>
      <c r="I34" s="12"/>
      <c r="J34" s="12"/>
      <c r="K34" s="12"/>
      <c r="L34" s="11"/>
    </row>
    <row r="35" spans="2:12" x14ac:dyDescent="0.25">
      <c r="B35" s="10"/>
      <c r="C35" s="12"/>
      <c r="D35" s="29" t="str">
        <f t="shared" ref="D35:D44" si="8">CONCATENATE(C15," - ",I15,"m2")</f>
        <v>R1 - 120m2</v>
      </c>
      <c r="E35" s="35">
        <f t="shared" ref="E35:E44" si="9">AA15</f>
        <v>91915.258499999996</v>
      </c>
      <c r="F35" s="12"/>
      <c r="G35" s="12"/>
      <c r="H35" s="12"/>
      <c r="I35" s="12"/>
      <c r="J35" s="12"/>
      <c r="K35" s="12"/>
      <c r="L35" s="11"/>
    </row>
    <row r="36" spans="2:12" x14ac:dyDescent="0.25">
      <c r="B36" s="10"/>
      <c r="C36" s="12"/>
      <c r="D36" s="29" t="str">
        <f t="shared" si="8"/>
        <v>R2 - 200m2</v>
      </c>
      <c r="E36" s="35">
        <f t="shared" si="9"/>
        <v>134419.30749999994</v>
      </c>
      <c r="F36" s="12"/>
      <c r="G36" s="12"/>
      <c r="H36" s="12"/>
      <c r="I36" s="12"/>
      <c r="J36" s="12"/>
      <c r="K36" s="12"/>
      <c r="L36" s="11"/>
    </row>
    <row r="37" spans="2:12" x14ac:dyDescent="0.25">
      <c r="B37" s="10"/>
      <c r="C37" s="12"/>
      <c r="D37" s="29" t="str">
        <f t="shared" si="8"/>
        <v>R3 - 155m2</v>
      </c>
      <c r="E37" s="35">
        <f t="shared" si="9"/>
        <v>139794.00039999996</v>
      </c>
      <c r="F37" s="12"/>
      <c r="G37" s="12"/>
      <c r="H37" s="12"/>
      <c r="I37" s="12"/>
      <c r="J37" s="12"/>
      <c r="K37" s="12"/>
      <c r="L37" s="11"/>
    </row>
    <row r="38" spans="2:12" x14ac:dyDescent="0.25">
      <c r="B38" s="10"/>
      <c r="C38" s="12"/>
      <c r="D38" s="29" t="str">
        <f t="shared" si="8"/>
        <v>R4 - 200m2</v>
      </c>
      <c r="E38" s="35">
        <f t="shared" si="9"/>
        <v>101510.43192</v>
      </c>
      <c r="F38" s="12"/>
      <c r="G38" s="12"/>
      <c r="H38" s="12"/>
      <c r="I38" s="12"/>
      <c r="J38" s="12"/>
      <c r="K38" s="12"/>
      <c r="L38" s="11"/>
    </row>
    <row r="39" spans="2:12" x14ac:dyDescent="0.25">
      <c r="B39" s="10"/>
      <c r="C39" s="12"/>
      <c r="D39" s="29" t="str">
        <f t="shared" si="8"/>
        <v>R5 - m2</v>
      </c>
      <c r="E39" s="35">
        <f t="shared" si="9"/>
        <v>0</v>
      </c>
      <c r="F39" s="12"/>
      <c r="G39" s="12"/>
      <c r="H39" s="12"/>
      <c r="I39" s="12"/>
      <c r="J39" s="12"/>
      <c r="K39" s="12"/>
      <c r="L39" s="11"/>
    </row>
    <row r="40" spans="2:12" x14ac:dyDescent="0.25">
      <c r="B40" s="10"/>
      <c r="C40" s="12"/>
      <c r="D40" s="29" t="str">
        <f t="shared" si="8"/>
        <v>R6 - m2</v>
      </c>
      <c r="E40" s="35">
        <f t="shared" si="9"/>
        <v>0</v>
      </c>
      <c r="F40" s="12"/>
      <c r="G40" s="12"/>
      <c r="H40" s="12"/>
      <c r="I40" s="12"/>
      <c r="J40" s="12"/>
      <c r="K40" s="12"/>
      <c r="L40" s="11"/>
    </row>
    <row r="41" spans="2:12" x14ac:dyDescent="0.25">
      <c r="B41" s="10"/>
      <c r="C41" s="12"/>
      <c r="D41" s="29" t="str">
        <f t="shared" si="8"/>
        <v>R7 - m2</v>
      </c>
      <c r="E41" s="35">
        <f t="shared" si="9"/>
        <v>0</v>
      </c>
      <c r="F41" s="12"/>
      <c r="G41" s="12"/>
      <c r="H41" s="12"/>
      <c r="I41" s="12"/>
      <c r="J41" s="12"/>
      <c r="K41" s="12"/>
      <c r="L41" s="11"/>
    </row>
    <row r="42" spans="2:12" x14ac:dyDescent="0.25">
      <c r="B42" s="10"/>
      <c r="C42" s="12"/>
      <c r="D42" s="29" t="str">
        <f t="shared" si="8"/>
        <v>R8 - m2</v>
      </c>
      <c r="E42" s="35">
        <f t="shared" si="9"/>
        <v>0</v>
      </c>
      <c r="F42" s="12"/>
      <c r="G42" s="12"/>
      <c r="H42" s="12"/>
      <c r="I42" s="12"/>
      <c r="J42" s="12"/>
      <c r="K42" s="12"/>
      <c r="L42" s="11"/>
    </row>
    <row r="43" spans="2:12" x14ac:dyDescent="0.25">
      <c r="B43" s="10"/>
      <c r="C43" s="12"/>
      <c r="D43" s="29" t="str">
        <f t="shared" si="8"/>
        <v>R9 - m2</v>
      </c>
      <c r="E43" s="35">
        <f t="shared" si="9"/>
        <v>0</v>
      </c>
      <c r="F43" s="12"/>
      <c r="G43" s="12"/>
      <c r="H43" s="12"/>
      <c r="I43" s="12"/>
      <c r="J43" s="12"/>
      <c r="K43" s="12"/>
      <c r="L43" s="11"/>
    </row>
    <row r="44" spans="2:12" x14ac:dyDescent="0.25">
      <c r="B44" s="10"/>
      <c r="C44" s="12"/>
      <c r="D44" s="29" t="str">
        <f t="shared" si="8"/>
        <v>R10 - m2</v>
      </c>
      <c r="E44" s="35">
        <f t="shared" si="9"/>
        <v>0</v>
      </c>
      <c r="F44" s="12"/>
      <c r="G44" s="12"/>
      <c r="H44" s="12"/>
      <c r="I44" s="12"/>
      <c r="J44" s="12"/>
      <c r="K44" s="12"/>
      <c r="L44" s="11"/>
    </row>
    <row r="45" spans="2:12" x14ac:dyDescent="0.25">
      <c r="B45" s="10"/>
      <c r="C45" s="12"/>
      <c r="D45" s="12"/>
      <c r="E45" s="12"/>
      <c r="F45" s="12"/>
      <c r="G45" s="12"/>
      <c r="H45" s="12"/>
      <c r="I45" s="12"/>
      <c r="J45" s="12"/>
      <c r="K45" s="12"/>
      <c r="L45" s="11"/>
    </row>
    <row r="46" spans="2:12" x14ac:dyDescent="0.25">
      <c r="B46" s="10"/>
      <c r="C46" s="12"/>
      <c r="D46" s="12"/>
      <c r="E46" s="12"/>
      <c r="F46" s="12"/>
      <c r="G46" s="12"/>
      <c r="H46" s="12"/>
      <c r="I46" s="12"/>
      <c r="J46" s="12"/>
      <c r="K46" s="12"/>
      <c r="L46" s="11"/>
    </row>
    <row r="47" spans="2:12" x14ac:dyDescent="0.25">
      <c r="B47" s="10"/>
      <c r="C47" s="12"/>
      <c r="D47" s="12"/>
      <c r="E47" s="12"/>
      <c r="F47" s="12"/>
      <c r="G47" s="12"/>
      <c r="H47" s="12"/>
      <c r="I47" s="12"/>
      <c r="J47" s="12"/>
      <c r="K47" s="12"/>
      <c r="L47" s="11"/>
    </row>
    <row r="48" spans="2:12" x14ac:dyDescent="0.25">
      <c r="B48" s="10"/>
      <c r="C48" s="12"/>
      <c r="D48" s="29" t="s">
        <v>126</v>
      </c>
      <c r="E48" s="29" t="s">
        <v>125</v>
      </c>
      <c r="F48" s="12"/>
      <c r="G48" s="12"/>
      <c r="H48" s="12"/>
      <c r="I48" s="12"/>
      <c r="J48" s="12"/>
      <c r="K48" s="12"/>
      <c r="L48" s="11"/>
    </row>
    <row r="49" spans="2:12" x14ac:dyDescent="0.25">
      <c r="B49" s="10"/>
      <c r="C49" s="12"/>
      <c r="D49" s="29" t="str">
        <f>D34</f>
        <v>IA - 300m2</v>
      </c>
      <c r="E49" s="35">
        <f>AB26</f>
        <v>711.8764903435482</v>
      </c>
      <c r="F49" s="12"/>
      <c r="G49" s="12"/>
      <c r="H49" s="12"/>
      <c r="I49" s="12"/>
      <c r="J49" s="12"/>
      <c r="K49" s="12"/>
      <c r="L49" s="11"/>
    </row>
    <row r="50" spans="2:12" x14ac:dyDescent="0.25">
      <c r="B50" s="10"/>
      <c r="C50" s="12"/>
      <c r="D50" s="29" t="str">
        <f>D35</f>
        <v>R1 - 120m2</v>
      </c>
      <c r="E50" s="35">
        <f>AB15</f>
        <v>765.9604875</v>
      </c>
      <c r="F50" s="12"/>
      <c r="G50" s="12"/>
      <c r="H50" s="12"/>
      <c r="I50" s="12"/>
      <c r="J50" s="12"/>
      <c r="K50" s="12"/>
      <c r="L50" s="11"/>
    </row>
    <row r="51" spans="2:12" x14ac:dyDescent="0.25">
      <c r="B51" s="10"/>
      <c r="C51" s="12"/>
      <c r="D51" s="29" t="str">
        <f t="shared" ref="D51:D59" si="10">D36</f>
        <v>R2 - 200m2</v>
      </c>
      <c r="E51" s="35">
        <f>AB16</f>
        <v>672.09653749999973</v>
      </c>
      <c r="F51" s="12"/>
      <c r="G51" s="12"/>
      <c r="H51" s="12"/>
      <c r="I51" s="12"/>
      <c r="J51" s="12"/>
      <c r="K51" s="12"/>
      <c r="L51" s="11"/>
    </row>
    <row r="52" spans="2:12" x14ac:dyDescent="0.25">
      <c r="B52" s="10"/>
      <c r="C52" s="12"/>
      <c r="D52" s="29" t="str">
        <f t="shared" si="10"/>
        <v>R3 - 155m2</v>
      </c>
      <c r="E52" s="35">
        <f t="shared" ref="E52:E59" si="11">AB17</f>
        <v>901.89677677419331</v>
      </c>
      <c r="F52" s="12"/>
      <c r="G52" s="12"/>
      <c r="H52" s="12"/>
      <c r="I52" s="12"/>
      <c r="J52" s="12"/>
      <c r="K52" s="12"/>
      <c r="L52" s="11"/>
    </row>
    <row r="53" spans="2:12" x14ac:dyDescent="0.25">
      <c r="B53" s="10"/>
      <c r="C53" s="12"/>
      <c r="D53" s="29" t="str">
        <f t="shared" si="10"/>
        <v>R4 - 200m2</v>
      </c>
      <c r="E53" s="35">
        <f t="shared" si="11"/>
        <v>507.55215960000004</v>
      </c>
      <c r="F53" s="12"/>
      <c r="G53" s="12"/>
      <c r="H53" s="12"/>
      <c r="I53" s="12"/>
      <c r="J53" s="12"/>
      <c r="K53" s="12"/>
      <c r="L53" s="11"/>
    </row>
    <row r="54" spans="2:12" x14ac:dyDescent="0.25">
      <c r="B54" s="10"/>
      <c r="C54" s="12"/>
      <c r="D54" s="29" t="str">
        <f t="shared" si="10"/>
        <v>R5 - m2</v>
      </c>
      <c r="E54" s="35">
        <f t="shared" si="11"/>
        <v>0</v>
      </c>
      <c r="F54" s="12"/>
      <c r="G54" s="12"/>
      <c r="H54" s="12"/>
      <c r="I54" s="12"/>
      <c r="J54" s="12"/>
      <c r="K54" s="12"/>
      <c r="L54" s="11"/>
    </row>
    <row r="55" spans="2:12" x14ac:dyDescent="0.25">
      <c r="B55" s="10"/>
      <c r="C55" s="12"/>
      <c r="D55" s="29" t="str">
        <f t="shared" si="10"/>
        <v>R6 - m2</v>
      </c>
      <c r="E55" s="35">
        <f t="shared" si="11"/>
        <v>0</v>
      </c>
      <c r="F55" s="12"/>
      <c r="G55" s="12"/>
      <c r="H55" s="12"/>
      <c r="I55" s="12"/>
      <c r="J55" s="12"/>
      <c r="K55" s="12"/>
      <c r="L55" s="11"/>
    </row>
    <row r="56" spans="2:12" x14ac:dyDescent="0.25">
      <c r="B56" s="10"/>
      <c r="C56" s="12"/>
      <c r="D56" s="29" t="str">
        <f t="shared" si="10"/>
        <v>R7 - m2</v>
      </c>
      <c r="E56" s="35">
        <f t="shared" si="11"/>
        <v>0</v>
      </c>
      <c r="F56" s="12"/>
      <c r="G56" s="12"/>
      <c r="H56" s="12"/>
      <c r="I56" s="12"/>
      <c r="J56" s="12"/>
      <c r="K56" s="12"/>
      <c r="L56" s="11"/>
    </row>
    <row r="57" spans="2:12" x14ac:dyDescent="0.25">
      <c r="B57" s="10"/>
      <c r="C57" s="12"/>
      <c r="D57" s="29" t="str">
        <f t="shared" si="10"/>
        <v>R8 - m2</v>
      </c>
      <c r="E57" s="35">
        <f t="shared" si="11"/>
        <v>0</v>
      </c>
      <c r="F57" s="12"/>
      <c r="G57" s="12"/>
      <c r="H57" s="12"/>
      <c r="I57" s="12"/>
      <c r="J57" s="12"/>
      <c r="K57" s="12"/>
      <c r="L57" s="11"/>
    </row>
    <row r="58" spans="2:12" x14ac:dyDescent="0.25">
      <c r="B58" s="10"/>
      <c r="C58" s="12"/>
      <c r="D58" s="29" t="str">
        <f t="shared" si="10"/>
        <v>R9 - m2</v>
      </c>
      <c r="E58" s="35">
        <f t="shared" si="11"/>
        <v>0</v>
      </c>
      <c r="F58" s="12"/>
      <c r="G58" s="12"/>
      <c r="H58" s="12"/>
      <c r="I58" s="12"/>
      <c r="J58" s="12"/>
      <c r="K58" s="12"/>
      <c r="L58" s="11"/>
    </row>
    <row r="59" spans="2:12" x14ac:dyDescent="0.25">
      <c r="B59" s="10"/>
      <c r="C59" s="12"/>
      <c r="D59" s="29" t="str">
        <f t="shared" si="10"/>
        <v>R10 - m2</v>
      </c>
      <c r="E59" s="35">
        <f t="shared" si="11"/>
        <v>0</v>
      </c>
      <c r="F59" s="12"/>
      <c r="G59" s="12"/>
      <c r="H59" s="12"/>
      <c r="I59" s="12"/>
      <c r="J59" s="12"/>
      <c r="K59" s="12"/>
      <c r="L59" s="11"/>
    </row>
    <row r="60" spans="2:12" x14ac:dyDescent="0.25">
      <c r="B60" s="10"/>
      <c r="C60" s="12"/>
      <c r="D60" s="12"/>
      <c r="E60" s="12"/>
      <c r="F60" s="12"/>
      <c r="G60" s="12"/>
      <c r="H60" s="12"/>
      <c r="I60" s="12"/>
      <c r="J60" s="12"/>
      <c r="K60" s="12"/>
      <c r="L60" s="11"/>
    </row>
    <row r="61" spans="2:12" x14ac:dyDescent="0.25">
      <c r="B61" s="10"/>
      <c r="C61" s="12"/>
      <c r="D61" s="12"/>
      <c r="E61" s="12"/>
      <c r="F61" s="12"/>
      <c r="G61" s="12"/>
      <c r="H61" s="12"/>
      <c r="I61" s="12"/>
      <c r="J61" s="12"/>
      <c r="K61" s="12"/>
      <c r="L61" s="11"/>
    </row>
    <row r="62" spans="2:12" x14ac:dyDescent="0.25">
      <c r="B62" s="10"/>
      <c r="C62" s="12"/>
      <c r="D62" s="12"/>
      <c r="E62" s="12"/>
      <c r="F62" s="12"/>
      <c r="G62" s="12"/>
      <c r="H62" s="12"/>
      <c r="I62" s="12"/>
      <c r="J62" s="12"/>
      <c r="K62" s="12"/>
      <c r="L62" s="11"/>
    </row>
    <row r="63" spans="2:12" ht="15.75" thickBot="1" x14ac:dyDescent="0.3"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20"/>
    </row>
  </sheetData>
  <mergeCells count="27">
    <mergeCell ref="D32:E32"/>
    <mergeCell ref="G32:H32"/>
    <mergeCell ref="C9:D9"/>
    <mergeCell ref="E9:F9"/>
    <mergeCell ref="W28:AA28"/>
    <mergeCell ref="P13:Q13"/>
    <mergeCell ref="U14:V14"/>
    <mergeCell ref="C10:D10"/>
    <mergeCell ref="C13:L13"/>
    <mergeCell ref="D20:G20"/>
    <mergeCell ref="D21:G21"/>
    <mergeCell ref="D22:G22"/>
    <mergeCell ref="D23:G23"/>
    <mergeCell ref="D24:G24"/>
    <mergeCell ref="D14:G14"/>
    <mergeCell ref="D15:G15"/>
    <mergeCell ref="D16:G16"/>
    <mergeCell ref="D17:G17"/>
    <mergeCell ref="D18:G18"/>
    <mergeCell ref="D19:G19"/>
    <mergeCell ref="C3:AB3"/>
    <mergeCell ref="C4:AB4"/>
    <mergeCell ref="C5:AB5"/>
    <mergeCell ref="C7:AB7"/>
    <mergeCell ref="C8:D8"/>
    <mergeCell ref="E8:P8"/>
    <mergeCell ref="S8:U8"/>
  </mergeCells>
  <dataValidations count="1">
    <dataValidation type="list" allowBlank="1" showInputMessage="1" showErrorMessage="1" sqref="K15:K24">
      <formula1>"Anúncio,Venda realizada"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Ross-Heidecke'!$B$6:$B$14</xm:f>
          </x14:formula1>
          <xm:sqref>U15:U24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6"/>
  <sheetViews>
    <sheetView showGridLines="0" topLeftCell="C1" zoomScale="70" zoomScaleNormal="70" workbookViewId="0">
      <selection activeCell="B20" sqref="B20"/>
    </sheetView>
  </sheetViews>
  <sheetFormatPr defaultRowHeight="15" x14ac:dyDescent="0.25"/>
  <cols>
    <col min="1" max="1" width="9.140625" style="4"/>
    <col min="2" max="2" width="56.5703125" style="4" customWidth="1"/>
    <col min="3" max="3" width="9.85546875" style="4" bestFit="1" customWidth="1"/>
    <col min="4" max="4" width="9.140625" style="4"/>
    <col min="5" max="5" width="13.85546875" style="4" customWidth="1"/>
    <col min="6" max="13" width="8.140625" style="4" customWidth="1"/>
    <col min="14" max="14" width="9.140625" style="4"/>
    <col min="15" max="15" width="12.28515625" style="4" bestFit="1" customWidth="1"/>
    <col min="16" max="16" width="14.85546875" style="4" bestFit="1" customWidth="1"/>
    <col min="17" max="17" width="29.140625" style="4" bestFit="1" customWidth="1"/>
    <col min="18" max="18" width="10.28515625" style="5" customWidth="1"/>
    <col min="19" max="19" width="1.42578125" style="4" customWidth="1"/>
    <col min="20" max="20" width="58.28515625" style="4" bestFit="1" customWidth="1"/>
    <col min="21" max="21" width="10.85546875" style="5" customWidth="1"/>
    <col min="22" max="16384" width="9.140625" style="4"/>
  </cols>
  <sheetData>
    <row r="1" spans="2:21" ht="15.75" thickBot="1" x14ac:dyDescent="0.3"/>
    <row r="2" spans="2:21" ht="26.25" customHeight="1" x14ac:dyDescent="0.25">
      <c r="B2" s="257" t="s">
        <v>127</v>
      </c>
      <c r="C2" s="258"/>
      <c r="E2" s="257" t="s">
        <v>53</v>
      </c>
      <c r="F2" s="261"/>
      <c r="G2" s="261"/>
      <c r="H2" s="261"/>
      <c r="I2" s="261"/>
      <c r="J2" s="261"/>
      <c r="K2" s="261"/>
      <c r="L2" s="261"/>
      <c r="M2" s="258"/>
      <c r="O2" s="257" t="s">
        <v>110</v>
      </c>
      <c r="P2" s="261"/>
      <c r="Q2" s="261"/>
      <c r="R2" s="258"/>
    </row>
    <row r="3" spans="2:21" ht="15" customHeight="1" thickBot="1" x14ac:dyDescent="0.3">
      <c r="B3" s="259"/>
      <c r="C3" s="260"/>
      <c r="E3" s="259"/>
      <c r="F3" s="262"/>
      <c r="G3" s="262"/>
      <c r="H3" s="262"/>
      <c r="I3" s="262"/>
      <c r="J3" s="262"/>
      <c r="K3" s="262"/>
      <c r="L3" s="262"/>
      <c r="M3" s="260"/>
      <c r="O3" s="263" t="s">
        <v>111</v>
      </c>
      <c r="P3" s="264"/>
      <c r="Q3" s="264"/>
      <c r="R3" s="265"/>
    </row>
    <row r="4" spans="2:21" ht="15.75" customHeight="1" thickBot="1" x14ac:dyDescent="0.3"/>
    <row r="5" spans="2:21" ht="30" customHeight="1" thickBot="1" x14ac:dyDescent="0.3">
      <c r="B5" s="90" t="s">
        <v>35</v>
      </c>
      <c r="C5" s="91" t="s">
        <v>34</v>
      </c>
      <c r="E5" s="269" t="s">
        <v>51</v>
      </c>
      <c r="F5" s="271" t="s">
        <v>52</v>
      </c>
      <c r="G5" s="272"/>
      <c r="H5" s="272"/>
      <c r="I5" s="272"/>
      <c r="J5" s="272"/>
      <c r="K5" s="272"/>
      <c r="L5" s="272"/>
      <c r="M5" s="273"/>
      <c r="O5" s="70" t="s">
        <v>79</v>
      </c>
      <c r="P5" s="71" t="s">
        <v>80</v>
      </c>
      <c r="Q5" s="71" t="s">
        <v>81</v>
      </c>
      <c r="R5" s="72" t="s">
        <v>108</v>
      </c>
      <c r="T5" s="70" t="s">
        <v>79</v>
      </c>
      <c r="U5" s="72" t="s">
        <v>108</v>
      </c>
    </row>
    <row r="6" spans="2:21" ht="15.75" thickBot="1" x14ac:dyDescent="0.3">
      <c r="B6" s="88" t="s">
        <v>37</v>
      </c>
      <c r="C6" s="89" t="s">
        <v>36</v>
      </c>
      <c r="E6" s="270"/>
      <c r="F6" s="82" t="s">
        <v>36</v>
      </c>
      <c r="G6" s="82" t="s">
        <v>40</v>
      </c>
      <c r="H6" s="82" t="s">
        <v>44</v>
      </c>
      <c r="I6" s="82" t="s">
        <v>48</v>
      </c>
      <c r="J6" s="82" t="s">
        <v>38</v>
      </c>
      <c r="K6" s="82" t="s">
        <v>42</v>
      </c>
      <c r="L6" s="82" t="s">
        <v>46</v>
      </c>
      <c r="M6" s="83" t="s">
        <v>50</v>
      </c>
      <c r="O6" s="246" t="s">
        <v>82</v>
      </c>
      <c r="P6" s="267" t="s">
        <v>83</v>
      </c>
      <c r="Q6" s="65" t="s">
        <v>84</v>
      </c>
      <c r="R6" s="66">
        <v>5</v>
      </c>
      <c r="T6" s="95" t="str">
        <f>CONCATENATE(O6," - ",P6," - ",Q6)</f>
        <v>RESIDENCIAL - BARRACO - RÚSTICO</v>
      </c>
      <c r="U6" s="66">
        <f t="shared" ref="U6:U29" si="0">R6</f>
        <v>5</v>
      </c>
    </row>
    <row r="7" spans="2:21" ht="15.75" customHeight="1" x14ac:dyDescent="0.25">
      <c r="B7" s="84" t="s">
        <v>41</v>
      </c>
      <c r="C7" s="85" t="s">
        <v>40</v>
      </c>
      <c r="E7" s="79">
        <v>2</v>
      </c>
      <c r="F7" s="80">
        <v>1.02</v>
      </c>
      <c r="G7" s="80">
        <v>1.05</v>
      </c>
      <c r="H7" s="80">
        <v>3.51</v>
      </c>
      <c r="I7" s="80">
        <v>9.0299999999999994</v>
      </c>
      <c r="J7" s="80">
        <v>18.899999999999999</v>
      </c>
      <c r="K7" s="80">
        <v>39.299999999999997</v>
      </c>
      <c r="L7" s="80">
        <v>53.1</v>
      </c>
      <c r="M7" s="81">
        <v>75.400000000000006</v>
      </c>
      <c r="O7" s="248"/>
      <c r="P7" s="253"/>
      <c r="Q7" s="64" t="s">
        <v>85</v>
      </c>
      <c r="R7" s="67">
        <v>10</v>
      </c>
      <c r="T7" s="96" t="str">
        <f>CONCATENATE(O6," - ",P6," - ",Q7)</f>
        <v>RESIDENCIAL - BARRACO - SIMPLES</v>
      </c>
      <c r="U7" s="67">
        <f t="shared" si="0"/>
        <v>10</v>
      </c>
    </row>
    <row r="8" spans="2:21" x14ac:dyDescent="0.25">
      <c r="B8" s="84" t="s">
        <v>45</v>
      </c>
      <c r="C8" s="85" t="s">
        <v>44</v>
      </c>
      <c r="E8" s="74">
        <v>4</v>
      </c>
      <c r="F8" s="59">
        <v>2.08</v>
      </c>
      <c r="G8" s="59">
        <v>2.11</v>
      </c>
      <c r="H8" s="59">
        <v>4.55</v>
      </c>
      <c r="I8" s="59">
        <v>10</v>
      </c>
      <c r="J8" s="59">
        <v>19.8</v>
      </c>
      <c r="K8" s="59">
        <v>34.6</v>
      </c>
      <c r="L8" s="59">
        <v>53.6</v>
      </c>
      <c r="M8" s="75">
        <v>75.7</v>
      </c>
      <c r="O8" s="248"/>
      <c r="P8" s="252" t="s">
        <v>86</v>
      </c>
      <c r="Q8" s="64" t="s">
        <v>87</v>
      </c>
      <c r="R8" s="67">
        <v>45</v>
      </c>
      <c r="T8" s="96" t="str">
        <f>CONCATENATE(O6," - ",P8," - ",Q8)</f>
        <v>RESIDENCIAL - CASA - DE MADEIRA</v>
      </c>
      <c r="U8" s="67">
        <f t="shared" si="0"/>
        <v>45</v>
      </c>
    </row>
    <row r="9" spans="2:21" x14ac:dyDescent="0.25">
      <c r="B9" s="84" t="s">
        <v>49</v>
      </c>
      <c r="C9" s="85" t="s">
        <v>48</v>
      </c>
      <c r="E9" s="74">
        <v>6</v>
      </c>
      <c r="F9" s="59">
        <v>3.18</v>
      </c>
      <c r="G9" s="59">
        <v>3.21</v>
      </c>
      <c r="H9" s="59">
        <v>5.62</v>
      </c>
      <c r="I9" s="59">
        <v>11</v>
      </c>
      <c r="J9" s="59">
        <v>20.7</v>
      </c>
      <c r="K9" s="59">
        <v>35.299999999999997</v>
      </c>
      <c r="L9" s="59">
        <v>54.1</v>
      </c>
      <c r="M9" s="75">
        <v>76</v>
      </c>
      <c r="O9" s="248"/>
      <c r="P9" s="266"/>
      <c r="Q9" s="64" t="s">
        <v>84</v>
      </c>
      <c r="R9" s="67">
        <v>60</v>
      </c>
      <c r="T9" s="96" t="str">
        <f>CONCATENATE(O6," - ",P8," - ",Q9)</f>
        <v>RESIDENCIAL - CASA - RÚSTICO</v>
      </c>
      <c r="U9" s="67">
        <f t="shared" si="0"/>
        <v>60</v>
      </c>
    </row>
    <row r="10" spans="2:21" x14ac:dyDescent="0.25">
      <c r="B10" s="84" t="s">
        <v>39</v>
      </c>
      <c r="C10" s="85" t="s">
        <v>38</v>
      </c>
      <c r="E10" s="74">
        <v>8</v>
      </c>
      <c r="F10" s="59">
        <v>4.32</v>
      </c>
      <c r="G10" s="59">
        <v>4.3499999999999996</v>
      </c>
      <c r="H10" s="59">
        <v>6.73</v>
      </c>
      <c r="I10" s="59">
        <v>12.1</v>
      </c>
      <c r="J10" s="59">
        <v>21.6</v>
      </c>
      <c r="K10" s="59">
        <v>36.1</v>
      </c>
      <c r="L10" s="59">
        <v>54.6</v>
      </c>
      <c r="M10" s="75">
        <v>76.3</v>
      </c>
      <c r="O10" s="248"/>
      <c r="P10" s="266"/>
      <c r="Q10" s="64" t="s">
        <v>88</v>
      </c>
      <c r="R10" s="67">
        <v>70</v>
      </c>
      <c r="T10" s="96" t="str">
        <f>CONCATENATE(O6," - ",P8," - ",Q10)</f>
        <v>RESIDENCIAL - CASA - ECONÔMICO, SIMLES ou MÉDIO</v>
      </c>
      <c r="U10" s="67">
        <f t="shared" si="0"/>
        <v>70</v>
      </c>
    </row>
    <row r="11" spans="2:21" x14ac:dyDescent="0.25">
      <c r="B11" s="84" t="s">
        <v>43</v>
      </c>
      <c r="C11" s="85" t="s">
        <v>42</v>
      </c>
      <c r="E11" s="74">
        <v>10</v>
      </c>
      <c r="F11" s="59">
        <v>5.5</v>
      </c>
      <c r="G11" s="59">
        <v>5.53</v>
      </c>
      <c r="H11" s="59">
        <v>7.88</v>
      </c>
      <c r="I11" s="59">
        <v>13.2</v>
      </c>
      <c r="J11" s="59">
        <v>22.6</v>
      </c>
      <c r="K11" s="59">
        <v>36.9</v>
      </c>
      <c r="L11" s="59">
        <v>55.2</v>
      </c>
      <c r="M11" s="75">
        <v>76.599999999999994</v>
      </c>
      <c r="O11" s="248"/>
      <c r="P11" s="253"/>
      <c r="Q11" s="64" t="s">
        <v>89</v>
      </c>
      <c r="R11" s="67">
        <v>60</v>
      </c>
      <c r="T11" s="96" t="str">
        <f>CONCATENATE(O6," - ",P8," - ",Q11)</f>
        <v>RESIDENCIAL - CASA - FINO ou LUXO</v>
      </c>
      <c r="U11" s="67">
        <f t="shared" si="0"/>
        <v>60</v>
      </c>
    </row>
    <row r="12" spans="2:21" x14ac:dyDescent="0.25">
      <c r="B12" s="84" t="s">
        <v>47</v>
      </c>
      <c r="C12" s="85" t="s">
        <v>46</v>
      </c>
      <c r="E12" s="74">
        <v>12</v>
      </c>
      <c r="F12" s="59">
        <v>6.72</v>
      </c>
      <c r="G12" s="59">
        <v>6.75</v>
      </c>
      <c r="H12" s="59">
        <v>9.07</v>
      </c>
      <c r="I12" s="59">
        <v>14.3</v>
      </c>
      <c r="J12" s="59">
        <v>23.6</v>
      </c>
      <c r="K12" s="59">
        <v>37.700000000000003</v>
      </c>
      <c r="L12" s="59">
        <v>55.8</v>
      </c>
      <c r="M12" s="75">
        <v>76.900000000000006</v>
      </c>
      <c r="O12" s="248"/>
      <c r="P12" s="252" t="s">
        <v>90</v>
      </c>
      <c r="Q12" s="64" t="s">
        <v>88</v>
      </c>
      <c r="R12" s="67">
        <v>70</v>
      </c>
      <c r="T12" s="96" t="str">
        <f>CONCATENATE(O6," - ",P12," - ",Q12)</f>
        <v>RESIDENCIAL - APARTAMENTO - ECONÔMICO, SIMLES ou MÉDIO</v>
      </c>
      <c r="U12" s="67">
        <f t="shared" si="0"/>
        <v>70</v>
      </c>
    </row>
    <row r="13" spans="2:21" ht="15.75" thickBot="1" x14ac:dyDescent="0.3">
      <c r="B13" s="84" t="s">
        <v>54</v>
      </c>
      <c r="C13" s="85" t="s">
        <v>50</v>
      </c>
      <c r="E13" s="74">
        <v>14</v>
      </c>
      <c r="F13" s="59">
        <v>7.98</v>
      </c>
      <c r="G13" s="59">
        <v>8.01</v>
      </c>
      <c r="H13" s="59">
        <v>10.3</v>
      </c>
      <c r="I13" s="59">
        <v>15.4</v>
      </c>
      <c r="J13" s="59">
        <v>24.6</v>
      </c>
      <c r="K13" s="59">
        <v>38.5</v>
      </c>
      <c r="L13" s="59">
        <v>56.4</v>
      </c>
      <c r="M13" s="75">
        <v>77.2</v>
      </c>
      <c r="O13" s="247"/>
      <c r="P13" s="268"/>
      <c r="Q13" s="68" t="s">
        <v>89</v>
      </c>
      <c r="R13" s="69">
        <v>60</v>
      </c>
      <c r="T13" s="96" t="str">
        <f>CONCATENATE(O6," - ",P12," - ",Q13)</f>
        <v>RESIDENCIAL - APARTAMENTO - FINO ou LUXO</v>
      </c>
      <c r="U13" s="67">
        <f t="shared" si="0"/>
        <v>60</v>
      </c>
    </row>
    <row r="14" spans="2:21" ht="15.75" customHeight="1" thickBot="1" x14ac:dyDescent="0.3">
      <c r="B14" s="86" t="s">
        <v>56</v>
      </c>
      <c r="C14" s="87" t="s">
        <v>55</v>
      </c>
      <c r="E14" s="74">
        <v>16</v>
      </c>
      <c r="F14" s="59">
        <v>9.2799999999999994</v>
      </c>
      <c r="G14" s="59">
        <v>9.31</v>
      </c>
      <c r="H14" s="59">
        <v>11.6</v>
      </c>
      <c r="I14" s="59">
        <v>16.600000000000001</v>
      </c>
      <c r="J14" s="59">
        <v>25.7</v>
      </c>
      <c r="K14" s="59">
        <v>39.4</v>
      </c>
      <c r="L14" s="59">
        <v>57</v>
      </c>
      <c r="M14" s="75">
        <v>77.5</v>
      </c>
      <c r="O14" s="246" t="s">
        <v>91</v>
      </c>
      <c r="P14" s="267" t="s">
        <v>92</v>
      </c>
      <c r="Q14" s="65" t="s">
        <v>93</v>
      </c>
      <c r="R14" s="66">
        <v>70</v>
      </c>
      <c r="T14" s="96" t="str">
        <f>CONCATENATE(O14," - ",P14," - ",Q14)</f>
        <v>COMERCIAL - ESCRITÓRIO - ECONÔMICO ou SIMPLES</v>
      </c>
      <c r="U14" s="67">
        <f t="shared" si="0"/>
        <v>70</v>
      </c>
    </row>
    <row r="15" spans="2:21" ht="15.75" customHeight="1" x14ac:dyDescent="0.25">
      <c r="E15" s="74">
        <v>18</v>
      </c>
      <c r="F15" s="59">
        <v>10.6</v>
      </c>
      <c r="G15" s="59">
        <v>10.6</v>
      </c>
      <c r="H15" s="59">
        <v>12.9</v>
      </c>
      <c r="I15" s="59">
        <v>17.8</v>
      </c>
      <c r="J15" s="59">
        <v>26.8</v>
      </c>
      <c r="K15" s="59">
        <v>40.299999999999997</v>
      </c>
      <c r="L15" s="59">
        <v>57.6</v>
      </c>
      <c r="M15" s="75">
        <v>77.8</v>
      </c>
      <c r="O15" s="248"/>
      <c r="P15" s="266"/>
      <c r="Q15" s="64" t="s">
        <v>94</v>
      </c>
      <c r="R15" s="67">
        <v>60</v>
      </c>
      <c r="T15" s="96" t="str">
        <f>CONCATENATE(O14," - ",P14," - ",Q15)</f>
        <v>COMERCIAL - ESCRITÓRIO - MÉDIO</v>
      </c>
      <c r="U15" s="67">
        <f t="shared" si="0"/>
        <v>60</v>
      </c>
    </row>
    <row r="16" spans="2:21" x14ac:dyDescent="0.25">
      <c r="E16" s="74">
        <v>20</v>
      </c>
      <c r="F16" s="59">
        <v>12</v>
      </c>
      <c r="G16" s="59">
        <v>12</v>
      </c>
      <c r="H16" s="59">
        <v>14.2</v>
      </c>
      <c r="I16" s="59">
        <v>19.100000000000001</v>
      </c>
      <c r="J16" s="59">
        <v>27.9</v>
      </c>
      <c r="K16" s="59">
        <v>41.8</v>
      </c>
      <c r="L16" s="59">
        <v>58.3</v>
      </c>
      <c r="M16" s="75">
        <v>78.2</v>
      </c>
      <c r="O16" s="248"/>
      <c r="P16" s="253"/>
      <c r="Q16" s="64" t="s">
        <v>89</v>
      </c>
      <c r="R16" s="67">
        <v>50</v>
      </c>
      <c r="T16" s="96" t="str">
        <f>CONCATENATE(O14," - ",P14," - ",Q16)</f>
        <v>COMERCIAL - ESCRITÓRIO - FINO ou LUXO</v>
      </c>
      <c r="U16" s="67">
        <f t="shared" si="0"/>
        <v>50</v>
      </c>
    </row>
    <row r="17" spans="2:21" ht="15.75" thickBot="1" x14ac:dyDescent="0.3">
      <c r="E17" s="74">
        <v>22</v>
      </c>
      <c r="F17" s="59">
        <v>13.4</v>
      </c>
      <c r="G17" s="59">
        <v>13.4</v>
      </c>
      <c r="H17" s="59">
        <v>15.6</v>
      </c>
      <c r="I17" s="59">
        <v>20.399999999999999</v>
      </c>
      <c r="J17" s="59">
        <v>29.1</v>
      </c>
      <c r="K17" s="59">
        <v>42.2</v>
      </c>
      <c r="L17" s="59">
        <v>59</v>
      </c>
      <c r="M17" s="75">
        <v>78.5</v>
      </c>
      <c r="O17" s="247"/>
      <c r="P17" s="249" t="s">
        <v>95</v>
      </c>
      <c r="Q17" s="245"/>
      <c r="R17" s="69">
        <v>70</v>
      </c>
      <c r="T17" s="96" t="str">
        <f>CONCATENATE(O14," - ",P17)</f>
        <v>COMERCIAL - LOJA</v>
      </c>
      <c r="U17" s="67">
        <f t="shared" si="0"/>
        <v>70</v>
      </c>
    </row>
    <row r="18" spans="2:21" ht="16.5" thickBot="1" x14ac:dyDescent="0.3">
      <c r="B18" s="203" t="s">
        <v>112</v>
      </c>
      <c r="C18" s="274"/>
      <c r="E18" s="74">
        <v>24</v>
      </c>
      <c r="F18" s="59">
        <v>14.9</v>
      </c>
      <c r="G18" s="59">
        <v>14.9</v>
      </c>
      <c r="H18" s="59">
        <v>17</v>
      </c>
      <c r="I18" s="59">
        <v>21.8</v>
      </c>
      <c r="J18" s="59">
        <v>30.3</v>
      </c>
      <c r="K18" s="59">
        <v>43.1</v>
      </c>
      <c r="L18" s="59">
        <v>59.6</v>
      </c>
      <c r="M18" s="75">
        <v>78.900000000000006</v>
      </c>
      <c r="O18" s="246" t="s">
        <v>96</v>
      </c>
      <c r="P18" s="250" t="s">
        <v>97</v>
      </c>
      <c r="Q18" s="251"/>
      <c r="R18" s="66">
        <v>75</v>
      </c>
      <c r="T18" s="96" t="str">
        <f>CONCATENATE(O18," - ",P18)</f>
        <v>INDUSTRIAL - ARMAZÉM</v>
      </c>
      <c r="U18" s="67">
        <f t="shared" si="0"/>
        <v>75</v>
      </c>
    </row>
    <row r="19" spans="2:21" ht="15.75" customHeight="1" x14ac:dyDescent="0.25">
      <c r="B19" s="103" t="s">
        <v>113</v>
      </c>
      <c r="C19" s="239" t="str">
        <f>IFERROR(VLOOKUP(B20,B6:C14,2,FALSE),"")</f>
        <v>B</v>
      </c>
      <c r="E19" s="74">
        <v>26</v>
      </c>
      <c r="F19" s="59">
        <v>16.399999999999999</v>
      </c>
      <c r="G19" s="59">
        <v>16.399999999999999</v>
      </c>
      <c r="H19" s="59">
        <v>18.5</v>
      </c>
      <c r="I19" s="59">
        <v>23.1</v>
      </c>
      <c r="J19" s="59">
        <v>31.5</v>
      </c>
      <c r="K19" s="59">
        <v>44.1</v>
      </c>
      <c r="L19" s="59">
        <v>60.4</v>
      </c>
      <c r="M19" s="75">
        <v>79.3</v>
      </c>
      <c r="O19" s="248"/>
      <c r="P19" s="252" t="s">
        <v>98</v>
      </c>
      <c r="Q19" s="64" t="s">
        <v>99</v>
      </c>
      <c r="R19" s="67">
        <v>60</v>
      </c>
      <c r="T19" s="96" t="str">
        <f>CONCATENATE(O18," - ",P19," - ",Q19)</f>
        <v>INDUSTRIAL - GALPÃO - RÚSTICO ou SIMPLES</v>
      </c>
      <c r="U19" s="67">
        <f t="shared" si="0"/>
        <v>60</v>
      </c>
    </row>
    <row r="20" spans="2:21" x14ac:dyDescent="0.25">
      <c r="B20" s="98" t="s">
        <v>41</v>
      </c>
      <c r="C20" s="275"/>
      <c r="E20" s="74">
        <v>28</v>
      </c>
      <c r="F20" s="59">
        <v>17.899999999999999</v>
      </c>
      <c r="G20" s="59">
        <v>17.899999999999999</v>
      </c>
      <c r="H20" s="59">
        <v>20</v>
      </c>
      <c r="I20" s="59">
        <v>24.6</v>
      </c>
      <c r="J20" s="59">
        <v>32.799999999999997</v>
      </c>
      <c r="K20" s="59">
        <v>45.2</v>
      </c>
      <c r="L20" s="59">
        <v>61.1</v>
      </c>
      <c r="M20" s="75">
        <v>79.599999999999994</v>
      </c>
      <c r="O20" s="248"/>
      <c r="P20" s="266"/>
      <c r="Q20" s="64" t="s">
        <v>94</v>
      </c>
      <c r="R20" s="67">
        <v>80</v>
      </c>
      <c r="T20" s="96" t="str">
        <f>CONCATENATE(O18," - ",P19," - ",Q20)</f>
        <v>INDUSTRIAL - GALPÃO - MÉDIO</v>
      </c>
      <c r="U20" s="67">
        <f t="shared" si="0"/>
        <v>80</v>
      </c>
    </row>
    <row r="21" spans="2:21" x14ac:dyDescent="0.25">
      <c r="B21" s="104" t="s">
        <v>114</v>
      </c>
      <c r="C21" s="100">
        <v>7</v>
      </c>
      <c r="E21" s="74">
        <v>30</v>
      </c>
      <c r="F21" s="59">
        <v>19.5</v>
      </c>
      <c r="G21" s="59">
        <v>19.5</v>
      </c>
      <c r="H21" s="59">
        <v>21.5</v>
      </c>
      <c r="I21" s="59">
        <v>26</v>
      </c>
      <c r="J21" s="59">
        <v>34.1</v>
      </c>
      <c r="K21" s="59">
        <v>46.2</v>
      </c>
      <c r="L21" s="59">
        <v>61.8</v>
      </c>
      <c r="M21" s="75">
        <v>80</v>
      </c>
      <c r="O21" s="248"/>
      <c r="P21" s="253"/>
      <c r="Q21" s="64" t="s">
        <v>100</v>
      </c>
      <c r="R21" s="67">
        <v>80</v>
      </c>
      <c r="T21" s="96" t="str">
        <f>CONCATENATE(O18," - ",P19," - ",Q21)</f>
        <v>INDUSTRIAL - GALPÃO - SUPERIOR</v>
      </c>
      <c r="U21" s="67">
        <f t="shared" si="0"/>
        <v>80</v>
      </c>
    </row>
    <row r="22" spans="2:21" x14ac:dyDescent="0.25">
      <c r="B22" s="105" t="s">
        <v>115</v>
      </c>
      <c r="C22" s="238">
        <f>IFERROR(VLOOKUP(B23,T6:U29,2,FALSE),"")</f>
        <v>70</v>
      </c>
      <c r="E22" s="74">
        <v>32</v>
      </c>
      <c r="F22" s="59">
        <v>21.1</v>
      </c>
      <c r="G22" s="59">
        <v>21.1</v>
      </c>
      <c r="H22" s="59">
        <v>23.1</v>
      </c>
      <c r="I22" s="59">
        <v>27.5</v>
      </c>
      <c r="J22" s="59">
        <v>35.4</v>
      </c>
      <c r="K22" s="59">
        <v>47.3</v>
      </c>
      <c r="L22" s="59">
        <v>62.6</v>
      </c>
      <c r="M22" s="75">
        <v>80.400000000000006</v>
      </c>
      <c r="O22" s="248"/>
      <c r="P22" s="252" t="s">
        <v>101</v>
      </c>
      <c r="Q22" s="64" t="s">
        <v>99</v>
      </c>
      <c r="R22" s="67">
        <v>20</v>
      </c>
      <c r="T22" s="96" t="str">
        <f>CONCATENATE(O18," - ",P22," - ",Q22)</f>
        <v>INDUSTRIAL - COBERTURA - RÚSTICO ou SIMPLES</v>
      </c>
      <c r="U22" s="67">
        <f t="shared" si="0"/>
        <v>20</v>
      </c>
    </row>
    <row r="23" spans="2:21" ht="15.75" thickBot="1" x14ac:dyDescent="0.3">
      <c r="B23" s="99" t="s">
        <v>120</v>
      </c>
      <c r="C23" s="239"/>
      <c r="E23" s="74">
        <v>34</v>
      </c>
      <c r="F23" s="59">
        <v>22.8</v>
      </c>
      <c r="G23" s="59">
        <v>22.8</v>
      </c>
      <c r="H23" s="59">
        <v>24.7</v>
      </c>
      <c r="I23" s="59">
        <v>29</v>
      </c>
      <c r="J23" s="59">
        <v>36.799999999999997</v>
      </c>
      <c r="K23" s="59">
        <v>48.4</v>
      </c>
      <c r="L23" s="59">
        <v>63.4</v>
      </c>
      <c r="M23" s="75">
        <v>80.8</v>
      </c>
      <c r="O23" s="248"/>
      <c r="P23" s="253"/>
      <c r="Q23" s="64" t="s">
        <v>100</v>
      </c>
      <c r="R23" s="67">
        <v>30</v>
      </c>
      <c r="T23" s="96" t="str">
        <f>CONCATENATE(O18," - ",P22," - ",Q23)</f>
        <v>INDUSTRIAL - COBERTURA - SUPERIOR</v>
      </c>
      <c r="U23" s="67">
        <f t="shared" si="0"/>
        <v>30</v>
      </c>
    </row>
    <row r="24" spans="2:21" ht="15.75" thickBot="1" x14ac:dyDescent="0.3">
      <c r="B24" s="101" t="s">
        <v>116</v>
      </c>
      <c r="C24" s="102" t="str">
        <f>CONCATENATE(VLOOKUP((EVEN(C21/C22*100)),E7:M56,(IF(C19="A",2,IF(C19="B",3,IF(C19="C",4,IF(C19="D",5,IF(C19="E",6,IF(C19="F",7,IF(C19="G",8,IF(C19="H",9,""))))))))),FALSE),"%")</f>
        <v>5,53%</v>
      </c>
      <c r="E24" s="74">
        <v>36</v>
      </c>
      <c r="F24" s="59">
        <v>24.5</v>
      </c>
      <c r="G24" s="59">
        <v>24.5</v>
      </c>
      <c r="H24" s="59">
        <v>26.4</v>
      </c>
      <c r="I24" s="59">
        <v>30.5</v>
      </c>
      <c r="J24" s="59">
        <v>38.1</v>
      </c>
      <c r="K24" s="59">
        <v>49.5</v>
      </c>
      <c r="L24" s="59">
        <v>64.2</v>
      </c>
      <c r="M24" s="75">
        <v>81.3</v>
      </c>
      <c r="O24" s="247"/>
      <c r="P24" s="249" t="s">
        <v>102</v>
      </c>
      <c r="Q24" s="245"/>
      <c r="R24" s="69">
        <v>50</v>
      </c>
      <c r="T24" s="96" t="str">
        <f>CONCATENATE(O18," - ",P24)</f>
        <v>INDUSTRIAL - FÁBRICA</v>
      </c>
      <c r="U24" s="67">
        <f t="shared" si="0"/>
        <v>50</v>
      </c>
    </row>
    <row r="25" spans="2:21" x14ac:dyDescent="0.25">
      <c r="E25" s="74">
        <v>38</v>
      </c>
      <c r="F25" s="59">
        <v>26.2</v>
      </c>
      <c r="G25" s="59">
        <v>26.2</v>
      </c>
      <c r="H25" s="59">
        <v>28.1</v>
      </c>
      <c r="I25" s="59">
        <v>32.200000000000003</v>
      </c>
      <c r="J25" s="59">
        <v>39.6</v>
      </c>
      <c r="K25" s="59">
        <v>50.7</v>
      </c>
      <c r="L25" s="59">
        <v>65</v>
      </c>
      <c r="M25" s="75">
        <v>81.7</v>
      </c>
      <c r="O25" s="246" t="s">
        <v>103</v>
      </c>
      <c r="P25" s="250" t="s">
        <v>104</v>
      </c>
      <c r="Q25" s="251"/>
      <c r="R25" s="66">
        <v>75</v>
      </c>
      <c r="T25" s="96" t="str">
        <f>CONCATENATE(O25," - ",P25)</f>
        <v>RURAL - SILO</v>
      </c>
      <c r="U25" s="67">
        <f t="shared" si="0"/>
        <v>75</v>
      </c>
    </row>
    <row r="26" spans="2:21" ht="15.75" thickBot="1" x14ac:dyDescent="0.3">
      <c r="E26" s="74">
        <v>40</v>
      </c>
      <c r="F26" s="59">
        <v>28.8</v>
      </c>
      <c r="G26" s="59">
        <v>28.8</v>
      </c>
      <c r="H26" s="59">
        <v>29.9</v>
      </c>
      <c r="I26" s="59">
        <v>33.799999999999997</v>
      </c>
      <c r="J26" s="59">
        <v>41</v>
      </c>
      <c r="K26" s="59">
        <v>51.9</v>
      </c>
      <c r="L26" s="59">
        <v>65.900000000000006</v>
      </c>
      <c r="M26" s="75">
        <v>82.1</v>
      </c>
      <c r="O26" s="247"/>
      <c r="P26" s="249" t="s">
        <v>109</v>
      </c>
      <c r="Q26" s="245"/>
      <c r="R26" s="69">
        <v>60</v>
      </c>
      <c r="T26" s="96" t="str">
        <f>CONCATENATE(O25," - ",P26)</f>
        <v>RURAL - DEMAIS CONSTRUÇÕES RURAIS</v>
      </c>
      <c r="U26" s="67">
        <f t="shared" si="0"/>
        <v>60</v>
      </c>
    </row>
    <row r="27" spans="2:21" ht="15.75" customHeight="1" x14ac:dyDescent="0.25">
      <c r="E27" s="74">
        <v>42</v>
      </c>
      <c r="F27" s="59">
        <v>29.9</v>
      </c>
      <c r="G27" s="59">
        <v>29.8</v>
      </c>
      <c r="H27" s="59">
        <v>31.6</v>
      </c>
      <c r="I27" s="59">
        <v>35.5</v>
      </c>
      <c r="J27" s="59">
        <v>42.5</v>
      </c>
      <c r="K27" s="59">
        <v>53.1</v>
      </c>
      <c r="L27" s="59">
        <v>66.7</v>
      </c>
      <c r="M27" s="75">
        <v>82.6</v>
      </c>
      <c r="O27" s="254" t="s">
        <v>105</v>
      </c>
      <c r="P27" s="255"/>
      <c r="Q27" s="256"/>
      <c r="R27" s="73">
        <v>70</v>
      </c>
      <c r="T27" s="96" t="str">
        <f>CONCATENATE(O27)</f>
        <v>BANCO</v>
      </c>
      <c r="U27" s="67">
        <f t="shared" si="0"/>
        <v>70</v>
      </c>
    </row>
    <row r="28" spans="2:21" x14ac:dyDescent="0.25">
      <c r="E28" s="74">
        <v>44</v>
      </c>
      <c r="F28" s="59">
        <v>31.7</v>
      </c>
      <c r="G28" s="59">
        <v>31.7</v>
      </c>
      <c r="H28" s="59">
        <v>33.4</v>
      </c>
      <c r="I28" s="59">
        <v>37.200000000000003</v>
      </c>
      <c r="J28" s="59">
        <v>44</v>
      </c>
      <c r="K28" s="59">
        <v>54.4</v>
      </c>
      <c r="L28" s="59">
        <v>67.599999999999994</v>
      </c>
      <c r="M28" s="75">
        <v>83.1</v>
      </c>
      <c r="O28" s="240" t="s">
        <v>106</v>
      </c>
      <c r="P28" s="241"/>
      <c r="Q28" s="242"/>
      <c r="R28" s="67">
        <v>50</v>
      </c>
      <c r="T28" s="96" t="str">
        <f>CONCATENATE(O28)</f>
        <v>HOTEL</v>
      </c>
      <c r="U28" s="67">
        <f t="shared" si="0"/>
        <v>50</v>
      </c>
    </row>
    <row r="29" spans="2:21" ht="15.75" thickBot="1" x14ac:dyDescent="0.3">
      <c r="E29" s="74">
        <v>46</v>
      </c>
      <c r="F29" s="59">
        <v>33.6</v>
      </c>
      <c r="G29" s="59">
        <v>33.6</v>
      </c>
      <c r="H29" s="59">
        <v>35.200000000000003</v>
      </c>
      <c r="I29" s="59">
        <v>38.9</v>
      </c>
      <c r="J29" s="59">
        <v>45.6</v>
      </c>
      <c r="K29" s="59">
        <v>55.6</v>
      </c>
      <c r="L29" s="59">
        <v>68.5</v>
      </c>
      <c r="M29" s="75">
        <v>83.5</v>
      </c>
      <c r="O29" s="243" t="s">
        <v>107</v>
      </c>
      <c r="P29" s="244"/>
      <c r="Q29" s="245"/>
      <c r="R29" s="69">
        <v>50</v>
      </c>
      <c r="T29" s="97" t="str">
        <f>CONCATENATE(O29)</f>
        <v>TEATRO</v>
      </c>
      <c r="U29" s="69">
        <f t="shared" si="0"/>
        <v>50</v>
      </c>
    </row>
    <row r="30" spans="2:21" x14ac:dyDescent="0.25">
      <c r="E30" s="74">
        <v>48</v>
      </c>
      <c r="F30" s="59">
        <v>35.6</v>
      </c>
      <c r="G30" s="59">
        <v>35.5</v>
      </c>
      <c r="H30" s="59">
        <v>37.1</v>
      </c>
      <c r="I30" s="59">
        <v>40.700000000000003</v>
      </c>
      <c r="J30" s="59">
        <v>47.2</v>
      </c>
      <c r="K30" s="59">
        <v>56.9</v>
      </c>
      <c r="L30" s="59">
        <v>69.400000000000006</v>
      </c>
      <c r="M30" s="75">
        <v>84</v>
      </c>
    </row>
    <row r="31" spans="2:21" x14ac:dyDescent="0.25">
      <c r="E31" s="74">
        <v>50</v>
      </c>
      <c r="F31" s="59">
        <v>37.5</v>
      </c>
      <c r="G31" s="59">
        <v>37.5</v>
      </c>
      <c r="H31" s="59">
        <v>39.1</v>
      </c>
      <c r="I31" s="59">
        <v>42.6</v>
      </c>
      <c r="J31" s="59">
        <v>48.8</v>
      </c>
      <c r="K31" s="59">
        <v>58.2</v>
      </c>
      <c r="L31" s="59">
        <v>70.400000000000006</v>
      </c>
      <c r="M31" s="75">
        <v>84.5</v>
      </c>
    </row>
    <row r="32" spans="2:21" x14ac:dyDescent="0.25">
      <c r="E32" s="74">
        <v>52</v>
      </c>
      <c r="F32" s="59">
        <v>39.5</v>
      </c>
      <c r="G32" s="59">
        <v>39.5</v>
      </c>
      <c r="H32" s="59">
        <v>41.9</v>
      </c>
      <c r="I32" s="59">
        <v>44</v>
      </c>
      <c r="J32" s="59">
        <v>50.5</v>
      </c>
      <c r="K32" s="59">
        <v>59.6</v>
      </c>
      <c r="L32" s="59">
        <v>71.3</v>
      </c>
      <c r="M32" s="75">
        <v>85</v>
      </c>
    </row>
    <row r="33" spans="5:13" x14ac:dyDescent="0.25">
      <c r="E33" s="74">
        <v>54</v>
      </c>
      <c r="F33" s="59">
        <v>41.6</v>
      </c>
      <c r="G33" s="59">
        <v>41.6</v>
      </c>
      <c r="H33" s="59">
        <v>43</v>
      </c>
      <c r="I33" s="59">
        <v>46.3</v>
      </c>
      <c r="J33" s="59">
        <v>52.1</v>
      </c>
      <c r="K33" s="59">
        <v>61</v>
      </c>
      <c r="L33" s="59">
        <v>72.3</v>
      </c>
      <c r="M33" s="75">
        <v>85.5</v>
      </c>
    </row>
    <row r="34" spans="5:13" x14ac:dyDescent="0.25">
      <c r="E34" s="74">
        <v>56</v>
      </c>
      <c r="F34" s="59">
        <v>43.7</v>
      </c>
      <c r="G34" s="59">
        <v>43.7</v>
      </c>
      <c r="H34" s="59">
        <v>45.1</v>
      </c>
      <c r="I34" s="59">
        <v>48.2</v>
      </c>
      <c r="J34" s="59">
        <v>53.9</v>
      </c>
      <c r="K34" s="59">
        <v>62.4</v>
      </c>
      <c r="L34" s="59">
        <v>73.3</v>
      </c>
      <c r="M34" s="75">
        <v>86</v>
      </c>
    </row>
    <row r="35" spans="5:13" x14ac:dyDescent="0.25">
      <c r="E35" s="74">
        <v>58</v>
      </c>
      <c r="F35" s="59">
        <v>45.8</v>
      </c>
      <c r="G35" s="59">
        <v>45.8</v>
      </c>
      <c r="H35" s="59">
        <v>47.2</v>
      </c>
      <c r="I35" s="59">
        <v>50.2</v>
      </c>
      <c r="J35" s="59">
        <v>55.6</v>
      </c>
      <c r="K35" s="59">
        <v>63.8</v>
      </c>
      <c r="L35" s="59">
        <v>74.3</v>
      </c>
      <c r="M35" s="75">
        <v>86.6</v>
      </c>
    </row>
    <row r="36" spans="5:13" x14ac:dyDescent="0.25">
      <c r="E36" s="74">
        <v>60</v>
      </c>
      <c r="F36" s="59">
        <v>48.8</v>
      </c>
      <c r="G36" s="59">
        <v>48.8</v>
      </c>
      <c r="H36" s="59">
        <v>49.3</v>
      </c>
      <c r="I36" s="59">
        <v>52.2</v>
      </c>
      <c r="J36" s="59">
        <v>57.4</v>
      </c>
      <c r="K36" s="59">
        <v>65.3</v>
      </c>
      <c r="L36" s="59">
        <v>75.3</v>
      </c>
      <c r="M36" s="75">
        <v>87.1</v>
      </c>
    </row>
    <row r="37" spans="5:13" x14ac:dyDescent="0.25">
      <c r="E37" s="74">
        <v>62</v>
      </c>
      <c r="F37" s="59">
        <v>50.2</v>
      </c>
      <c r="G37" s="59">
        <v>50.2</v>
      </c>
      <c r="H37" s="59">
        <v>51.5</v>
      </c>
      <c r="I37" s="59">
        <v>54.2</v>
      </c>
      <c r="J37" s="59">
        <v>59.2</v>
      </c>
      <c r="K37" s="59">
        <v>66.7</v>
      </c>
      <c r="L37" s="59">
        <v>75.400000000000006</v>
      </c>
      <c r="M37" s="75">
        <v>87.7</v>
      </c>
    </row>
    <row r="38" spans="5:13" x14ac:dyDescent="0.25">
      <c r="E38" s="74">
        <v>64</v>
      </c>
      <c r="F38" s="59">
        <v>52.5</v>
      </c>
      <c r="G38" s="59">
        <v>52.5</v>
      </c>
      <c r="H38" s="59">
        <v>53.7</v>
      </c>
      <c r="I38" s="59">
        <v>56.3</v>
      </c>
      <c r="J38" s="59">
        <v>61.1</v>
      </c>
      <c r="K38" s="59">
        <v>68.3</v>
      </c>
      <c r="L38" s="59">
        <v>77.5</v>
      </c>
      <c r="M38" s="75">
        <v>88.2</v>
      </c>
    </row>
    <row r="39" spans="5:13" x14ac:dyDescent="0.25">
      <c r="E39" s="74">
        <v>66</v>
      </c>
      <c r="F39" s="59">
        <v>54.8</v>
      </c>
      <c r="G39" s="59">
        <v>54.8</v>
      </c>
      <c r="H39" s="59">
        <v>55.9</v>
      </c>
      <c r="I39" s="59">
        <v>58.4</v>
      </c>
      <c r="J39" s="59">
        <v>69</v>
      </c>
      <c r="K39" s="59">
        <v>69.8</v>
      </c>
      <c r="L39" s="59">
        <v>78.599999999999994</v>
      </c>
      <c r="M39" s="75">
        <v>88.8</v>
      </c>
    </row>
    <row r="40" spans="5:13" x14ac:dyDescent="0.25">
      <c r="E40" s="74">
        <v>68</v>
      </c>
      <c r="F40" s="59">
        <v>57.1</v>
      </c>
      <c r="G40" s="59">
        <v>57.1</v>
      </c>
      <c r="H40" s="59">
        <v>58.2</v>
      </c>
      <c r="I40" s="59">
        <v>60.6</v>
      </c>
      <c r="J40" s="59">
        <v>64.900000000000006</v>
      </c>
      <c r="K40" s="59">
        <v>71.400000000000006</v>
      </c>
      <c r="L40" s="59">
        <v>79.7</v>
      </c>
      <c r="M40" s="75">
        <v>89.4</v>
      </c>
    </row>
    <row r="41" spans="5:13" x14ac:dyDescent="0.25">
      <c r="E41" s="74">
        <v>70</v>
      </c>
      <c r="F41" s="59">
        <v>59.5</v>
      </c>
      <c r="G41" s="59">
        <v>59.5</v>
      </c>
      <c r="H41" s="59">
        <v>60.5</v>
      </c>
      <c r="I41" s="59">
        <v>62.8</v>
      </c>
      <c r="J41" s="59">
        <v>66.8</v>
      </c>
      <c r="K41" s="59">
        <v>72.900000000000006</v>
      </c>
      <c r="L41" s="59">
        <v>80.8</v>
      </c>
      <c r="M41" s="75">
        <v>90.4</v>
      </c>
    </row>
    <row r="42" spans="5:13" x14ac:dyDescent="0.25">
      <c r="E42" s="74">
        <v>72</v>
      </c>
      <c r="F42" s="59">
        <v>62.2</v>
      </c>
      <c r="G42" s="59">
        <v>62.2</v>
      </c>
      <c r="H42" s="59">
        <v>62.9</v>
      </c>
      <c r="I42" s="59">
        <v>65</v>
      </c>
      <c r="J42" s="59">
        <v>68.8</v>
      </c>
      <c r="K42" s="59">
        <v>74.599999999999994</v>
      </c>
      <c r="L42" s="59">
        <v>81.900000000000006</v>
      </c>
      <c r="M42" s="75">
        <v>90.9</v>
      </c>
    </row>
    <row r="43" spans="5:13" x14ac:dyDescent="0.25">
      <c r="E43" s="74">
        <v>74</v>
      </c>
      <c r="F43" s="59">
        <v>64.400000000000006</v>
      </c>
      <c r="G43" s="59">
        <v>64.400000000000006</v>
      </c>
      <c r="H43" s="59">
        <v>65.3</v>
      </c>
      <c r="I43" s="59">
        <v>67.3</v>
      </c>
      <c r="J43" s="59">
        <v>70.8</v>
      </c>
      <c r="K43" s="59">
        <v>76.2</v>
      </c>
      <c r="L43" s="59">
        <v>83.1</v>
      </c>
      <c r="M43" s="75">
        <v>91.2</v>
      </c>
    </row>
    <row r="44" spans="5:13" x14ac:dyDescent="0.25">
      <c r="E44" s="74">
        <v>76</v>
      </c>
      <c r="F44" s="59">
        <v>66.900000000000006</v>
      </c>
      <c r="G44" s="59">
        <v>66.900000000000006</v>
      </c>
      <c r="H44" s="59">
        <v>67.7</v>
      </c>
      <c r="I44" s="59">
        <v>69.599999999999994</v>
      </c>
      <c r="J44" s="59">
        <v>72.900000000000006</v>
      </c>
      <c r="K44" s="59">
        <v>77.900000000000006</v>
      </c>
      <c r="L44" s="59">
        <v>84.3</v>
      </c>
      <c r="M44" s="75">
        <v>91.8</v>
      </c>
    </row>
    <row r="45" spans="5:13" x14ac:dyDescent="0.25">
      <c r="E45" s="74">
        <v>78</v>
      </c>
      <c r="F45" s="59">
        <v>69.400000000000006</v>
      </c>
      <c r="G45" s="59">
        <v>69.400000000000006</v>
      </c>
      <c r="H45" s="59">
        <v>72.2</v>
      </c>
      <c r="I45" s="59">
        <v>71.900000000000006</v>
      </c>
      <c r="J45" s="59">
        <v>74.900000000000006</v>
      </c>
      <c r="K45" s="59">
        <v>89.6</v>
      </c>
      <c r="L45" s="59">
        <v>85.5</v>
      </c>
      <c r="M45" s="75">
        <v>92.4</v>
      </c>
    </row>
    <row r="46" spans="5:13" x14ac:dyDescent="0.25">
      <c r="E46" s="74">
        <v>80</v>
      </c>
      <c r="F46" s="59">
        <v>72</v>
      </c>
      <c r="G46" s="59">
        <v>72</v>
      </c>
      <c r="H46" s="59">
        <v>72.7</v>
      </c>
      <c r="I46" s="59">
        <v>74.3</v>
      </c>
      <c r="J46" s="59">
        <v>77.099999999999994</v>
      </c>
      <c r="K46" s="59">
        <v>81.3</v>
      </c>
      <c r="L46" s="59">
        <v>86.7</v>
      </c>
      <c r="M46" s="75">
        <v>93.1</v>
      </c>
    </row>
    <row r="47" spans="5:13" x14ac:dyDescent="0.25">
      <c r="E47" s="74">
        <v>82</v>
      </c>
      <c r="F47" s="59">
        <v>74.599999999999994</v>
      </c>
      <c r="G47" s="59">
        <v>74.599999999999994</v>
      </c>
      <c r="H47" s="59">
        <v>75.3</v>
      </c>
      <c r="I47" s="59">
        <v>76.7</v>
      </c>
      <c r="J47" s="59">
        <v>79.2</v>
      </c>
      <c r="K47" s="59">
        <v>83</v>
      </c>
      <c r="L47" s="59">
        <v>88</v>
      </c>
      <c r="M47" s="75">
        <v>93.7</v>
      </c>
    </row>
    <row r="48" spans="5:13" x14ac:dyDescent="0.25">
      <c r="E48" s="74">
        <v>84</v>
      </c>
      <c r="F48" s="59">
        <v>77.3</v>
      </c>
      <c r="G48" s="59">
        <v>77.3</v>
      </c>
      <c r="H48" s="59">
        <v>77.8</v>
      </c>
      <c r="I48" s="59">
        <v>79.099999999999994</v>
      </c>
      <c r="J48" s="59">
        <v>81.400000000000006</v>
      </c>
      <c r="K48" s="59">
        <v>84.5</v>
      </c>
      <c r="L48" s="59">
        <v>89.2</v>
      </c>
      <c r="M48" s="75">
        <v>94.4</v>
      </c>
    </row>
    <row r="49" spans="5:13" x14ac:dyDescent="0.25">
      <c r="E49" s="74">
        <v>86</v>
      </c>
      <c r="F49" s="59">
        <v>80</v>
      </c>
      <c r="G49" s="59">
        <v>80</v>
      </c>
      <c r="H49" s="59">
        <v>80.5</v>
      </c>
      <c r="I49" s="59">
        <v>81.599999999999994</v>
      </c>
      <c r="J49" s="59">
        <v>83.6</v>
      </c>
      <c r="K49" s="59">
        <v>86.6</v>
      </c>
      <c r="L49" s="59">
        <v>90.5</v>
      </c>
      <c r="M49" s="75">
        <v>95</v>
      </c>
    </row>
    <row r="50" spans="5:13" x14ac:dyDescent="0.25">
      <c r="E50" s="74">
        <v>88</v>
      </c>
      <c r="F50" s="59">
        <v>82.7</v>
      </c>
      <c r="G50" s="59">
        <v>82.7</v>
      </c>
      <c r="H50" s="59">
        <v>83.2</v>
      </c>
      <c r="I50" s="59">
        <v>84.1</v>
      </c>
      <c r="J50" s="59">
        <v>85.8</v>
      </c>
      <c r="K50" s="59">
        <v>88.5</v>
      </c>
      <c r="L50" s="59">
        <v>91.8</v>
      </c>
      <c r="M50" s="75">
        <v>95.7</v>
      </c>
    </row>
    <row r="51" spans="5:13" x14ac:dyDescent="0.25">
      <c r="E51" s="74">
        <v>90</v>
      </c>
      <c r="F51" s="59">
        <v>85.5</v>
      </c>
      <c r="G51" s="59">
        <v>85.5</v>
      </c>
      <c r="H51" s="59">
        <v>85.9</v>
      </c>
      <c r="I51" s="59">
        <v>86.7</v>
      </c>
      <c r="J51" s="59">
        <v>88.1</v>
      </c>
      <c r="K51" s="59">
        <v>90.3</v>
      </c>
      <c r="L51" s="59">
        <v>93.1</v>
      </c>
      <c r="M51" s="75">
        <v>96.4</v>
      </c>
    </row>
    <row r="52" spans="5:13" x14ac:dyDescent="0.25">
      <c r="E52" s="74">
        <v>92</v>
      </c>
      <c r="F52" s="59">
        <v>88.3</v>
      </c>
      <c r="G52" s="59">
        <v>88.3</v>
      </c>
      <c r="H52" s="59">
        <v>88.6</v>
      </c>
      <c r="I52" s="59">
        <v>89.3</v>
      </c>
      <c r="J52" s="59">
        <v>90.4</v>
      </c>
      <c r="K52" s="59">
        <v>92.2</v>
      </c>
      <c r="L52" s="59">
        <v>94.5</v>
      </c>
      <c r="M52" s="75">
        <v>97.1</v>
      </c>
    </row>
    <row r="53" spans="5:13" x14ac:dyDescent="0.25">
      <c r="E53" s="74">
        <v>94</v>
      </c>
      <c r="F53" s="59">
        <v>91.2</v>
      </c>
      <c r="G53" s="59">
        <v>91.2</v>
      </c>
      <c r="H53" s="59">
        <v>91.4</v>
      </c>
      <c r="I53" s="59">
        <v>91.9</v>
      </c>
      <c r="J53" s="59">
        <v>92.8</v>
      </c>
      <c r="K53" s="59">
        <v>94.1</v>
      </c>
      <c r="L53" s="59">
        <v>95.8</v>
      </c>
      <c r="M53" s="75">
        <v>97.8</v>
      </c>
    </row>
    <row r="54" spans="5:13" x14ac:dyDescent="0.25">
      <c r="E54" s="74">
        <v>96</v>
      </c>
      <c r="F54" s="59">
        <v>94.1</v>
      </c>
      <c r="G54" s="59">
        <v>94.1</v>
      </c>
      <c r="H54" s="59">
        <v>94.2</v>
      </c>
      <c r="I54" s="59">
        <v>94.6</v>
      </c>
      <c r="J54" s="59">
        <v>95.1</v>
      </c>
      <c r="K54" s="59">
        <v>96</v>
      </c>
      <c r="L54" s="59">
        <v>97.2</v>
      </c>
      <c r="M54" s="75">
        <v>98.5</v>
      </c>
    </row>
    <row r="55" spans="5:13" x14ac:dyDescent="0.25">
      <c r="E55" s="74">
        <v>98</v>
      </c>
      <c r="F55" s="59">
        <v>97</v>
      </c>
      <c r="G55" s="59">
        <v>97</v>
      </c>
      <c r="H55" s="59">
        <v>97.1</v>
      </c>
      <c r="I55" s="59">
        <v>97.3</v>
      </c>
      <c r="J55" s="59">
        <v>97.6</v>
      </c>
      <c r="K55" s="59">
        <v>98</v>
      </c>
      <c r="L55" s="59">
        <v>98</v>
      </c>
      <c r="M55" s="75">
        <v>99.8</v>
      </c>
    </row>
    <row r="56" spans="5:13" ht="15.75" thickBot="1" x14ac:dyDescent="0.3">
      <c r="E56" s="76">
        <v>100</v>
      </c>
      <c r="F56" s="77">
        <v>100</v>
      </c>
      <c r="G56" s="77">
        <v>100</v>
      </c>
      <c r="H56" s="77">
        <v>100</v>
      </c>
      <c r="I56" s="77">
        <v>100</v>
      </c>
      <c r="J56" s="77">
        <v>100</v>
      </c>
      <c r="K56" s="77">
        <v>100</v>
      </c>
      <c r="L56" s="77">
        <v>100</v>
      </c>
      <c r="M56" s="78">
        <v>100</v>
      </c>
    </row>
  </sheetData>
  <mergeCells count="27">
    <mergeCell ref="B2:C3"/>
    <mergeCell ref="E2:M3"/>
    <mergeCell ref="O2:R2"/>
    <mergeCell ref="O3:R3"/>
    <mergeCell ref="P19:P21"/>
    <mergeCell ref="P18:Q18"/>
    <mergeCell ref="P17:Q17"/>
    <mergeCell ref="P14:P16"/>
    <mergeCell ref="P12:P13"/>
    <mergeCell ref="O6:O13"/>
    <mergeCell ref="P8:P11"/>
    <mergeCell ref="P6:P7"/>
    <mergeCell ref="E5:E6"/>
    <mergeCell ref="F5:M5"/>
    <mergeCell ref="B18:C18"/>
    <mergeCell ref="C19:C20"/>
    <mergeCell ref="C22:C23"/>
    <mergeCell ref="O28:Q28"/>
    <mergeCell ref="O29:Q29"/>
    <mergeCell ref="O25:O26"/>
    <mergeCell ref="O14:O17"/>
    <mergeCell ref="O18:O24"/>
    <mergeCell ref="P26:Q26"/>
    <mergeCell ref="P25:Q25"/>
    <mergeCell ref="P24:Q24"/>
    <mergeCell ref="P22:P23"/>
    <mergeCell ref="O27:Q27"/>
  </mergeCells>
  <dataValidations count="2">
    <dataValidation type="list" allowBlank="1" showInputMessage="1" showErrorMessage="1" sqref="B20">
      <formula1>$B$6:$B$14</formula1>
    </dataValidation>
    <dataValidation type="list" allowBlank="1" showInputMessage="1" showErrorMessage="1" sqref="B23">
      <formula1>$T$6:$T$29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opLeftCell="A18" zoomScale="70" zoomScaleNormal="70" workbookViewId="0">
      <selection activeCell="E28" sqref="E28"/>
    </sheetView>
  </sheetViews>
  <sheetFormatPr defaultRowHeight="15" x14ac:dyDescent="0.25"/>
  <cols>
    <col min="1" max="1" width="9.140625" style="4"/>
    <col min="2" max="2" width="50.28515625" style="4" customWidth="1"/>
    <col min="3" max="4" width="9.140625" style="4"/>
    <col min="5" max="5" width="44.28515625" style="4" customWidth="1"/>
    <col min="6" max="16384" width="9.140625" style="4"/>
  </cols>
  <sheetData>
    <row r="1" spans="2:6" ht="15.75" thickBot="1" x14ac:dyDescent="0.3"/>
    <row r="2" spans="2:6" ht="26.25" customHeight="1" thickBot="1" x14ac:dyDescent="0.3">
      <c r="B2" s="276" t="s">
        <v>182</v>
      </c>
      <c r="C2" s="277"/>
      <c r="D2" s="277"/>
      <c r="E2" s="277"/>
      <c r="F2" s="278"/>
    </row>
    <row r="3" spans="2:6" ht="15.75" thickBot="1" x14ac:dyDescent="0.3">
      <c r="B3" s="10"/>
      <c r="C3" s="12"/>
      <c r="D3" s="12"/>
      <c r="E3" s="12"/>
      <c r="F3" s="11"/>
    </row>
    <row r="4" spans="2:6" ht="15" customHeight="1" x14ac:dyDescent="0.25">
      <c r="B4" s="279" t="s">
        <v>172</v>
      </c>
      <c r="C4" s="280"/>
      <c r="D4" s="12"/>
      <c r="E4" s="279" t="s">
        <v>180</v>
      </c>
      <c r="F4" s="280"/>
    </row>
    <row r="5" spans="2:6" ht="22.5" customHeight="1" thickBot="1" x14ac:dyDescent="0.3">
      <c r="B5" s="263"/>
      <c r="C5" s="265"/>
      <c r="D5" s="12"/>
      <c r="E5" s="263"/>
      <c r="F5" s="265"/>
    </row>
    <row r="6" spans="2:6" ht="15.75" thickBot="1" x14ac:dyDescent="0.3">
      <c r="B6" s="10"/>
      <c r="C6" s="12"/>
      <c r="D6" s="12"/>
      <c r="E6" s="12"/>
      <c r="F6" s="11"/>
    </row>
    <row r="7" spans="2:6" ht="15.75" thickBot="1" x14ac:dyDescent="0.3">
      <c r="B7" s="70" t="s">
        <v>161</v>
      </c>
      <c r="C7" s="72" t="s">
        <v>147</v>
      </c>
      <c r="D7" s="12"/>
      <c r="E7" s="70" t="s">
        <v>146</v>
      </c>
      <c r="F7" s="72" t="s">
        <v>147</v>
      </c>
    </row>
    <row r="8" spans="2:6" x14ac:dyDescent="0.25">
      <c r="B8" s="95" t="s">
        <v>162</v>
      </c>
      <c r="C8" s="126">
        <v>1</v>
      </c>
      <c r="D8" s="12"/>
      <c r="E8" s="95" t="s">
        <v>148</v>
      </c>
      <c r="F8" s="126">
        <v>1</v>
      </c>
    </row>
    <row r="9" spans="2:6" x14ac:dyDescent="0.25">
      <c r="B9" s="96" t="s">
        <v>163</v>
      </c>
      <c r="C9" s="127">
        <v>0.9</v>
      </c>
      <c r="D9" s="12"/>
      <c r="E9" s="96" t="s">
        <v>149</v>
      </c>
      <c r="F9" s="127">
        <v>0.95</v>
      </c>
    </row>
    <row r="10" spans="2:6" x14ac:dyDescent="0.25">
      <c r="B10" s="96" t="s">
        <v>164</v>
      </c>
      <c r="C10" s="127">
        <v>0.8</v>
      </c>
      <c r="D10" s="12"/>
      <c r="E10" s="96" t="s">
        <v>150</v>
      </c>
      <c r="F10" s="127">
        <v>0.9</v>
      </c>
    </row>
    <row r="11" spans="2:6" x14ac:dyDescent="0.25">
      <c r="B11" s="96" t="s">
        <v>165</v>
      </c>
      <c r="C11" s="127">
        <v>0.7</v>
      </c>
      <c r="D11" s="12"/>
      <c r="E11" s="96" t="s">
        <v>151</v>
      </c>
      <c r="F11" s="127">
        <v>0.8</v>
      </c>
    </row>
    <row r="12" spans="2:6" ht="15.75" thickBot="1" x14ac:dyDescent="0.3">
      <c r="B12" s="97" t="s">
        <v>166</v>
      </c>
      <c r="C12" s="128">
        <v>0.6</v>
      </c>
      <c r="D12" s="12"/>
      <c r="E12" s="96" t="s">
        <v>152</v>
      </c>
      <c r="F12" s="127">
        <v>0.7</v>
      </c>
    </row>
    <row r="13" spans="2:6" ht="15.75" thickBot="1" x14ac:dyDescent="0.3">
      <c r="B13" s="10"/>
      <c r="C13" s="12"/>
      <c r="D13" s="12"/>
      <c r="E13" s="96" t="s">
        <v>153</v>
      </c>
      <c r="F13" s="127">
        <v>0.95</v>
      </c>
    </row>
    <row r="14" spans="2:6" ht="15" customHeight="1" x14ac:dyDescent="0.25">
      <c r="B14" s="279" t="s">
        <v>173</v>
      </c>
      <c r="C14" s="280"/>
      <c r="D14" s="12"/>
      <c r="E14" s="96" t="s">
        <v>154</v>
      </c>
      <c r="F14" s="127">
        <v>0.9</v>
      </c>
    </row>
    <row r="15" spans="2:6" ht="15.75" customHeight="1" thickBot="1" x14ac:dyDescent="0.3">
      <c r="B15" s="263"/>
      <c r="C15" s="265"/>
      <c r="D15" s="12"/>
      <c r="E15" s="97" t="s">
        <v>155</v>
      </c>
      <c r="F15" s="128">
        <v>0.85</v>
      </c>
    </row>
    <row r="16" spans="2:6" ht="15.75" thickBot="1" x14ac:dyDescent="0.3">
      <c r="B16" s="10"/>
      <c r="C16" s="12"/>
      <c r="D16" s="12"/>
      <c r="E16" s="12"/>
      <c r="F16" s="11"/>
    </row>
    <row r="17" spans="2:6" ht="16.5" customHeight="1" thickBot="1" x14ac:dyDescent="0.3">
      <c r="B17" s="70" t="s">
        <v>174</v>
      </c>
      <c r="C17" s="72" t="s">
        <v>147</v>
      </c>
      <c r="D17" s="12"/>
      <c r="E17" s="279" t="s">
        <v>181</v>
      </c>
      <c r="F17" s="280"/>
    </row>
    <row r="18" spans="2:6" ht="15.75" thickBot="1" x14ac:dyDescent="0.3">
      <c r="B18" s="95" t="s">
        <v>175</v>
      </c>
      <c r="C18" s="126">
        <v>1.1000000000000001</v>
      </c>
      <c r="D18" s="12"/>
      <c r="E18" s="263"/>
      <c r="F18" s="265"/>
    </row>
    <row r="19" spans="2:6" ht="15.75" thickBot="1" x14ac:dyDescent="0.3">
      <c r="B19" s="96" t="s">
        <v>176</v>
      </c>
      <c r="C19" s="127">
        <v>1.1000000000000001</v>
      </c>
      <c r="D19" s="12"/>
      <c r="E19" s="12"/>
      <c r="F19" s="11"/>
    </row>
    <row r="20" spans="2:6" ht="15.75" thickBot="1" x14ac:dyDescent="0.3">
      <c r="B20" s="97" t="s">
        <v>177</v>
      </c>
      <c r="C20" s="128">
        <v>1.05</v>
      </c>
      <c r="D20" s="12"/>
      <c r="E20" s="70" t="s">
        <v>146</v>
      </c>
      <c r="F20" s="72" t="s">
        <v>147</v>
      </c>
    </row>
    <row r="21" spans="2:6" ht="15.75" thickBot="1" x14ac:dyDescent="0.3">
      <c r="B21" s="10"/>
      <c r="C21" s="12"/>
      <c r="D21" s="12"/>
      <c r="E21" s="96" t="s">
        <v>156</v>
      </c>
      <c r="F21" s="127">
        <v>1</v>
      </c>
    </row>
    <row r="22" spans="2:6" ht="16.5" thickBot="1" x14ac:dyDescent="0.3">
      <c r="B22" s="117" t="s">
        <v>167</v>
      </c>
      <c r="C22" s="118"/>
      <c r="D22" s="12"/>
      <c r="E22" s="96" t="s">
        <v>157</v>
      </c>
      <c r="F22" s="127">
        <v>0.9</v>
      </c>
    </row>
    <row r="23" spans="2:6" ht="15" customHeight="1" x14ac:dyDescent="0.25">
      <c r="B23" s="122" t="s">
        <v>168</v>
      </c>
      <c r="C23" s="11"/>
      <c r="D23" s="12"/>
      <c r="E23" s="96" t="s">
        <v>158</v>
      </c>
      <c r="F23" s="127">
        <v>0.8</v>
      </c>
    </row>
    <row r="24" spans="2:6" ht="15.75" customHeight="1" x14ac:dyDescent="0.25">
      <c r="B24" s="121" t="s">
        <v>148</v>
      </c>
      <c r="C24" s="124">
        <f>IFERROR(VLOOKUP(B24,E8:F24,2,FALSE),"")</f>
        <v>1</v>
      </c>
      <c r="D24" s="12"/>
      <c r="E24" s="96" t="s">
        <v>159</v>
      </c>
      <c r="F24" s="127">
        <v>1</v>
      </c>
    </row>
    <row r="25" spans="2:6" ht="15.75" thickBot="1" x14ac:dyDescent="0.3">
      <c r="B25" s="119" t="s">
        <v>170</v>
      </c>
      <c r="C25" s="120"/>
      <c r="D25" s="12"/>
      <c r="E25" s="97" t="s">
        <v>160</v>
      </c>
      <c r="F25" s="128">
        <v>0.9</v>
      </c>
    </row>
    <row r="26" spans="2:6" x14ac:dyDescent="0.25">
      <c r="B26" s="121" t="s">
        <v>156</v>
      </c>
      <c r="C26" s="124">
        <f>IFERROR(VLOOKUP(B26,E8:F24,2,FALSE),"")</f>
        <v>1</v>
      </c>
      <c r="D26" s="12"/>
      <c r="E26" s="12"/>
      <c r="F26" s="11"/>
    </row>
    <row r="27" spans="2:6" x14ac:dyDescent="0.25">
      <c r="B27" s="119" t="s">
        <v>169</v>
      </c>
      <c r="C27" s="120"/>
      <c r="D27" s="12"/>
      <c r="E27" s="12"/>
      <c r="F27" s="11"/>
    </row>
    <row r="28" spans="2:6" x14ac:dyDescent="0.25">
      <c r="B28" s="123" t="s">
        <v>165</v>
      </c>
      <c r="C28" s="125">
        <f>IFERROR(VLOOKUP(B28,B8:C12,2,FALSE),"")</f>
        <v>0.7</v>
      </c>
      <c r="D28" s="12"/>
      <c r="E28" s="12"/>
      <c r="F28" s="11"/>
    </row>
    <row r="29" spans="2:6" x14ac:dyDescent="0.25">
      <c r="B29" s="130" t="s">
        <v>179</v>
      </c>
      <c r="C29" s="132">
        <v>1</v>
      </c>
      <c r="D29" s="12"/>
      <c r="E29" s="12"/>
      <c r="F29" s="11"/>
    </row>
    <row r="30" spans="2:6" x14ac:dyDescent="0.25">
      <c r="B30" s="131" t="s">
        <v>183</v>
      </c>
      <c r="C30" s="11"/>
      <c r="D30" s="12"/>
      <c r="E30" s="12"/>
      <c r="F30" s="11"/>
    </row>
    <row r="31" spans="2:6" ht="15.75" thickBot="1" x14ac:dyDescent="0.3">
      <c r="B31" s="123"/>
      <c r="C31" s="125">
        <f>IF(C29&gt;1,VLOOKUP(B31,B18:C20,2,FALSE),1)</f>
        <v>1</v>
      </c>
      <c r="D31" s="12"/>
      <c r="E31" s="12"/>
      <c r="F31" s="11"/>
    </row>
    <row r="32" spans="2:6" ht="15.75" thickBot="1" x14ac:dyDescent="0.3">
      <c r="B32" s="134" t="s">
        <v>171</v>
      </c>
      <c r="C32" s="133">
        <f>C28*C26*C24*C31</f>
        <v>0.7</v>
      </c>
      <c r="D32" s="129" t="s">
        <v>178</v>
      </c>
      <c r="E32" s="12"/>
      <c r="F32" s="11"/>
    </row>
    <row r="33" spans="2:6" ht="15.75" thickBot="1" x14ac:dyDescent="0.3">
      <c r="B33" s="17"/>
      <c r="C33" s="18"/>
      <c r="D33" s="18"/>
      <c r="E33" s="18"/>
      <c r="F33" s="20"/>
    </row>
  </sheetData>
  <mergeCells count="5">
    <mergeCell ref="B2:F2"/>
    <mergeCell ref="B4:C5"/>
    <mergeCell ref="E4:F5"/>
    <mergeCell ref="B14:C15"/>
    <mergeCell ref="E17:F18"/>
  </mergeCells>
  <dataValidations count="4">
    <dataValidation type="list" allowBlank="1" showInputMessage="1" showErrorMessage="1" sqref="B28">
      <formula1>$B$8:$B$12</formula1>
    </dataValidation>
    <dataValidation type="list" allowBlank="1" showInputMessage="1" showErrorMessage="1" sqref="B24">
      <formula1>$E$8:$E$15</formula1>
    </dataValidation>
    <dataValidation type="list" allowBlank="1" showInputMessage="1" showErrorMessage="1" sqref="B31">
      <formula1>$B$18:$B$20</formula1>
    </dataValidation>
    <dataValidation type="list" allowBlank="1" showInputMessage="1" showErrorMessage="1" sqref="B26">
      <formula1>$E$21:$E$25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IA edificado e Rs edificados</vt:lpstr>
      <vt:lpstr>IA terreno e Rs terrenos</vt:lpstr>
      <vt:lpstr>IA edificado e Rs terrenos</vt:lpstr>
      <vt:lpstr>IA terreno e Rs edificados</vt:lpstr>
      <vt:lpstr>Tabela Ross-Heidecke</vt:lpstr>
      <vt:lpstr>Tabelas de Fatores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Denis</cp:lastModifiedBy>
  <cp:lastPrinted>2013-08-21T13:26:01Z</cp:lastPrinted>
  <dcterms:created xsi:type="dcterms:W3CDTF">2011-02-17T22:37:05Z</dcterms:created>
  <dcterms:modified xsi:type="dcterms:W3CDTF">2021-04-27T05:01:36Z</dcterms:modified>
</cp:coreProperties>
</file>