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choch\OneDrive\Рабочий стол\campus finance\campus homework\equity research\done\"/>
    </mc:Choice>
  </mc:AlternateContent>
  <xr:revisionPtr revIDLastSave="0" documentId="13_ncr:1_{1B7DC9DF-7619-4AD6-9E36-F7D55B17E80B}" xr6:coauthVersionLast="47" xr6:coauthVersionMax="47" xr10:uidLastSave="{00000000-0000-0000-0000-000000000000}"/>
  <bookViews>
    <workbookView xWindow="-108" yWindow="-108" windowWidth="23256" windowHeight="12456" xr2:uid="{00000000-000D-0000-FFFF-FFFF00000000}"/>
  </bookViews>
  <sheets>
    <sheet name="Title" sheetId="3" r:id="rId1"/>
    <sheet name="Control" sheetId="4" r:id="rId2"/>
    <sheet name="Inputs" sheetId="5" r:id="rId3"/>
    <sheet name="Calculation" sheetId="2" r:id="rId4"/>
    <sheet name="Valuation" sheetId="6" r:id="rId5"/>
    <sheet name="Peers" sheetId="13" r:id="rId6"/>
    <sheet name="IS" sheetId="8" r:id="rId7"/>
    <sheet name="BS" sheetId="9" r:id="rId8"/>
    <sheet name="CFS" sheetId="10" r:id="rId9"/>
    <sheet name="Handouts" sheetId="11" r:id="rId10"/>
    <sheet name="Damodaran" sheetId="12" r:id="rId11"/>
  </sheets>
  <definedNames>
    <definedName name="Sens_CAPEX" localSheetId="7">Control!#REF!</definedName>
    <definedName name="Sens_CAPEX" localSheetId="8">Control!#REF!</definedName>
    <definedName name="Sens_CAPEX" localSheetId="6">Control!#REF!</definedName>
    <definedName name="Sens_CAPEX">Control!#REF!</definedName>
    <definedName name="Sens_Coal_Price" localSheetId="7">Control!#REF!</definedName>
    <definedName name="Sens_Coal_Price" localSheetId="8">Control!#REF!</definedName>
    <definedName name="Sens_Coal_Price" localSheetId="6">Control!#REF!</definedName>
    <definedName name="Sens_Coal_Price">Control!#REF!</definedName>
    <definedName name="Sens_FX" localSheetId="7">Control!#REF!</definedName>
    <definedName name="Sens_FX" localSheetId="8">Control!#REF!</definedName>
    <definedName name="Sens_FX" localSheetId="6">Control!#REF!</definedName>
    <definedName name="Sens_FX">Control!#REF!</definedName>
    <definedName name="Sens_OPEX" localSheetId="7">Control!#REF!</definedName>
    <definedName name="Sens_OPEX" localSheetId="8">Control!#REF!</definedName>
    <definedName name="Sens_OPEX" localSheetId="6">Control!#REF!</definedName>
    <definedName name="Sens_OPEX">Control!#REF!</definedName>
    <definedName name="Sens_Production" localSheetId="7">Control!#REF!</definedName>
    <definedName name="Sens_Production" localSheetId="8">Control!#REF!</definedName>
    <definedName name="Sens_Production" localSheetId="6">Control!#REF!</definedName>
    <definedName name="Sens_Production">Control!#REF!</definedName>
    <definedName name="Sens_WACC" localSheetId="7">Control!#REF!</definedName>
    <definedName name="Sens_WACC" localSheetId="8">Control!#REF!</definedName>
    <definedName name="Sens_WACC" localSheetId="6">Control!#REF!</definedName>
    <definedName name="Sens_WACC">Control!#REF!</definedName>
    <definedName name="Time">Inputs!$G$3:$S$3</definedName>
    <definedName name="_xlnm.Print_Titles" localSheetId="10">Damodaran!$8:$8</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7" i="11" l="1"/>
  <c r="E17" i="11"/>
  <c r="C17" i="11"/>
  <c r="F70" i="5"/>
  <c r="F68" i="5"/>
  <c r="F79" i="5"/>
  <c r="F84" i="6"/>
  <c r="F82" i="6"/>
  <c r="F93" i="6"/>
  <c r="F91" i="6"/>
  <c r="F16" i="11" l="1"/>
  <c r="E16" i="11"/>
  <c r="C16" i="11"/>
  <c r="D31" i="11"/>
  <c r="E31" i="11"/>
  <c r="F31" i="11"/>
  <c r="G31" i="11"/>
  <c r="H31" i="11"/>
  <c r="I31" i="11"/>
  <c r="J31" i="11"/>
  <c r="K31" i="11"/>
  <c r="L31" i="11"/>
  <c r="M31" i="11"/>
  <c r="C31" i="11"/>
  <c r="D25" i="11"/>
  <c r="E25" i="11"/>
  <c r="F25" i="11"/>
  <c r="G25" i="11"/>
  <c r="H25" i="11"/>
  <c r="I25" i="11"/>
  <c r="J25" i="11"/>
  <c r="K25" i="11"/>
  <c r="L25" i="11"/>
  <c r="M25" i="11"/>
  <c r="C25" i="11"/>
  <c r="F62" i="6"/>
  <c r="F61" i="6"/>
  <c r="F73" i="6"/>
  <c r="M16" i="9" l="1"/>
  <c r="F56" i="6"/>
  <c r="F58" i="6"/>
  <c r="F57" i="6"/>
  <c r="K35" i="6"/>
  <c r="L35" i="6"/>
  <c r="M35" i="6"/>
  <c r="N35" i="6"/>
  <c r="O35" i="6"/>
  <c r="P35" i="6"/>
  <c r="Q35" i="6"/>
  <c r="G35" i="6"/>
  <c r="H32" i="2"/>
  <c r="I32" i="2"/>
  <c r="J32" i="2"/>
  <c r="K32" i="2"/>
  <c r="L32" i="2"/>
  <c r="M32" i="2"/>
  <c r="N32" i="2"/>
  <c r="O32" i="2"/>
  <c r="P32" i="2"/>
  <c r="Q32" i="2"/>
  <c r="I37" i="2"/>
  <c r="I35" i="6" s="1"/>
  <c r="H37" i="2"/>
  <c r="H35" i="6" s="1"/>
  <c r="G32" i="2"/>
  <c r="H21" i="10" l="1"/>
  <c r="G46" i="9"/>
  <c r="H31" i="9" l="1"/>
  <c r="I31" i="9" s="1"/>
  <c r="J31" i="9" s="1"/>
  <c r="K31" i="9" s="1"/>
  <c r="L31" i="9" s="1"/>
  <c r="M31" i="9" s="1"/>
  <c r="N31" i="9" s="1"/>
  <c r="O31" i="9" s="1"/>
  <c r="P31" i="9" s="1"/>
  <c r="Q31" i="9" s="1"/>
  <c r="H30" i="9"/>
  <c r="I30" i="9" s="1"/>
  <c r="J30" i="9" s="1"/>
  <c r="K30" i="9" s="1"/>
  <c r="L30" i="9" s="1"/>
  <c r="M30" i="9" s="1"/>
  <c r="N30" i="9" s="1"/>
  <c r="O30" i="9" s="1"/>
  <c r="P30" i="9" s="1"/>
  <c r="Q30" i="9" s="1"/>
  <c r="H29" i="9"/>
  <c r="I29" i="9" s="1"/>
  <c r="J29" i="9" s="1"/>
  <c r="K29" i="9" s="1"/>
  <c r="L29" i="9" s="1"/>
  <c r="M29" i="9" s="1"/>
  <c r="N29" i="9" s="1"/>
  <c r="O29" i="9" s="1"/>
  <c r="P29" i="9" s="1"/>
  <c r="Q29" i="9" s="1"/>
  <c r="H23" i="9"/>
  <c r="I23" i="9" s="1"/>
  <c r="J23" i="9" s="1"/>
  <c r="K23" i="9" s="1"/>
  <c r="L23" i="9" s="1"/>
  <c r="M23" i="9" s="1"/>
  <c r="N23" i="9" s="1"/>
  <c r="P23" i="9" s="1"/>
  <c r="Q23" i="9" s="1"/>
  <c r="H22" i="9"/>
  <c r="I22" i="9" s="1"/>
  <c r="J22" i="9" s="1"/>
  <c r="K22" i="9" s="1"/>
  <c r="L22" i="9" s="1"/>
  <c r="M22" i="9" s="1"/>
  <c r="N22" i="9" s="1"/>
  <c r="O22" i="9" s="1"/>
  <c r="P22" i="9" s="1"/>
  <c r="Q22" i="9" s="1"/>
  <c r="H21" i="9"/>
  <c r="I21" i="9" s="1"/>
  <c r="J21" i="9" s="1"/>
  <c r="K21" i="9" s="1"/>
  <c r="L21" i="9" s="1"/>
  <c r="M21" i="9" s="1"/>
  <c r="N21" i="9" s="1"/>
  <c r="O21" i="9" s="1"/>
  <c r="P21" i="9" s="1"/>
  <c r="Q21" i="9" s="1"/>
  <c r="H20" i="9"/>
  <c r="I20" i="9" s="1"/>
  <c r="J20" i="9" s="1"/>
  <c r="K20" i="9" s="1"/>
  <c r="L20" i="9" s="1"/>
  <c r="M20" i="9" s="1"/>
  <c r="N20" i="9" s="1"/>
  <c r="O20" i="9" s="1"/>
  <c r="P20" i="9" s="1"/>
  <c r="Q20" i="9" s="1"/>
  <c r="H19" i="9"/>
  <c r="I19" i="9" s="1"/>
  <c r="J19" i="9" s="1"/>
  <c r="K19" i="9" s="1"/>
  <c r="L19" i="9" s="1"/>
  <c r="M19" i="9" s="1"/>
  <c r="N19" i="9" s="1"/>
  <c r="O19" i="9" s="1"/>
  <c r="P19" i="9" s="1"/>
  <c r="Q19" i="9" s="1"/>
  <c r="H18" i="9"/>
  <c r="I18" i="9" s="1"/>
  <c r="J18" i="9" s="1"/>
  <c r="K18" i="9" s="1"/>
  <c r="L18" i="9" s="1"/>
  <c r="M18" i="9" s="1"/>
  <c r="N18" i="9" s="1"/>
  <c r="O18" i="9" s="1"/>
  <c r="P18" i="9" s="1"/>
  <c r="Q18" i="9" s="1"/>
  <c r="H17" i="9"/>
  <c r="I17" i="9" s="1"/>
  <c r="J17" i="9" s="1"/>
  <c r="H12" i="9"/>
  <c r="I12" i="9" s="1"/>
  <c r="J12" i="9" s="1"/>
  <c r="K12" i="9" s="1"/>
  <c r="L12" i="9" s="1"/>
  <c r="M12" i="9" s="1"/>
  <c r="N12" i="9" s="1"/>
  <c r="O12" i="9" s="1"/>
  <c r="P12" i="9" s="1"/>
  <c r="Q12" i="9" s="1"/>
  <c r="H10" i="9"/>
  <c r="I10" i="9" s="1"/>
  <c r="J10" i="9" s="1"/>
  <c r="K10" i="9" s="1"/>
  <c r="L10" i="9" s="1"/>
  <c r="M10" i="9" s="1"/>
  <c r="N10" i="9" s="1"/>
  <c r="O10" i="9" s="1"/>
  <c r="P10" i="9" s="1"/>
  <c r="Q10" i="9" s="1"/>
  <c r="H37" i="5"/>
  <c r="G27" i="8"/>
  <c r="Q82" i="5"/>
  <c r="Q28" i="8" s="1"/>
  <c r="I82" i="5"/>
  <c r="I28" i="8" s="1"/>
  <c r="J82" i="5"/>
  <c r="J28" i="8" s="1"/>
  <c r="K82" i="5"/>
  <c r="K28" i="8" s="1"/>
  <c r="L82" i="5"/>
  <c r="L28" i="8" s="1"/>
  <c r="M82" i="5"/>
  <c r="M28" i="8" s="1"/>
  <c r="N82" i="5"/>
  <c r="N28" i="8" s="1"/>
  <c r="O82" i="5"/>
  <c r="O28" i="8" s="1"/>
  <c r="P82" i="5"/>
  <c r="P28" i="8" s="1"/>
  <c r="H82" i="5"/>
  <c r="H28" i="8" s="1"/>
  <c r="K17" i="9" l="1"/>
  <c r="L17" i="9" s="1"/>
  <c r="M17" i="9" s="1"/>
  <c r="N17" i="9" s="1"/>
  <c r="O17" i="9" s="1"/>
  <c r="P17" i="9" s="1"/>
  <c r="Q17" i="9" s="1"/>
  <c r="G32" i="9"/>
  <c r="F59" i="6"/>
  <c r="F55" i="6"/>
  <c r="F54" i="6" s="1"/>
  <c r="F53" i="6"/>
  <c r="G35" i="9"/>
  <c r="G28" i="9"/>
  <c r="H28" i="9" s="1"/>
  <c r="I28" i="9" s="1"/>
  <c r="J28" i="9" s="1"/>
  <c r="K28" i="9" s="1"/>
  <c r="L28" i="9" s="1"/>
  <c r="M28" i="9" s="1"/>
  <c r="N28" i="9" s="1"/>
  <c r="O28" i="9" s="1"/>
  <c r="P28" i="9" s="1"/>
  <c r="Q28" i="9" s="1"/>
  <c r="H16" i="9"/>
  <c r="I16" i="9"/>
  <c r="L16" i="9"/>
  <c r="N16" i="9"/>
  <c r="O16" i="9"/>
  <c r="P16" i="9"/>
  <c r="Q16" i="9"/>
  <c r="G16" i="9"/>
  <c r="G24" i="9" s="1"/>
  <c r="F48" i="5" l="1"/>
  <c r="G35" i="2" s="1"/>
  <c r="F37" i="2" s="1"/>
  <c r="H35" i="9"/>
  <c r="G38" i="9"/>
  <c r="F52" i="6"/>
  <c r="F75" i="6" s="1"/>
  <c r="G75" i="6" s="1"/>
  <c r="Q32" i="9"/>
  <c r="P32" i="9"/>
  <c r="L32" i="9"/>
  <c r="H32" i="9"/>
  <c r="N32" i="9"/>
  <c r="J32" i="9"/>
  <c r="M32" i="9"/>
  <c r="I32" i="9"/>
  <c r="O32" i="9"/>
  <c r="K32" i="9"/>
  <c r="H24" i="9"/>
  <c r="J24" i="9"/>
  <c r="I24" i="9"/>
  <c r="H19" i="10" l="1"/>
  <c r="H22" i="10" s="1"/>
  <c r="H38" i="9"/>
  <c r="K24" i="9"/>
  <c r="L24" i="9" l="1"/>
  <c r="M24" i="9" l="1"/>
  <c r="N24" i="9" l="1"/>
  <c r="O24" i="9" l="1"/>
  <c r="Q24" i="9" l="1"/>
  <c r="P24" i="9"/>
  <c r="H99" i="6" l="1"/>
  <c r="G99" i="6"/>
  <c r="F99" i="6"/>
  <c r="F98" i="6"/>
  <c r="H98" i="6"/>
  <c r="G98" i="6"/>
  <c r="G22" i="8" l="1"/>
  <c r="G43" i="6"/>
  <c r="G34" i="6"/>
  <c r="G44" i="2" l="1"/>
  <c r="G45" i="2" s="1"/>
  <c r="H45" i="2" s="1"/>
  <c r="I45" i="2" s="1"/>
  <c r="J45" i="2" s="1"/>
  <c r="K45" i="2" s="1"/>
  <c r="L45" i="2" s="1"/>
  <c r="M45" i="2" s="1"/>
  <c r="N45" i="2" s="1"/>
  <c r="O45" i="2" s="1"/>
  <c r="P45" i="2" s="1"/>
  <c r="Q45" i="2" s="1"/>
  <c r="G55" i="5"/>
  <c r="H55" i="5" s="1"/>
  <c r="I55" i="5" s="1"/>
  <c r="J55" i="5" s="1"/>
  <c r="K55" i="5" s="1"/>
  <c r="L55" i="5" s="1"/>
  <c r="M55" i="5" s="1"/>
  <c r="N55" i="5" s="1"/>
  <c r="O55" i="5" s="1"/>
  <c r="P55" i="5" s="1"/>
  <c r="Q55" i="5" s="1"/>
  <c r="G52" i="5"/>
  <c r="F63" i="5"/>
  <c r="F62" i="5"/>
  <c r="F61" i="5"/>
  <c r="G26" i="2"/>
  <c r="H26" i="2" s="1"/>
  <c r="G23" i="2"/>
  <c r="G21" i="2"/>
  <c r="G27" i="2" l="1"/>
  <c r="G28" i="2" s="1"/>
  <c r="G42" i="2"/>
  <c r="G43" i="2" s="1"/>
  <c r="H43" i="2" s="1"/>
  <c r="I43" i="2" s="1"/>
  <c r="J43" i="2" s="1"/>
  <c r="K43" i="2" s="1"/>
  <c r="L43" i="2" s="1"/>
  <c r="M43" i="2" s="1"/>
  <c r="N43" i="2" s="1"/>
  <c r="O43" i="2" s="1"/>
  <c r="P43" i="2" s="1"/>
  <c r="Q43" i="2" s="1"/>
  <c r="G32" i="6"/>
  <c r="G112" i="6" s="1"/>
  <c r="H15" i="10"/>
  <c r="G22" i="2"/>
  <c r="H22" i="2" s="1"/>
  <c r="H41" i="5" s="1"/>
  <c r="G9" i="9"/>
  <c r="G24" i="2"/>
  <c r="H24" i="2" s="1"/>
  <c r="I24" i="2" s="1"/>
  <c r="J24" i="2" s="1"/>
  <c r="K24" i="2" s="1"/>
  <c r="L24" i="2" s="1"/>
  <c r="M24" i="2" s="1"/>
  <c r="N24" i="2" s="1"/>
  <c r="O24" i="2" s="1"/>
  <c r="P24" i="2" s="1"/>
  <c r="Q24" i="2" s="1"/>
  <c r="Q42" i="5" s="1"/>
  <c r="G11" i="9"/>
  <c r="H43" i="5"/>
  <c r="I26" i="2"/>
  <c r="G43" i="5"/>
  <c r="G33" i="6"/>
  <c r="G34" i="5"/>
  <c r="G21" i="5"/>
  <c r="G6" i="6" s="1"/>
  <c r="G15" i="6" s="1"/>
  <c r="H15" i="6" s="1"/>
  <c r="I15" i="6" s="1"/>
  <c r="J15" i="6" s="1"/>
  <c r="K15" i="6" s="1"/>
  <c r="L15" i="6" s="1"/>
  <c r="M15" i="6" s="1"/>
  <c r="N15" i="6" s="1"/>
  <c r="O15" i="6" s="1"/>
  <c r="P15" i="6" s="1"/>
  <c r="Q15" i="6" s="1"/>
  <c r="H42" i="5" l="1"/>
  <c r="P42" i="5"/>
  <c r="G41" i="5"/>
  <c r="I42" i="5"/>
  <c r="K42" i="5"/>
  <c r="N42" i="5"/>
  <c r="G13" i="9"/>
  <c r="G6" i="9" s="1"/>
  <c r="L42" i="5"/>
  <c r="O42" i="5"/>
  <c r="G42" i="5"/>
  <c r="M42" i="5"/>
  <c r="J42" i="5"/>
  <c r="I22" i="2"/>
  <c r="J22" i="2" s="1"/>
  <c r="I37" i="5"/>
  <c r="H13" i="6"/>
  <c r="H11" i="8" s="1"/>
  <c r="G6" i="8"/>
  <c r="J26" i="2"/>
  <c r="I43" i="5"/>
  <c r="G6" i="2"/>
  <c r="G13" i="2"/>
  <c r="G7" i="6"/>
  <c r="H34" i="5"/>
  <c r="H21" i="5"/>
  <c r="H6" i="2" s="1"/>
  <c r="B7" i="11"/>
  <c r="B8" i="11"/>
  <c r="B9" i="11"/>
  <c r="B10" i="11"/>
  <c r="C38" i="11"/>
  <c r="C39" i="11"/>
  <c r="H16" i="10"/>
  <c r="G26" i="9"/>
  <c r="G13" i="6"/>
  <c r="G11" i="8" s="1"/>
  <c r="B48" i="6"/>
  <c r="G93" i="6"/>
  <c r="H93" i="6" s="1"/>
  <c r="F76" i="6"/>
  <c r="F13" i="4"/>
  <c r="D8" i="11" s="1"/>
  <c r="G80" i="6"/>
  <c r="H80" i="6"/>
  <c r="G89" i="6"/>
  <c r="H89" i="6"/>
  <c r="G9" i="5"/>
  <c r="G11" i="5"/>
  <c r="G3" i="5" s="1"/>
  <c r="G3" i="2" s="1"/>
  <c r="B23" i="5"/>
  <c r="F69" i="5"/>
  <c r="E9" i="4"/>
  <c r="F9" i="4"/>
  <c r="D4" i="11" s="1"/>
  <c r="E10" i="4"/>
  <c r="F10" i="4"/>
  <c r="D5" i="11" s="1"/>
  <c r="E11" i="4"/>
  <c r="F11" i="4"/>
  <c r="D6" i="11" s="1"/>
  <c r="C17" i="2"/>
  <c r="G17" i="2"/>
  <c r="G18" i="2" s="1"/>
  <c r="H17" i="2"/>
  <c r="I17" i="2"/>
  <c r="G36" i="2"/>
  <c r="F38" i="2"/>
  <c r="F49" i="2"/>
  <c r="C6" i="11" l="1"/>
  <c r="C4" i="11"/>
  <c r="C5" i="11"/>
  <c r="G38" i="2"/>
  <c r="G31" i="2" s="1"/>
  <c r="H35" i="2"/>
  <c r="H38" i="2" s="1"/>
  <c r="H31" i="2" s="1"/>
  <c r="H36" i="2"/>
  <c r="I41" i="5"/>
  <c r="G48" i="9"/>
  <c r="G7" i="8"/>
  <c r="G8" i="8" s="1"/>
  <c r="G111" i="6"/>
  <c r="J37" i="5"/>
  <c r="I13" i="6"/>
  <c r="I11" i="8" s="1"/>
  <c r="G9" i="6"/>
  <c r="K22" i="2"/>
  <c r="J41" i="5"/>
  <c r="K26" i="2"/>
  <c r="J43" i="5"/>
  <c r="H13" i="2"/>
  <c r="I34" i="5"/>
  <c r="H24" i="5"/>
  <c r="H30" i="5" s="1"/>
  <c r="P24" i="5"/>
  <c r="N24" i="5"/>
  <c r="I24" i="5"/>
  <c r="Q24" i="5"/>
  <c r="L24" i="5"/>
  <c r="M24" i="5"/>
  <c r="J24" i="5"/>
  <c r="G24" i="5"/>
  <c r="K24" i="5"/>
  <c r="O24" i="5"/>
  <c r="I21" i="5"/>
  <c r="I6" i="2" s="1"/>
  <c r="K11" i="10"/>
  <c r="N11" i="10"/>
  <c r="H76" i="6"/>
  <c r="G76" i="6"/>
  <c r="P11" i="10"/>
  <c r="H11" i="10"/>
  <c r="J11" i="10"/>
  <c r="O11" i="10"/>
  <c r="Q11" i="10"/>
  <c r="I11" i="10"/>
  <c r="M11" i="10"/>
  <c r="L11" i="10"/>
  <c r="G3" i="6"/>
  <c r="G3" i="8"/>
  <c r="G3" i="10"/>
  <c r="C23" i="11"/>
  <c r="G3" i="9"/>
  <c r="F60" i="5"/>
  <c r="F64" i="5" s="1"/>
  <c r="F15" i="4"/>
  <c r="D10" i="11" s="1"/>
  <c r="H71" i="6"/>
  <c r="F14" i="4"/>
  <c r="D9" i="11" s="1"/>
  <c r="G71" i="6"/>
  <c r="F71" i="6"/>
  <c r="F80" i="6"/>
  <c r="F89" i="6"/>
  <c r="G13" i="5"/>
  <c r="H10" i="5"/>
  <c r="G12" i="5"/>
  <c r="G14" i="5" s="1"/>
  <c r="H75" i="5" l="1"/>
  <c r="H38" i="6" s="1"/>
  <c r="Q75" i="5"/>
  <c r="Q38" i="6" s="1"/>
  <c r="K37" i="5"/>
  <c r="J13" i="6"/>
  <c r="J11" i="8" s="1"/>
  <c r="J17" i="2"/>
  <c r="G10" i="6"/>
  <c r="G12" i="6"/>
  <c r="G9" i="8"/>
  <c r="L26" i="2"/>
  <c r="K43" i="5"/>
  <c r="L22" i="2"/>
  <c r="K41" i="5"/>
  <c r="J34" i="5"/>
  <c r="I13" i="2"/>
  <c r="H6" i="6"/>
  <c r="H22" i="6" s="1"/>
  <c r="H7" i="6"/>
  <c r="H7" i="2"/>
  <c r="I30" i="5"/>
  <c r="D17" i="11"/>
  <c r="H75" i="6"/>
  <c r="J21" i="5"/>
  <c r="J6" i="2" s="1"/>
  <c r="I35" i="2"/>
  <c r="I35" i="9" s="1"/>
  <c r="Q76" i="5"/>
  <c r="I36" i="2"/>
  <c r="J35" i="2" s="1"/>
  <c r="O75" i="5"/>
  <c r="O38" i="6" s="1"/>
  <c r="I75" i="5"/>
  <c r="I38" i="6" s="1"/>
  <c r="H84" i="6"/>
  <c r="G84" i="6"/>
  <c r="G75" i="5"/>
  <c r="G38" i="6" s="1"/>
  <c r="K75" i="5"/>
  <c r="K38" i="6" s="1"/>
  <c r="N75" i="5"/>
  <c r="N38" i="6" s="1"/>
  <c r="J75" i="5"/>
  <c r="J38" i="6" s="1"/>
  <c r="L75" i="5"/>
  <c r="L38" i="6" s="1"/>
  <c r="M75" i="5"/>
  <c r="M38" i="6" s="1"/>
  <c r="P75" i="5"/>
  <c r="P38" i="6" s="1"/>
  <c r="H11" i="5"/>
  <c r="H9" i="5"/>
  <c r="I19" i="10" l="1"/>
  <c r="I38" i="9"/>
  <c r="J37" i="2"/>
  <c r="J35" i="6" s="1"/>
  <c r="J35" i="9"/>
  <c r="J38" i="9" s="1"/>
  <c r="H7" i="8"/>
  <c r="G42" i="6"/>
  <c r="G41" i="6" s="1"/>
  <c r="G44" i="6" s="1"/>
  <c r="G103" i="6" s="1"/>
  <c r="G12" i="8"/>
  <c r="G13" i="8" s="1"/>
  <c r="G18" i="6"/>
  <c r="G15" i="8" s="1"/>
  <c r="G16" i="8" s="1"/>
  <c r="G50" i="2"/>
  <c r="G49" i="2" s="1"/>
  <c r="L37" i="5"/>
  <c r="K13" i="6"/>
  <c r="K11" i="8" s="1"/>
  <c r="K17" i="2"/>
  <c r="H20" i="6"/>
  <c r="H21" i="6"/>
  <c r="H14" i="6"/>
  <c r="H111" i="6" s="1"/>
  <c r="H19" i="6"/>
  <c r="H6" i="8"/>
  <c r="H9" i="6"/>
  <c r="M22" i="2"/>
  <c r="L41" i="5"/>
  <c r="M26" i="2"/>
  <c r="L43" i="5"/>
  <c r="J76" i="5"/>
  <c r="H76" i="5"/>
  <c r="K34" i="5"/>
  <c r="J13" i="2"/>
  <c r="I6" i="6"/>
  <c r="I7" i="6"/>
  <c r="J30" i="5"/>
  <c r="F26" i="11" s="1"/>
  <c r="K21" i="5"/>
  <c r="K6" i="2" s="1"/>
  <c r="O76" i="5"/>
  <c r="P76" i="5"/>
  <c r="G76" i="5"/>
  <c r="G73" i="6" s="1"/>
  <c r="I76" i="5"/>
  <c r="N76" i="5"/>
  <c r="L76" i="5"/>
  <c r="M76" i="5"/>
  <c r="K76" i="5"/>
  <c r="I38" i="2"/>
  <c r="I31" i="2" s="1"/>
  <c r="J36" i="2"/>
  <c r="J38" i="2" s="1"/>
  <c r="J31" i="2" s="1"/>
  <c r="E26" i="11"/>
  <c r="C26" i="11"/>
  <c r="D26" i="11"/>
  <c r="H3" i="5"/>
  <c r="H12" i="5"/>
  <c r="H14" i="5" s="1"/>
  <c r="I10" i="5"/>
  <c r="H13" i="5"/>
  <c r="I22" i="6" l="1"/>
  <c r="G91" i="6"/>
  <c r="H91" i="6" s="1"/>
  <c r="H8" i="8"/>
  <c r="H9" i="8" s="1"/>
  <c r="I7" i="8"/>
  <c r="G27" i="6"/>
  <c r="G54" i="2"/>
  <c r="G53" i="2" s="1"/>
  <c r="M37" i="5"/>
  <c r="L13" i="6"/>
  <c r="L11" i="8" s="1"/>
  <c r="L17" i="2"/>
  <c r="I20" i="6"/>
  <c r="I21" i="6"/>
  <c r="I14" i="6"/>
  <c r="I111" i="6" s="1"/>
  <c r="I19" i="6"/>
  <c r="H10" i="6"/>
  <c r="H12" i="6"/>
  <c r="I6" i="8"/>
  <c r="I9" i="6"/>
  <c r="N26" i="2"/>
  <c r="M43" i="5"/>
  <c r="N22" i="2"/>
  <c r="M41" i="5"/>
  <c r="L34" i="5"/>
  <c r="K13" i="2"/>
  <c r="J6" i="6"/>
  <c r="J22" i="6" s="1"/>
  <c r="J7" i="6"/>
  <c r="K30" i="5"/>
  <c r="L21" i="5"/>
  <c r="L6" i="2" s="1"/>
  <c r="H73" i="6"/>
  <c r="K36" i="2"/>
  <c r="L35" i="2" s="1"/>
  <c r="L35" i="9" s="1"/>
  <c r="L38" i="9" s="1"/>
  <c r="K35" i="2"/>
  <c r="K35" i="9" s="1"/>
  <c r="K38" i="9" s="1"/>
  <c r="H107" i="6"/>
  <c r="D38" i="11" s="1"/>
  <c r="C27" i="11"/>
  <c r="J19" i="10"/>
  <c r="F72" i="6"/>
  <c r="I107" i="6"/>
  <c r="E38" i="11" s="1"/>
  <c r="H3" i="2"/>
  <c r="H3" i="8"/>
  <c r="H3" i="6"/>
  <c r="H3" i="9"/>
  <c r="D23" i="11"/>
  <c r="H3" i="10"/>
  <c r="G82" i="6"/>
  <c r="H82" i="6"/>
  <c r="I11" i="5"/>
  <c r="I9" i="5"/>
  <c r="I8" i="8" l="1"/>
  <c r="I9" i="8" s="1"/>
  <c r="J7" i="8"/>
  <c r="G26" i="6"/>
  <c r="G29" i="6" s="1"/>
  <c r="G37" i="6" s="1"/>
  <c r="G21" i="8"/>
  <c r="G24" i="8" s="1"/>
  <c r="H42" i="6"/>
  <c r="H12" i="8"/>
  <c r="H13" i="8" s="1"/>
  <c r="H18" i="6"/>
  <c r="H50" i="2"/>
  <c r="H49" i="2" s="1"/>
  <c r="N37" i="5"/>
  <c r="M13" i="6"/>
  <c r="M11" i="8" s="1"/>
  <c r="M17" i="2"/>
  <c r="J20" i="6"/>
  <c r="J21" i="6"/>
  <c r="J14" i="6"/>
  <c r="J111" i="6" s="1"/>
  <c r="J19" i="6"/>
  <c r="I10" i="6"/>
  <c r="I12" i="6"/>
  <c r="J9" i="6"/>
  <c r="J6" i="8"/>
  <c r="J107" i="6"/>
  <c r="F38" i="11" s="1"/>
  <c r="O22" i="2"/>
  <c r="N41" i="5"/>
  <c r="O26" i="2"/>
  <c r="N43" i="5"/>
  <c r="M34" i="5"/>
  <c r="L13" i="2"/>
  <c r="K6" i="6"/>
  <c r="K22" i="6" s="1"/>
  <c r="K7" i="6"/>
  <c r="L30" i="5"/>
  <c r="G26" i="11"/>
  <c r="M21" i="5"/>
  <c r="M6" i="2" s="1"/>
  <c r="L36" i="2"/>
  <c r="M35" i="2" s="1"/>
  <c r="M35" i="9" s="1"/>
  <c r="M38" i="9" s="1"/>
  <c r="K38" i="2"/>
  <c r="K31" i="2" s="1"/>
  <c r="K19" i="10"/>
  <c r="G72" i="6"/>
  <c r="G74" i="6" s="1"/>
  <c r="G77" i="6" s="1"/>
  <c r="H72" i="6"/>
  <c r="H74" i="6" s="1"/>
  <c r="H77" i="6" s="1"/>
  <c r="F74" i="6"/>
  <c r="F77" i="6" s="1"/>
  <c r="J10" i="5"/>
  <c r="I13" i="5"/>
  <c r="I3" i="5"/>
  <c r="I12" i="5"/>
  <c r="I14" i="5" s="1"/>
  <c r="J8" i="8" l="1"/>
  <c r="H43" i="9"/>
  <c r="H46" i="9" s="1"/>
  <c r="G82" i="5"/>
  <c r="H15" i="8"/>
  <c r="H16" i="8" s="1"/>
  <c r="H108" i="6"/>
  <c r="K7" i="8"/>
  <c r="G105" i="6"/>
  <c r="I42" i="6"/>
  <c r="I12" i="8"/>
  <c r="I18" i="6"/>
  <c r="I50" i="2"/>
  <c r="I49" i="2" s="1"/>
  <c r="H27" i="6"/>
  <c r="H54" i="2"/>
  <c r="H53" i="2" s="1"/>
  <c r="O37" i="5"/>
  <c r="N13" i="6"/>
  <c r="N11" i="8" s="1"/>
  <c r="N17" i="2"/>
  <c r="K20" i="6"/>
  <c r="K21" i="6"/>
  <c r="K14" i="6"/>
  <c r="K111" i="6" s="1"/>
  <c r="K19" i="6"/>
  <c r="J10" i="6"/>
  <c r="J12" i="6"/>
  <c r="K9" i="6"/>
  <c r="K107" i="6"/>
  <c r="G38" i="11" s="1"/>
  <c r="K6" i="8"/>
  <c r="J9" i="8"/>
  <c r="P26" i="2"/>
  <c r="O43" i="5"/>
  <c r="P22" i="2"/>
  <c r="O41" i="5"/>
  <c r="N34" i="5"/>
  <c r="M13" i="2"/>
  <c r="L6" i="6"/>
  <c r="L22" i="6" s="1"/>
  <c r="L7" i="6"/>
  <c r="M30" i="5"/>
  <c r="H26" i="11"/>
  <c r="N21" i="5"/>
  <c r="N6" i="2" s="1"/>
  <c r="L38" i="2"/>
  <c r="L31" i="2" s="1"/>
  <c r="M36" i="2"/>
  <c r="M38" i="2" s="1"/>
  <c r="M31" i="2" s="1"/>
  <c r="D16" i="11"/>
  <c r="L19" i="10"/>
  <c r="G24" i="6"/>
  <c r="G104" i="6" s="1"/>
  <c r="C34" i="11" s="1"/>
  <c r="I3" i="2"/>
  <c r="E23" i="11"/>
  <c r="I3" i="10"/>
  <c r="I3" i="6"/>
  <c r="I3" i="9"/>
  <c r="I3" i="8"/>
  <c r="J11" i="5"/>
  <c r="J9" i="5"/>
  <c r="I15" i="8" l="1"/>
  <c r="G28" i="8"/>
  <c r="G39" i="2"/>
  <c r="K8" i="8"/>
  <c r="K9" i="8" s="1"/>
  <c r="L7" i="8"/>
  <c r="H26" i="6"/>
  <c r="H21" i="8"/>
  <c r="I16" i="8"/>
  <c r="I13" i="8"/>
  <c r="J42" i="6"/>
  <c r="J12" i="8"/>
  <c r="J13" i="8" s="1"/>
  <c r="J18" i="6"/>
  <c r="J15" i="8" s="1"/>
  <c r="J50" i="2"/>
  <c r="J49" i="2" s="1"/>
  <c r="I27" i="6"/>
  <c r="I54" i="2"/>
  <c r="I53" i="2" s="1"/>
  <c r="P37" i="5"/>
  <c r="O13" i="6"/>
  <c r="O11" i="8" s="1"/>
  <c r="O17" i="2"/>
  <c r="L20" i="6"/>
  <c r="L21" i="6"/>
  <c r="L14" i="6"/>
  <c r="L111" i="6" s="1"/>
  <c r="L19" i="6"/>
  <c r="K10" i="6"/>
  <c r="K12" i="6"/>
  <c r="L9" i="6"/>
  <c r="L107" i="6"/>
  <c r="H38" i="11" s="1"/>
  <c r="L6" i="8"/>
  <c r="Q22" i="2"/>
  <c r="Q41" i="5" s="1"/>
  <c r="P41" i="5"/>
  <c r="Q26" i="2"/>
  <c r="Q43" i="5" s="1"/>
  <c r="P43" i="5"/>
  <c r="O34" i="5"/>
  <c r="N13" i="2"/>
  <c r="M6" i="6"/>
  <c r="M22" i="6" s="1"/>
  <c r="M7" i="6"/>
  <c r="N30" i="5"/>
  <c r="I26" i="11"/>
  <c r="O21" i="5"/>
  <c r="O6" i="2" s="1"/>
  <c r="N35" i="2"/>
  <c r="N35" i="9" s="1"/>
  <c r="N38" i="9" s="1"/>
  <c r="N36" i="2"/>
  <c r="O35" i="2" s="1"/>
  <c r="O35" i="9" s="1"/>
  <c r="O38" i="9" s="1"/>
  <c r="M19" i="10"/>
  <c r="K10" i="5"/>
  <c r="J13" i="5"/>
  <c r="J3" i="5"/>
  <c r="J12" i="5"/>
  <c r="J14" i="5" s="1"/>
  <c r="L8" i="8" l="1"/>
  <c r="L9" i="8" s="1"/>
  <c r="H30" i="6"/>
  <c r="H22" i="8" s="1"/>
  <c r="H24" i="8" s="1"/>
  <c r="H7" i="10" s="1"/>
  <c r="M7" i="8"/>
  <c r="J16" i="8"/>
  <c r="I26" i="6"/>
  <c r="I30" i="6" s="1"/>
  <c r="I21" i="8"/>
  <c r="K42" i="6"/>
  <c r="K12" i="8"/>
  <c r="K13" i="8" s="1"/>
  <c r="K18" i="6"/>
  <c r="K15" i="8" s="1"/>
  <c r="K50" i="2"/>
  <c r="K49" i="2" s="1"/>
  <c r="J27" i="6"/>
  <c r="J54" i="2"/>
  <c r="J53" i="2" s="1"/>
  <c r="Q37" i="5"/>
  <c r="P13" i="6"/>
  <c r="P11" i="8" s="1"/>
  <c r="P17" i="2"/>
  <c r="M20" i="6"/>
  <c r="M21" i="6"/>
  <c r="M14" i="6"/>
  <c r="M111" i="6" s="1"/>
  <c r="M19" i="6"/>
  <c r="L10" i="6"/>
  <c r="L12" i="6"/>
  <c r="M9" i="6"/>
  <c r="M107" i="6"/>
  <c r="I38" i="11" s="1"/>
  <c r="M6" i="8"/>
  <c r="P34" i="5"/>
  <c r="O13" i="2"/>
  <c r="N6" i="6"/>
  <c r="N22" i="6" s="1"/>
  <c r="N7" i="6"/>
  <c r="O30" i="5"/>
  <c r="J26" i="11"/>
  <c r="P21" i="5"/>
  <c r="N38" i="2"/>
  <c r="N31" i="2" s="1"/>
  <c r="O36" i="2"/>
  <c r="O38" i="2" s="1"/>
  <c r="O31" i="2" s="1"/>
  <c r="N19" i="10"/>
  <c r="G25" i="8"/>
  <c r="C30" i="11"/>
  <c r="C35" i="11"/>
  <c r="J3" i="2"/>
  <c r="F23" i="11"/>
  <c r="J3" i="10"/>
  <c r="J3" i="8"/>
  <c r="J3" i="6"/>
  <c r="J3" i="9"/>
  <c r="K11" i="5"/>
  <c r="K9" i="5"/>
  <c r="H29" i="6" l="1"/>
  <c r="H105" i="6" s="1"/>
  <c r="M8" i="8"/>
  <c r="M9" i="8" s="1"/>
  <c r="H83" i="5"/>
  <c r="N7" i="8"/>
  <c r="I29" i="6"/>
  <c r="I105" i="6" s="1"/>
  <c r="I22" i="8"/>
  <c r="I24" i="8" s="1"/>
  <c r="K16" i="8"/>
  <c r="J26" i="6"/>
  <c r="J30" i="6" s="1"/>
  <c r="J21" i="8"/>
  <c r="L42" i="6"/>
  <c r="L12" i="8"/>
  <c r="L13" i="8" s="1"/>
  <c r="L18" i="6"/>
  <c r="L15" i="8" s="1"/>
  <c r="L50" i="2"/>
  <c r="L49" i="2" s="1"/>
  <c r="K27" i="6"/>
  <c r="K54" i="2"/>
  <c r="K53" i="2" s="1"/>
  <c r="Q17" i="2"/>
  <c r="Q13" i="6"/>
  <c r="Q11" i="8" s="1"/>
  <c r="N20" i="6"/>
  <c r="N21" i="6"/>
  <c r="N14" i="6"/>
  <c r="N111" i="6" s="1"/>
  <c r="N19" i="6"/>
  <c r="M10" i="6"/>
  <c r="M12" i="6"/>
  <c r="N107" i="6"/>
  <c r="J38" i="11" s="1"/>
  <c r="N6" i="8"/>
  <c r="N9" i="6"/>
  <c r="P36" i="2"/>
  <c r="Q35" i="2" s="1"/>
  <c r="Q35" i="9" s="1"/>
  <c r="Q38" i="9" s="1"/>
  <c r="Q34" i="5"/>
  <c r="Q13" i="2" s="1"/>
  <c r="P13" i="2"/>
  <c r="O6" i="6"/>
  <c r="O22" i="6" s="1"/>
  <c r="O7" i="6"/>
  <c r="P30" i="5"/>
  <c r="K26" i="11"/>
  <c r="P6" i="2"/>
  <c r="Q21" i="5"/>
  <c r="Q6" i="2" s="1"/>
  <c r="P35" i="2"/>
  <c r="P35" i="9" s="1"/>
  <c r="P38" i="9" s="1"/>
  <c r="O19" i="10"/>
  <c r="K13" i="5"/>
  <c r="L10" i="5"/>
  <c r="K3" i="5"/>
  <c r="K12" i="5"/>
  <c r="K14" i="5" s="1"/>
  <c r="H27" i="8" l="1"/>
  <c r="I43" i="9" s="1"/>
  <c r="I46" i="9" s="1"/>
  <c r="I21" i="10"/>
  <c r="I22" i="10" s="1"/>
  <c r="Q36" i="2"/>
  <c r="Q38" i="2" s="1"/>
  <c r="Q31" i="2" s="1"/>
  <c r="P38" i="2"/>
  <c r="P31" i="2" s="1"/>
  <c r="N8" i="8"/>
  <c r="N9" i="8" s="1"/>
  <c r="I83" i="5"/>
  <c r="O7" i="8"/>
  <c r="J29" i="6"/>
  <c r="J105" i="6" s="1"/>
  <c r="J22" i="8"/>
  <c r="J24" i="8" s="1"/>
  <c r="L16" i="8"/>
  <c r="K26" i="6"/>
  <c r="K30" i="6" s="1"/>
  <c r="K21" i="8"/>
  <c r="M42" i="6"/>
  <c r="M12" i="8"/>
  <c r="M13" i="8" s="1"/>
  <c r="M18" i="6"/>
  <c r="M15" i="8" s="1"/>
  <c r="M50" i="2"/>
  <c r="M49" i="2" s="1"/>
  <c r="L27" i="6"/>
  <c r="L54" i="2"/>
  <c r="L53" i="2" s="1"/>
  <c r="O20" i="6"/>
  <c r="O21" i="6"/>
  <c r="O14" i="6"/>
  <c r="O111" i="6" s="1"/>
  <c r="O19" i="6"/>
  <c r="N10" i="6"/>
  <c r="N12" i="6"/>
  <c r="O9" i="6"/>
  <c r="O107" i="6"/>
  <c r="K38" i="11" s="1"/>
  <c r="O6" i="8"/>
  <c r="P6" i="6"/>
  <c r="P22" i="6" s="1"/>
  <c r="P7" i="6"/>
  <c r="Q30" i="5"/>
  <c r="L26" i="11"/>
  <c r="P19" i="10"/>
  <c r="K3" i="2"/>
  <c r="K3" i="9"/>
  <c r="G23" i="11"/>
  <c r="K3" i="10"/>
  <c r="K3" i="8"/>
  <c r="K3" i="6"/>
  <c r="L9" i="5"/>
  <c r="L11" i="5"/>
  <c r="Q7" i="6" l="1"/>
  <c r="M26" i="11"/>
  <c r="I27" i="8"/>
  <c r="J43" i="9" s="1"/>
  <c r="J46" i="9" s="1"/>
  <c r="J21" i="10"/>
  <c r="J22" i="10" s="1"/>
  <c r="O8" i="8"/>
  <c r="O9" i="8" s="1"/>
  <c r="J83" i="5"/>
  <c r="P7" i="8"/>
  <c r="K29" i="6"/>
  <c r="K105" i="6" s="1"/>
  <c r="K22" i="8"/>
  <c r="K24" i="8" s="1"/>
  <c r="M16" i="8"/>
  <c r="L26" i="6"/>
  <c r="L30" i="6" s="1"/>
  <c r="L21" i="8"/>
  <c r="N42" i="6"/>
  <c r="N12" i="8"/>
  <c r="N18" i="6"/>
  <c r="N15" i="8" s="1"/>
  <c r="N50" i="2"/>
  <c r="N49" i="2" s="1"/>
  <c r="M27" i="6"/>
  <c r="M54" i="2"/>
  <c r="M53" i="2" s="1"/>
  <c r="P20" i="6"/>
  <c r="P21" i="6"/>
  <c r="P14" i="6"/>
  <c r="P111" i="6" s="1"/>
  <c r="P19" i="6"/>
  <c r="O10" i="6"/>
  <c r="O12" i="6"/>
  <c r="P6" i="8"/>
  <c r="P9" i="6"/>
  <c r="Q7" i="8"/>
  <c r="Q14" i="2"/>
  <c r="Q12" i="2" s="1"/>
  <c r="Q18" i="2" s="1"/>
  <c r="Q6" i="6"/>
  <c r="P107" i="6"/>
  <c r="L38" i="11" s="1"/>
  <c r="Q7" i="2"/>
  <c r="Q19" i="10"/>
  <c r="L12" i="5"/>
  <c r="L14" i="5" s="1"/>
  <c r="M10" i="5"/>
  <c r="L13" i="5"/>
  <c r="L3" i="5"/>
  <c r="Q22" i="6" l="1"/>
  <c r="F81" i="6"/>
  <c r="J27" i="8"/>
  <c r="K43" i="9" s="1"/>
  <c r="K46" i="9" s="1"/>
  <c r="K21" i="10"/>
  <c r="K22" i="10" s="1"/>
  <c r="P8" i="8"/>
  <c r="P9" i="8" s="1"/>
  <c r="K83" i="5"/>
  <c r="L29" i="6"/>
  <c r="L105" i="6" s="1"/>
  <c r="L22" i="8"/>
  <c r="L24" i="8" s="1"/>
  <c r="M26" i="6"/>
  <c r="M30" i="6" s="1"/>
  <c r="M21" i="8"/>
  <c r="O42" i="6"/>
  <c r="O12" i="8"/>
  <c r="N16" i="8"/>
  <c r="N13" i="8"/>
  <c r="O18" i="6"/>
  <c r="O15" i="8" s="1"/>
  <c r="O50" i="2"/>
  <c r="O49" i="2" s="1"/>
  <c r="N27" i="6"/>
  <c r="N54" i="2"/>
  <c r="N53" i="2" s="1"/>
  <c r="Q20" i="6"/>
  <c r="Q21" i="6"/>
  <c r="Q14" i="6"/>
  <c r="Q111" i="6" s="1"/>
  <c r="Q19" i="6"/>
  <c r="P10" i="6"/>
  <c r="P12" i="6"/>
  <c r="Q6" i="8"/>
  <c r="Q8" i="8" s="1"/>
  <c r="Q9" i="8" s="1"/>
  <c r="Q9" i="6"/>
  <c r="Q107" i="6"/>
  <c r="M38" i="11" s="1"/>
  <c r="L3" i="2"/>
  <c r="H23" i="11"/>
  <c r="L3" i="10"/>
  <c r="L3" i="8"/>
  <c r="L3" i="6"/>
  <c r="L3" i="9"/>
  <c r="M9" i="5"/>
  <c r="M11" i="5"/>
  <c r="F83" i="6" l="1"/>
  <c r="G81" i="6"/>
  <c r="G83" i="6" s="1"/>
  <c r="H81" i="6"/>
  <c r="H83" i="6" s="1"/>
  <c r="K27" i="8"/>
  <c r="L43" i="9" s="1"/>
  <c r="L46" i="9" s="1"/>
  <c r="L21" i="10"/>
  <c r="L22" i="10" s="1"/>
  <c r="L83" i="5"/>
  <c r="M29" i="6"/>
  <c r="M105" i="6" s="1"/>
  <c r="M22" i="8"/>
  <c r="M24" i="8" s="1"/>
  <c r="N26" i="6"/>
  <c r="N30" i="6" s="1"/>
  <c r="N21" i="8"/>
  <c r="O16" i="8"/>
  <c r="O13" i="8"/>
  <c r="P42" i="6"/>
  <c r="P12" i="8"/>
  <c r="P18" i="6"/>
  <c r="P15" i="8" s="1"/>
  <c r="P50" i="2"/>
  <c r="P49" i="2" s="1"/>
  <c r="O27" i="6"/>
  <c r="O54" i="2"/>
  <c r="O53" i="2" s="1"/>
  <c r="Q10" i="6"/>
  <c r="Q12" i="6"/>
  <c r="M12" i="5"/>
  <c r="M14" i="5" s="1"/>
  <c r="N10" i="5"/>
  <c r="M13" i="5"/>
  <c r="M3" i="5"/>
  <c r="L27" i="8" l="1"/>
  <c r="M43" i="9" s="1"/>
  <c r="M46" i="9" s="1"/>
  <c r="M21" i="10"/>
  <c r="M22" i="10" s="1"/>
  <c r="M83" i="5"/>
  <c r="N29" i="6"/>
  <c r="N105" i="6" s="1"/>
  <c r="N22" i="8"/>
  <c r="N24" i="8" s="1"/>
  <c r="O26" i="6"/>
  <c r="O30" i="6" s="1"/>
  <c r="O21" i="8"/>
  <c r="P16" i="8"/>
  <c r="P13" i="8"/>
  <c r="Q42" i="6"/>
  <c r="Q12" i="8"/>
  <c r="Q18" i="6"/>
  <c r="Q50" i="2"/>
  <c r="P27" i="6"/>
  <c r="P54" i="2"/>
  <c r="P53" i="2" s="1"/>
  <c r="M3" i="2"/>
  <c r="M3" i="9"/>
  <c r="M3" i="8"/>
  <c r="I23" i="11"/>
  <c r="M3" i="10"/>
  <c r="M3" i="6"/>
  <c r="N9" i="5"/>
  <c r="N11" i="5"/>
  <c r="M27" i="8" l="1"/>
  <c r="N43" i="9" s="1"/>
  <c r="N46" i="9" s="1"/>
  <c r="N21" i="10"/>
  <c r="N22" i="10" s="1"/>
  <c r="N83" i="5"/>
  <c r="O29" i="6"/>
  <c r="O105" i="6" s="1"/>
  <c r="O22" i="8"/>
  <c r="O24" i="8" s="1"/>
  <c r="P26" i="6"/>
  <c r="P30" i="6" s="1"/>
  <c r="P21" i="8"/>
  <c r="Q24" i="6"/>
  <c r="Q104" i="6" s="1"/>
  <c r="M34" i="11" s="1"/>
  <c r="Q15" i="8"/>
  <c r="Q13" i="8"/>
  <c r="Q27" i="6"/>
  <c r="Q54" i="2"/>
  <c r="Q53" i="2" s="1"/>
  <c r="N12" i="5"/>
  <c r="N14" i="5" s="1"/>
  <c r="O10" i="5"/>
  <c r="N13" i="5"/>
  <c r="N3" i="5"/>
  <c r="N27" i="8" l="1"/>
  <c r="O43" i="9" s="1"/>
  <c r="O46" i="9" s="1"/>
  <c r="O21" i="10"/>
  <c r="O22" i="10" s="1"/>
  <c r="O83" i="5"/>
  <c r="Q16" i="8"/>
  <c r="P29" i="6"/>
  <c r="P105" i="6" s="1"/>
  <c r="P22" i="8"/>
  <c r="P24" i="8" s="1"/>
  <c r="Q26" i="6"/>
  <c r="Q30" i="6" s="1"/>
  <c r="Q21" i="8"/>
  <c r="N3" i="2"/>
  <c r="N3" i="6"/>
  <c r="N3" i="9"/>
  <c r="J23" i="11"/>
  <c r="N3" i="10"/>
  <c r="N3" i="8"/>
  <c r="O11" i="5"/>
  <c r="O9" i="5"/>
  <c r="O27" i="8" l="1"/>
  <c r="P43" i="9" s="1"/>
  <c r="P46" i="9" s="1"/>
  <c r="P21" i="10"/>
  <c r="P22" i="10" s="1"/>
  <c r="P83" i="5"/>
  <c r="Q29" i="6"/>
  <c r="Q105" i="6" s="1"/>
  <c r="M35" i="11" s="1"/>
  <c r="Q22" i="8"/>
  <c r="Q24" i="8" s="1"/>
  <c r="Q83" i="5" s="1"/>
  <c r="O3" i="5"/>
  <c r="O12" i="5"/>
  <c r="O14" i="5" s="1"/>
  <c r="P10" i="5"/>
  <c r="O13" i="5"/>
  <c r="P27" i="8" l="1"/>
  <c r="Q43" i="9" s="1"/>
  <c r="Q46" i="9" s="1"/>
  <c r="Q26" i="9" s="1"/>
  <c r="Q21" i="10"/>
  <c r="Q22" i="10" s="1"/>
  <c r="Q27" i="8"/>
  <c r="Q7" i="10"/>
  <c r="Q25" i="8"/>
  <c r="O3" i="2"/>
  <c r="O3" i="6"/>
  <c r="O3" i="9"/>
  <c r="K23" i="11"/>
  <c r="O3" i="10"/>
  <c r="O3" i="8"/>
  <c r="P11" i="5"/>
  <c r="Q10" i="5" s="1"/>
  <c r="P9" i="5"/>
  <c r="Q11" i="5" l="1"/>
  <c r="Q9" i="5"/>
  <c r="P3" i="5"/>
  <c r="P12" i="5"/>
  <c r="P14" i="5" s="1"/>
  <c r="P13" i="5"/>
  <c r="Q3" i="5" l="1"/>
  <c r="M23" i="11" s="1"/>
  <c r="Q13" i="5"/>
  <c r="Q12" i="5"/>
  <c r="Q14" i="5" s="1"/>
  <c r="P3" i="2"/>
  <c r="P3" i="8"/>
  <c r="P3" i="6"/>
  <c r="P3" i="9"/>
  <c r="L23" i="11"/>
  <c r="P3" i="10"/>
  <c r="Q3" i="2" l="1"/>
  <c r="Q3" i="10"/>
  <c r="Q3" i="6"/>
  <c r="Q3" i="9"/>
  <c r="Q3" i="8"/>
  <c r="M14" i="2" l="1"/>
  <c r="M12" i="2" s="1"/>
  <c r="M18" i="2" s="1"/>
  <c r="M7" i="2"/>
  <c r="M8" i="2" s="1"/>
  <c r="I14" i="2"/>
  <c r="I12" i="2" s="1"/>
  <c r="I18" i="2" s="1"/>
  <c r="I7" i="2"/>
  <c r="I8" i="2" s="1"/>
  <c r="K7" i="2"/>
  <c r="K8" i="2" s="1"/>
  <c r="K14" i="2"/>
  <c r="K12" i="2" s="1"/>
  <c r="K18" i="2" s="1"/>
  <c r="P14" i="2"/>
  <c r="P12" i="2" s="1"/>
  <c r="P18" i="2" s="1"/>
  <c r="P7" i="2"/>
  <c r="P8" i="2" s="1"/>
  <c r="Q8" i="2"/>
  <c r="O14" i="2"/>
  <c r="O12" i="2" s="1"/>
  <c r="O18" i="2" s="1"/>
  <c r="O7" i="2"/>
  <c r="O8" i="2" s="1"/>
  <c r="N14" i="2"/>
  <c r="N12" i="2" s="1"/>
  <c r="N18" i="2" s="1"/>
  <c r="N7" i="2"/>
  <c r="N8" i="2" s="1"/>
  <c r="H14" i="2"/>
  <c r="H12" i="2" s="1"/>
  <c r="H18" i="2" s="1"/>
  <c r="H8" i="2"/>
  <c r="H21" i="2" s="1"/>
  <c r="H9" i="9" s="1"/>
  <c r="G14" i="2"/>
  <c r="J7" i="2"/>
  <c r="J8" i="2" s="1"/>
  <c r="J14" i="2"/>
  <c r="J12" i="2" s="1"/>
  <c r="J18" i="2" s="1"/>
  <c r="L14" i="2"/>
  <c r="L12" i="2" s="1"/>
  <c r="L18" i="2" s="1"/>
  <c r="L7" i="2"/>
  <c r="L8" i="2" s="1"/>
  <c r="H52" i="5" l="1"/>
  <c r="H25" i="2"/>
  <c r="P52" i="5"/>
  <c r="Q15" i="10" s="1"/>
  <c r="Q16" i="10" s="1"/>
  <c r="P54" i="5"/>
  <c r="P8" i="10" s="1"/>
  <c r="N52" i="5"/>
  <c r="O15" i="10" s="1"/>
  <c r="O16" i="10" s="1"/>
  <c r="N54" i="5"/>
  <c r="N8" i="10" s="1"/>
  <c r="K52" i="5"/>
  <c r="L15" i="10" s="1"/>
  <c r="L16" i="10" s="1"/>
  <c r="K54" i="5"/>
  <c r="K8" i="10" s="1"/>
  <c r="I52" i="5"/>
  <c r="J15" i="10" s="1"/>
  <c r="J16" i="10" s="1"/>
  <c r="I54" i="5"/>
  <c r="I8" i="10" s="1"/>
  <c r="L52" i="5"/>
  <c r="M15" i="10" s="1"/>
  <c r="M16" i="10" s="1"/>
  <c r="L54" i="5"/>
  <c r="L8" i="10" s="1"/>
  <c r="O52" i="5"/>
  <c r="P15" i="10" s="1"/>
  <c r="P16" i="10" s="1"/>
  <c r="O54" i="5"/>
  <c r="O8" i="10" s="1"/>
  <c r="M52" i="5"/>
  <c r="N15" i="10" s="1"/>
  <c r="N16" i="10" s="1"/>
  <c r="M54" i="5"/>
  <c r="M8" i="10" s="1"/>
  <c r="I15" i="10"/>
  <c r="I16" i="10" s="1"/>
  <c r="H54" i="5"/>
  <c r="H8" i="10" s="1"/>
  <c r="J52" i="5"/>
  <c r="K15" i="10" s="1"/>
  <c r="K16" i="10" s="1"/>
  <c r="J54" i="5"/>
  <c r="J8" i="10" s="1"/>
  <c r="Q52" i="5"/>
  <c r="Q54" i="5"/>
  <c r="Q8" i="10" s="1"/>
  <c r="L25" i="2"/>
  <c r="L21" i="2"/>
  <c r="L9" i="9" s="1"/>
  <c r="N21" i="2"/>
  <c r="N9" i="9" s="1"/>
  <c r="N25" i="2"/>
  <c r="I21" i="2"/>
  <c r="I9" i="9" s="1"/>
  <c r="I25" i="2"/>
  <c r="H9" i="10"/>
  <c r="O21" i="2"/>
  <c r="O9" i="9" s="1"/>
  <c r="O25" i="2"/>
  <c r="P21" i="2"/>
  <c r="P9" i="9" s="1"/>
  <c r="P25" i="2"/>
  <c r="J25" i="2"/>
  <c r="J21" i="2"/>
  <c r="J9" i="9" s="1"/>
  <c r="K25" i="2"/>
  <c r="K21" i="2"/>
  <c r="K9" i="9" s="1"/>
  <c r="M25" i="2"/>
  <c r="M21" i="2"/>
  <c r="M9" i="9" s="1"/>
  <c r="Q21" i="2"/>
  <c r="Q9" i="9" s="1"/>
  <c r="Q25" i="2"/>
  <c r="P9" i="10" l="1"/>
  <c r="M9" i="10"/>
  <c r="K9" i="10"/>
  <c r="N9" i="10"/>
  <c r="L9" i="10"/>
  <c r="J9" i="10"/>
  <c r="Q9" i="10"/>
  <c r="O9" i="10"/>
  <c r="I9" i="10"/>
  <c r="H34" i="6"/>
  <c r="H43" i="6"/>
  <c r="H41" i="6" s="1"/>
  <c r="H44" i="6" s="1"/>
  <c r="H103" i="6" s="1"/>
  <c r="M34" i="6"/>
  <c r="M43" i="6"/>
  <c r="M41" i="6" s="1"/>
  <c r="M44" i="6" s="1"/>
  <c r="M103" i="6" s="1"/>
  <c r="Q34" i="6"/>
  <c r="Q43" i="6"/>
  <c r="Q41" i="6" s="1"/>
  <c r="F90" i="6" s="1"/>
  <c r="O34" i="6"/>
  <c r="O43" i="6"/>
  <c r="O41" i="6" s="1"/>
  <c r="O44" i="6" s="1"/>
  <c r="O103" i="6" s="1"/>
  <c r="N34" i="6"/>
  <c r="N43" i="6"/>
  <c r="N41" i="6" s="1"/>
  <c r="N44" i="6" s="1"/>
  <c r="N103" i="6" s="1"/>
  <c r="I34" i="6"/>
  <c r="I43" i="6"/>
  <c r="I41" i="6" s="1"/>
  <c r="I44" i="6" s="1"/>
  <c r="I103" i="6" s="1"/>
  <c r="K34" i="6"/>
  <c r="K43" i="6"/>
  <c r="K41" i="6" s="1"/>
  <c r="K44" i="6" s="1"/>
  <c r="K103" i="6" s="1"/>
  <c r="J34" i="6"/>
  <c r="J43" i="6"/>
  <c r="J41" i="6" s="1"/>
  <c r="J44" i="6" s="1"/>
  <c r="J103" i="6" s="1"/>
  <c r="L34" i="6"/>
  <c r="L43" i="6"/>
  <c r="L41" i="6" s="1"/>
  <c r="L44" i="6" s="1"/>
  <c r="L103" i="6" s="1"/>
  <c r="P34" i="6"/>
  <c r="P43" i="6"/>
  <c r="P41" i="6" s="1"/>
  <c r="P44" i="6" s="1"/>
  <c r="P103" i="6" s="1"/>
  <c r="M42" i="2"/>
  <c r="M32" i="6"/>
  <c r="M112" i="6" s="1"/>
  <c r="I27" i="11" s="1"/>
  <c r="Q42" i="2"/>
  <c r="Q32" i="6"/>
  <c r="Q112" i="6" s="1"/>
  <c r="M27" i="11" s="1"/>
  <c r="O42" i="2"/>
  <c r="O32" i="6"/>
  <c r="O112" i="6" s="1"/>
  <c r="K27" i="11" s="1"/>
  <c r="N42" i="2"/>
  <c r="N32" i="6"/>
  <c r="N112" i="6" s="1"/>
  <c r="J27" i="11" s="1"/>
  <c r="I42" i="2"/>
  <c r="I32" i="6"/>
  <c r="I112" i="6" s="1"/>
  <c r="E27" i="11" s="1"/>
  <c r="K42" i="2"/>
  <c r="K32" i="6"/>
  <c r="K112" i="6" s="1"/>
  <c r="G27" i="11" s="1"/>
  <c r="H42" i="2"/>
  <c r="H32" i="6"/>
  <c r="H112" i="6" s="1"/>
  <c r="D27" i="11" s="1"/>
  <c r="J42" i="2"/>
  <c r="J32" i="6"/>
  <c r="J112" i="6" s="1"/>
  <c r="F27" i="11" s="1"/>
  <c r="L42" i="2"/>
  <c r="L32" i="6"/>
  <c r="L112" i="6" s="1"/>
  <c r="H27" i="11" s="1"/>
  <c r="P42" i="2"/>
  <c r="P32" i="6"/>
  <c r="P112" i="6" s="1"/>
  <c r="L27" i="11" s="1"/>
  <c r="H44" i="2"/>
  <c r="I44" i="2"/>
  <c r="M44" i="2"/>
  <c r="K44" i="2"/>
  <c r="Q44" i="2"/>
  <c r="O44" i="2"/>
  <c r="N44" i="2"/>
  <c r="J44" i="2"/>
  <c r="L44" i="2"/>
  <c r="P44" i="2"/>
  <c r="Q44" i="6" l="1"/>
  <c r="Q103" i="6" s="1"/>
  <c r="F50" i="6"/>
  <c r="Q49" i="2"/>
  <c r="Q39" i="2"/>
  <c r="E13" i="4" l="1"/>
  <c r="C8" i="11" s="1"/>
  <c r="K24" i="6" l="1"/>
  <c r="K104" i="6" s="1"/>
  <c r="G34" i="11" s="1"/>
  <c r="Q108" i="6" l="1"/>
  <c r="M39" i="11" s="1"/>
  <c r="P24" i="6"/>
  <c r="P104" i="6" s="1"/>
  <c r="L34" i="11" s="1"/>
  <c r="L35" i="11"/>
  <c r="D39" i="11"/>
  <c r="J24" i="6"/>
  <c r="J104" i="6" s="1"/>
  <c r="F34" i="11" s="1"/>
  <c r="H24" i="6"/>
  <c r="H104" i="6" s="1"/>
  <c r="D34" i="11" s="1"/>
  <c r="H39" i="2"/>
  <c r="K7" i="10"/>
  <c r="K39" i="2"/>
  <c r="K25" i="8"/>
  <c r="P7" i="10"/>
  <c r="P25" i="8"/>
  <c r="P39" i="2"/>
  <c r="M108" i="6"/>
  <c r="I39" i="11" s="1"/>
  <c r="M24" i="6"/>
  <c r="M104" i="6" s="1"/>
  <c r="I34" i="11" s="1"/>
  <c r="N24" i="6"/>
  <c r="N104" i="6" s="1"/>
  <c r="J34" i="11" s="1"/>
  <c r="N108" i="6"/>
  <c r="J39" i="11" s="1"/>
  <c r="G35" i="11" l="1"/>
  <c r="K108" i="6"/>
  <c r="G39" i="11" s="1"/>
  <c r="F35" i="11"/>
  <c r="J25" i="8"/>
  <c r="J7" i="10"/>
  <c r="J39" i="2"/>
  <c r="H25" i="8"/>
  <c r="D35" i="11"/>
  <c r="H26" i="9"/>
  <c r="I35" i="11"/>
  <c r="I108" i="6"/>
  <c r="E39" i="11" s="1"/>
  <c r="I24" i="6"/>
  <c r="I104" i="6" s="1"/>
  <c r="E34" i="11" s="1"/>
  <c r="J108" i="6"/>
  <c r="F39" i="11" s="1"/>
  <c r="O24" i="6"/>
  <c r="O104" i="6" s="1"/>
  <c r="K34" i="11" s="1"/>
  <c r="O108" i="6"/>
  <c r="K39" i="11" s="1"/>
  <c r="P108" i="6"/>
  <c r="L39" i="11" s="1"/>
  <c r="L108" i="6"/>
  <c r="H39" i="11" s="1"/>
  <c r="L24" i="6"/>
  <c r="L104" i="6" s="1"/>
  <c r="H34" i="11" s="1"/>
  <c r="N39" i="2"/>
  <c r="N25" i="8"/>
  <c r="N7" i="10"/>
  <c r="M7" i="10"/>
  <c r="M39" i="2"/>
  <c r="M25" i="8"/>
  <c r="G90" i="6" l="1"/>
  <c r="F92" i="6"/>
  <c r="J35" i="11"/>
  <c r="I39" i="2"/>
  <c r="I7" i="10"/>
  <c r="I25" i="8"/>
  <c r="L7" i="10"/>
  <c r="L25" i="8"/>
  <c r="L39" i="2"/>
  <c r="O25" i="8"/>
  <c r="O7" i="10"/>
  <c r="O39" i="2"/>
  <c r="H90" i="6" l="1"/>
  <c r="H92" i="6" s="1"/>
  <c r="G92" i="6"/>
  <c r="I26" i="9"/>
  <c r="K35" i="11"/>
  <c r="E35" i="11"/>
  <c r="H35" i="11"/>
  <c r="J26" i="9" l="1"/>
  <c r="K26" i="9" l="1"/>
  <c r="L26" i="9" l="1"/>
  <c r="M26" i="9" l="1"/>
  <c r="N26" i="9" l="1"/>
  <c r="O26" i="9" l="1"/>
  <c r="P26" i="9" l="1"/>
  <c r="H23" i="2" l="1"/>
  <c r="J23" i="2"/>
  <c r="I23" i="2"/>
  <c r="Q23" i="2"/>
  <c r="O23" i="2"/>
  <c r="N23" i="2"/>
  <c r="M23" i="2"/>
  <c r="P23" i="2"/>
  <c r="L23" i="2"/>
  <c r="K23" i="2"/>
  <c r="I27" i="2" l="1"/>
  <c r="I11" i="9"/>
  <c r="M27" i="2"/>
  <c r="M11" i="9"/>
  <c r="J27" i="2"/>
  <c r="J11" i="9"/>
  <c r="J10" i="10" s="1"/>
  <c r="J12" i="10" s="1"/>
  <c r="J25" i="10" s="1"/>
  <c r="P27" i="2"/>
  <c r="P11" i="9"/>
  <c r="N27" i="2"/>
  <c r="N11" i="9"/>
  <c r="O27" i="2"/>
  <c r="O11" i="9"/>
  <c r="Q27" i="2"/>
  <c r="Q11" i="9"/>
  <c r="K27" i="2"/>
  <c r="K11" i="9"/>
  <c r="L27" i="2"/>
  <c r="L11" i="9"/>
  <c r="H27" i="2"/>
  <c r="H11" i="9"/>
  <c r="H10" i="10" s="1"/>
  <c r="H12" i="10" s="1"/>
  <c r="H25" i="10" s="1"/>
  <c r="K10" i="10" l="1"/>
  <c r="K12" i="10" s="1"/>
  <c r="K25" i="10" s="1"/>
  <c r="J28" i="2"/>
  <c r="J33" i="6" s="1"/>
  <c r="J37" i="6" s="1"/>
  <c r="F30" i="11" s="1"/>
  <c r="H28" i="2"/>
  <c r="H33" i="6" s="1"/>
  <c r="H37" i="6" s="1"/>
  <c r="D30" i="11" s="1"/>
  <c r="H8" i="9"/>
  <c r="O28" i="2"/>
  <c r="O33" i="6" s="1"/>
  <c r="O37" i="6" s="1"/>
  <c r="K30" i="11" s="1"/>
  <c r="K28" i="2"/>
  <c r="K33" i="6" s="1"/>
  <c r="K37" i="6" s="1"/>
  <c r="G30" i="11" s="1"/>
  <c r="O10" i="10"/>
  <c r="O12" i="10" s="1"/>
  <c r="O25" i="10" s="1"/>
  <c r="M28" i="2"/>
  <c r="M33" i="6" s="1"/>
  <c r="M37" i="6" s="1"/>
  <c r="I30" i="11" s="1"/>
  <c r="M10" i="10"/>
  <c r="M12" i="10" s="1"/>
  <c r="M25" i="10" s="1"/>
  <c r="P10" i="10"/>
  <c r="P12" i="10" s="1"/>
  <c r="P25" i="10" s="1"/>
  <c r="P28" i="2"/>
  <c r="P33" i="6" s="1"/>
  <c r="P37" i="6" s="1"/>
  <c r="L30" i="11" s="1"/>
  <c r="N28" i="2"/>
  <c r="N33" i="6" s="1"/>
  <c r="N37" i="6" s="1"/>
  <c r="J30" i="11" s="1"/>
  <c r="Q28" i="2"/>
  <c r="Q33" i="6" s="1"/>
  <c r="Q37" i="6" s="1"/>
  <c r="N10" i="10"/>
  <c r="N12" i="10" s="1"/>
  <c r="N25" i="10" s="1"/>
  <c r="L28" i="2"/>
  <c r="L33" i="6" s="1"/>
  <c r="L37" i="6" s="1"/>
  <c r="H30" i="11" s="1"/>
  <c r="L10" i="10"/>
  <c r="L12" i="10" s="1"/>
  <c r="L25" i="10" s="1"/>
  <c r="I10" i="10"/>
  <c r="I12" i="10" s="1"/>
  <c r="I25" i="10" s="1"/>
  <c r="Q10" i="10"/>
  <c r="Q12" i="10" s="1"/>
  <c r="Q25" i="10" s="1"/>
  <c r="I28" i="2"/>
  <c r="I33" i="6" s="1"/>
  <c r="I37" i="6" s="1"/>
  <c r="E30" i="11" s="1"/>
  <c r="R37" i="6" l="1"/>
  <c r="F49" i="6" s="1"/>
  <c r="F48" i="6" s="1"/>
  <c r="M30" i="11"/>
  <c r="H13" i="9"/>
  <c r="H6" i="9" s="1"/>
  <c r="H48" i="9" s="1"/>
  <c r="K109" i="6"/>
  <c r="H109" i="6"/>
  <c r="I8" i="9"/>
  <c r="N109" i="6"/>
  <c r="P109" i="6"/>
  <c r="Q109" i="6"/>
  <c r="O109" i="6"/>
  <c r="M109" i="6"/>
  <c r="L109" i="6"/>
  <c r="I109" i="6"/>
  <c r="J109" i="6"/>
  <c r="F47" i="6"/>
  <c r="I13" i="9" l="1"/>
  <c r="I6" i="9" s="1"/>
  <c r="I48" i="9" s="1"/>
  <c r="F51" i="6"/>
  <c r="E7" i="4" s="1"/>
  <c r="J8" i="9"/>
  <c r="F60" i="6" l="1"/>
  <c r="F63" i="6" s="1"/>
  <c r="F65" i="6" s="1"/>
  <c r="F67" i="6" s="1"/>
  <c r="K8" i="9"/>
  <c r="K13" i="9" s="1"/>
  <c r="K6" i="9" s="1"/>
  <c r="K48" i="9" s="1"/>
  <c r="J13" i="9"/>
  <c r="J6" i="9" s="1"/>
  <c r="J48" i="9" s="1"/>
  <c r="L8" i="9" l="1"/>
  <c r="L13" i="9" s="1"/>
  <c r="L6" i="9" s="1"/>
  <c r="L48" i="9" s="1"/>
  <c r="M8" i="9" l="1"/>
  <c r="M13" i="9" s="1"/>
  <c r="E29" i="4"/>
  <c r="N8" i="9"/>
  <c r="N13" i="9" s="1"/>
  <c r="M6" i="9"/>
  <c r="M48" i="9" s="1"/>
  <c r="O8" i="9" l="1"/>
  <c r="O13" i="9" s="1"/>
  <c r="N6" i="9"/>
  <c r="N48" i="9" s="1"/>
  <c r="P8" i="9" l="1"/>
  <c r="P13" i="9" s="1"/>
  <c r="O6" i="9"/>
  <c r="O48" i="9" s="1"/>
  <c r="Q8" i="9" l="1"/>
  <c r="P6" i="9"/>
  <c r="P48" i="9" s="1"/>
  <c r="F94" i="6" l="1"/>
  <c r="F85" i="6"/>
  <c r="G94" i="6"/>
  <c r="F95" i="6"/>
  <c r="F7" i="4" s="1"/>
  <c r="Q13" i="9"/>
  <c r="Q6" i="9" s="1"/>
  <c r="Q48" i="9" s="1"/>
  <c r="G85" i="6" l="1"/>
  <c r="G86" i="6" s="1"/>
  <c r="C14" i="11" s="1"/>
  <c r="F86" i="6"/>
  <c r="H85" i="6"/>
  <c r="H86" i="6" s="1"/>
  <c r="E14" i="11" s="1"/>
  <c r="D14" i="11" s="1"/>
  <c r="F15" i="11"/>
  <c r="E15" i="4"/>
  <c r="C10" i="11" s="1"/>
  <c r="G95" i="6"/>
  <c r="C15" i="11" s="1"/>
  <c r="H94" i="6"/>
  <c r="H95" i="6" s="1"/>
  <c r="E15" i="11" s="1"/>
  <c r="F14" i="11" l="1"/>
  <c r="E14" i="4"/>
  <c r="C9" i="11" s="1"/>
  <c r="D15"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Denis Chochiev</author>
  </authors>
  <commentList>
    <comment ref="C20" authorId="0" shapeId="0" xr:uid="{00000000-0006-0000-0300-000001000000}">
      <text>
        <r>
          <rPr>
            <b/>
            <sz val="9"/>
            <color indexed="81"/>
            <rFont val="Tahoma"/>
            <family val="2"/>
            <charset val="204"/>
          </rPr>
          <t>Denis Chochiev:</t>
        </r>
        <r>
          <rPr>
            <sz val="9"/>
            <color indexed="81"/>
            <rFont val="Tahoma"/>
            <family val="2"/>
            <charset val="204"/>
          </rPr>
          <t xml:space="preserve">
предположим, что доля запасов, дебиторской и кредиторской задолженностей останется неизменной с 2021 года</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Petr Demidov</author>
    <author>petrochemicals2@gmail.com</author>
  </authors>
  <commentList>
    <comment ref="C48" authorId="0" shapeId="0" xr:uid="{00000000-0006-0000-0400-000001000000}">
      <text>
        <r>
          <rPr>
            <sz val="9"/>
            <color indexed="81"/>
            <rFont val="Tahoma"/>
            <family val="2"/>
          </rPr>
          <t xml:space="preserve">Use Gordon model and EV/EBIT to estimate terminal value - these are two scenarios for valuation. 
Don't forget about discounting!
</t>
        </r>
      </text>
    </comment>
    <comment ref="C54" authorId="0" shapeId="0" xr:uid="{00000000-0006-0000-0400-000002000000}">
      <text>
        <r>
          <rPr>
            <sz val="9"/>
            <color indexed="81"/>
            <rFont val="Tahoma"/>
            <family val="2"/>
          </rPr>
          <t xml:space="preserve">Take into account other assets/liabilities that were not taken into account in the cash flow.
</t>
        </r>
      </text>
    </comment>
    <comment ref="C69" authorId="0" shapeId="0" xr:uid="{00000000-0006-0000-0400-000003000000}">
      <text>
        <r>
          <rPr>
            <sz val="9"/>
            <color indexed="81"/>
            <rFont val="Tahoma"/>
            <family val="2"/>
          </rPr>
          <t xml:space="preserve">The company is at a high-growth stage so it is not reasonable to fully relly on current financials to estimate value through multiples. Plus the actual EBIT for 2021 is negative so it is impossible to use an EBIT-based multiple.
That's why it is necessary to use forward looking multiples. However, because we use future financials, we have to take into account the time value of money and adjust the multiple by discount factor.
</t>
        </r>
      </text>
    </comment>
    <comment ref="C82" authorId="1" shapeId="0" xr:uid="{00000000-0006-0000-0400-000004000000}">
      <text>
        <r>
          <rPr>
            <sz val="9"/>
            <color indexed="81"/>
            <rFont val="Tahoma"/>
            <family val="2"/>
            <charset val="204"/>
          </rPr>
          <t xml:space="preserve">Discount factor depends on two things:
1. Type of multiple:
- for EV multiple use WACC-based discount factor
- for equity multiple use cost of equity discount factor
2. take into account the year for which the basis of the multiple is used. Revenue in 2024 is different from revenue in 2021 by the time value of money.
Think thoroughly.
</t>
        </r>
      </text>
    </comment>
    <comment ref="C97" authorId="0" shapeId="0" xr:uid="{00000000-0006-0000-0400-000005000000}">
      <text>
        <r>
          <rPr>
            <sz val="9"/>
            <color indexed="81"/>
            <rFont val="Tahoma"/>
            <family val="2"/>
          </rPr>
          <t xml:space="preserve">Create a set of peer companies and calculate multiples using public sources like Yahoo Finance - look for details in the instruction.
Aggregate the gathered data on the sheet "Peers"
</t>
        </r>
      </text>
    </comment>
    <comment ref="C101" authorId="0" shapeId="0" xr:uid="{00000000-0006-0000-0400-000006000000}">
      <text>
        <r>
          <rPr>
            <sz val="9"/>
            <color indexed="81"/>
            <rFont val="Tahoma"/>
            <family val="2"/>
          </rPr>
          <t>Calculate the financial ratios that you consider useful for presentation purposes.</t>
        </r>
      </text>
    </comment>
    <comment ref="C106" authorId="1" shapeId="0" xr:uid="{00000000-0006-0000-0400-000007000000}">
      <text>
        <r>
          <rPr>
            <sz val="9"/>
            <color indexed="81"/>
            <rFont val="Tahoma"/>
            <family val="2"/>
            <charset val="204"/>
          </rPr>
          <t>Complexity of the formula for EBIT/FCFE growth rate is due to the fact that we have to take into account the changing signs to show the actual growth correctly.
For instance, if 
EBIT-2020 = -100
EBIT-2021 = 200
For simple division of these two negative numbers we would get a decline by 100% which is not true, the profit actually increased and became positive.</t>
        </r>
      </text>
    </comment>
  </commentList>
</comments>
</file>

<file path=xl/sharedStrings.xml><?xml version="1.0" encoding="utf-8"?>
<sst xmlns="http://schemas.openxmlformats.org/spreadsheetml/2006/main" count="936" uniqueCount="431">
  <si>
    <t>USD/ unit</t>
  </si>
  <si>
    <t>%</t>
  </si>
  <si>
    <t>x</t>
  </si>
  <si>
    <t>ths USD</t>
  </si>
  <si>
    <t>Calc</t>
  </si>
  <si>
    <t>Taxable profit</t>
  </si>
  <si>
    <t>Profit tax</t>
  </si>
  <si>
    <t>For FCFE (includes financing flows)</t>
  </si>
  <si>
    <t>For FCFF</t>
  </si>
  <si>
    <t>Depreciation</t>
  </si>
  <si>
    <t>Link</t>
  </si>
  <si>
    <t>Capex</t>
  </si>
  <si>
    <t>Capex and depreciation</t>
  </si>
  <si>
    <t>Dividends</t>
  </si>
  <si>
    <t>Interest payment</t>
  </si>
  <si>
    <t>Debt repayment</t>
  </si>
  <si>
    <t>Debt outstanding (end of period)</t>
  </si>
  <si>
    <t>Debt outstanding (beginning of period)</t>
  </si>
  <si>
    <t>Loan 1</t>
  </si>
  <si>
    <t>Debt repayments</t>
  </si>
  <si>
    <t>Interest payments</t>
  </si>
  <si>
    <t>Financing</t>
  </si>
  <si>
    <t>Investments in working capital</t>
  </si>
  <si>
    <t>Net working capital (end of period)</t>
  </si>
  <si>
    <t>Share in revenue</t>
  </si>
  <si>
    <t>Accounts payable</t>
  </si>
  <si>
    <t>Accounts receivable</t>
  </si>
  <si>
    <t>Inventories</t>
  </si>
  <si>
    <t>NWC</t>
  </si>
  <si>
    <t>Total costs</t>
  </si>
  <si>
    <t>Fixed costs</t>
  </si>
  <si>
    <t>Production volume</t>
  </si>
  <si>
    <t>Costs per unit</t>
  </si>
  <si>
    <t>Production costs</t>
  </si>
  <si>
    <t>Variable costs</t>
  </si>
  <si>
    <t>Costs</t>
  </si>
  <si>
    <t>Total revenue</t>
  </si>
  <si>
    <t>Sales volume</t>
  </si>
  <si>
    <t>Sales price</t>
  </si>
  <si>
    <t>Revenue</t>
  </si>
  <si>
    <t>Base</t>
  </si>
  <si>
    <t>UoM</t>
  </si>
  <si>
    <t>Source</t>
  </si>
  <si>
    <t>Indicator</t>
  </si>
  <si>
    <t>Index</t>
  </si>
  <si>
    <t>Calculations</t>
  </si>
  <si>
    <t>*for reference purposes only</t>
  </si>
  <si>
    <t>Gordon growth model</t>
  </si>
  <si>
    <t>100% equity value</t>
  </si>
  <si>
    <t>Optimistic</t>
  </si>
  <si>
    <t>Pessimistic</t>
  </si>
  <si>
    <t>Base Case</t>
  </si>
  <si>
    <t>Sales volumes:</t>
  </si>
  <si>
    <t>Gordon growth model (Base case)</t>
  </si>
  <si>
    <t>Terminal value</t>
  </si>
  <si>
    <t>Sales volume (market size &amp; share)</t>
  </si>
  <si>
    <t>Scenarios</t>
  </si>
  <si>
    <t>EV/Revenue 2021</t>
  </si>
  <si>
    <t>Multiples-based valuation (based on mean multiple)</t>
  </si>
  <si>
    <t>Base case</t>
  </si>
  <si>
    <t>Sales volumes scenarios:</t>
  </si>
  <si>
    <t>DCF-based valuation</t>
  </si>
  <si>
    <t>Used multiple</t>
  </si>
  <si>
    <t>Value</t>
  </si>
  <si>
    <t>Control Panel</t>
  </si>
  <si>
    <t>Client</t>
  </si>
  <si>
    <t>Payout ratio</t>
  </si>
  <si>
    <t>Dividend policy</t>
  </si>
  <si>
    <t>Research</t>
  </si>
  <si>
    <t>Terminal period growth rate</t>
  </si>
  <si>
    <t>Terminal period</t>
  </si>
  <si>
    <t>WACC-based discount factor (USD)</t>
  </si>
  <si>
    <t>Cost of equity-based discount factor (USD)</t>
  </si>
  <si>
    <t>Discount factor</t>
  </si>
  <si>
    <t>Cumulative year of the project</t>
  </si>
  <si>
    <t>Discount period</t>
  </si>
  <si>
    <t>Share of equity</t>
  </si>
  <si>
    <t>Share of debt</t>
  </si>
  <si>
    <t>Cost of debt</t>
  </si>
  <si>
    <t>Cost of equity (USD-originated)</t>
  </si>
  <si>
    <t>Target D/E</t>
  </si>
  <si>
    <t>Beta unlevered</t>
  </si>
  <si>
    <t>Levered beta</t>
  </si>
  <si>
    <t>Market risk premium (S&amp;P 500)</t>
  </si>
  <si>
    <t>Risk-free rate</t>
  </si>
  <si>
    <t>Discount rate calculation</t>
  </si>
  <si>
    <t>Purchase of equipment (fixed assets)</t>
  </si>
  <si>
    <t>CPI_Global</t>
  </si>
  <si>
    <t>Capital expenses</t>
  </si>
  <si>
    <t>Repayment type</t>
  </si>
  <si>
    <t>Debt outstanding</t>
  </si>
  <si>
    <t>Interest rate</t>
  </si>
  <si>
    <t>Accounts payable share in revenue</t>
  </si>
  <si>
    <t>Receivables share in revenue</t>
  </si>
  <si>
    <t>Inventories share in revenue</t>
  </si>
  <si>
    <t>NWC share in revenue</t>
  </si>
  <si>
    <t>Working capital</t>
  </si>
  <si>
    <t>Fixed:</t>
  </si>
  <si>
    <t>USD/unit</t>
  </si>
  <si>
    <t>Production costs per unit</t>
  </si>
  <si>
    <t>Variable:</t>
  </si>
  <si>
    <t>Operating expenses (OPEX)</t>
  </si>
  <si>
    <t>Total sales volume</t>
  </si>
  <si>
    <t>Optimistic case</t>
  </si>
  <si>
    <t>Pessimistic case</t>
  </si>
  <si>
    <t>Price per unit</t>
  </si>
  <si>
    <t>Pricing</t>
  </si>
  <si>
    <t>Inflation Global</t>
  </si>
  <si>
    <t>Macroeconomic Assumptions</t>
  </si>
  <si>
    <t>ths</t>
  </si>
  <si>
    <t>х</t>
  </si>
  <si>
    <t>Units</t>
  </si>
  <si>
    <t>Time factor</t>
  </si>
  <si>
    <t>months</t>
  </si>
  <si>
    <t>The number of months</t>
  </si>
  <si>
    <t>days</t>
  </si>
  <si>
    <t>The number of days in year</t>
  </si>
  <si>
    <t>The end of period</t>
  </si>
  <si>
    <t>The start of period</t>
  </si>
  <si>
    <t>year</t>
  </si>
  <si>
    <t>Calendar year</t>
  </si>
  <si>
    <t>The start of forecast period</t>
  </si>
  <si>
    <t>Inputs</t>
  </si>
  <si>
    <t>CAPEX per unit</t>
  </si>
  <si>
    <t>OPEX per unit</t>
  </si>
  <si>
    <t>FCFE growth</t>
  </si>
  <si>
    <t>EBIT growth</t>
  </si>
  <si>
    <t>Revenue growth</t>
  </si>
  <si>
    <t>Growth rates</t>
  </si>
  <si>
    <t>Net income margin</t>
  </si>
  <si>
    <t>EBIT margin</t>
  </si>
  <si>
    <t>EBITDA margin</t>
  </si>
  <si>
    <t>Profitability</t>
  </si>
  <si>
    <t>Financial ratios</t>
  </si>
  <si>
    <t>EV/Revenue</t>
  </si>
  <si>
    <t>Max</t>
  </si>
  <si>
    <t>Min</t>
  </si>
  <si>
    <t>Mean</t>
  </si>
  <si>
    <t>Multiples - for details see sheet "Peers"</t>
  </si>
  <si>
    <t>(=) Equity value</t>
  </si>
  <si>
    <t>(+) Cash</t>
  </si>
  <si>
    <t>(-) Debt</t>
  </si>
  <si>
    <t>(=) Enterprise value</t>
  </si>
  <si>
    <t>EV/Revenue for peers</t>
  </si>
  <si>
    <t>Revenue in 2021</t>
  </si>
  <si>
    <t>Comparables valuation</t>
  </si>
  <si>
    <t>(=) Enterprise value (EV)</t>
  </si>
  <si>
    <t>(-) Other non-current liabilities</t>
  </si>
  <si>
    <t>(-) Other current liabilities</t>
  </si>
  <si>
    <t>(+) Other non-current assets</t>
  </si>
  <si>
    <t>(+) Other current assets</t>
  </si>
  <si>
    <t>(+) Net other adjustments</t>
  </si>
  <si>
    <t>(-) Cash</t>
  </si>
  <si>
    <t>(+) Debt</t>
  </si>
  <si>
    <t>(=) Equity value based on DCF (Equity)</t>
  </si>
  <si>
    <t>(+) Terminal value</t>
  </si>
  <si>
    <t>Forecast period value</t>
  </si>
  <si>
    <t>DCF valuation results</t>
  </si>
  <si>
    <t>(=) FCFE (Free Cash Flow to Equity)</t>
  </si>
  <si>
    <t>(-) Debt repayment</t>
  </si>
  <si>
    <t>(+) Depreciation</t>
  </si>
  <si>
    <t>(-) Investments in working capital</t>
  </si>
  <si>
    <t>(-) Capital expenses (CAPEX)</t>
  </si>
  <si>
    <t>(=) EBITDA</t>
  </si>
  <si>
    <t>(-) Admininstrative &amp; Marketing</t>
  </si>
  <si>
    <t>(-) Production costs</t>
  </si>
  <si>
    <t>FCFE (Free Cash Flow to Equity)</t>
  </si>
  <si>
    <t>Net income</t>
  </si>
  <si>
    <t>EBT margin</t>
  </si>
  <si>
    <t>Earnings before taxes (EBT)</t>
  </si>
  <si>
    <t>Operating profit (EBIT)</t>
  </si>
  <si>
    <t>Selling, general and administrative expenses (SG&amp;A)</t>
  </si>
  <si>
    <t>Gross profit margin</t>
  </si>
  <si>
    <t>Gross profit</t>
  </si>
  <si>
    <t>Income Statement</t>
  </si>
  <si>
    <t>Check</t>
  </si>
  <si>
    <t>Total equity</t>
  </si>
  <si>
    <t>Common stock</t>
  </si>
  <si>
    <t>Equity</t>
  </si>
  <si>
    <t>Total non-current liabilities</t>
  </si>
  <si>
    <t>Other non-current liabilities</t>
  </si>
  <si>
    <t>Non-current liabilities</t>
  </si>
  <si>
    <t>Total current liabilities</t>
  </si>
  <si>
    <t>Current liabilities</t>
  </si>
  <si>
    <t>EQUITY &amp; LIABILITIES</t>
  </si>
  <si>
    <t>Total non-current assets</t>
  </si>
  <si>
    <t>Other non-current assets</t>
  </si>
  <si>
    <t>Goodwill</t>
  </si>
  <si>
    <t>Non-current assets</t>
  </si>
  <si>
    <t>Total current assets</t>
  </si>
  <si>
    <t>Other current assets</t>
  </si>
  <si>
    <t>Cash &amp; cash equivalents</t>
  </si>
  <si>
    <t>Current assets</t>
  </si>
  <si>
    <t>ASSETS</t>
  </si>
  <si>
    <t>Balance Sheet</t>
  </si>
  <si>
    <t>Net change in cash</t>
  </si>
  <si>
    <t>*Cash position</t>
  </si>
  <si>
    <t>Change in borrowings</t>
  </si>
  <si>
    <t>CASH FLOW FROM FINACING</t>
  </si>
  <si>
    <t>CAPEX</t>
  </si>
  <si>
    <t>CASH FLOW FROM INVESTMENTS</t>
  </si>
  <si>
    <t>Total cash flow from opeartions</t>
  </si>
  <si>
    <t>Change in payables</t>
  </si>
  <si>
    <t>Change in recievables</t>
  </si>
  <si>
    <t>Change in inventories</t>
  </si>
  <si>
    <t>Net Income</t>
  </si>
  <si>
    <t>CASH FLOW FROM OPERATIONS</t>
  </si>
  <si>
    <t>Cash Flow Statement</t>
  </si>
  <si>
    <t>Debt servicing (interest + repayment)</t>
  </si>
  <si>
    <t>FCFE</t>
  </si>
  <si>
    <t>Cash flow</t>
  </si>
  <si>
    <t>OPEX+CAPEX (USD/ unit)</t>
  </si>
  <si>
    <t>Sales volume (ths units)</t>
  </si>
  <si>
    <t>Main assumptions</t>
  </si>
  <si>
    <t>Name</t>
  </si>
  <si>
    <t>Key forecast figures (Base Case)</t>
  </si>
  <si>
    <t>DCF (FCFE)</t>
  </si>
  <si>
    <t>Mean or Base Case</t>
  </si>
  <si>
    <t>Range</t>
  </si>
  <si>
    <t>Valuation results</t>
  </si>
  <si>
    <t>Total Market (without financials)</t>
  </si>
  <si>
    <t>Total Market</t>
  </si>
  <si>
    <t>Utility (Water)</t>
  </si>
  <si>
    <t>Utility (General)</t>
  </si>
  <si>
    <t>Trucking</t>
  </si>
  <si>
    <t>Transportation (Railroads)</t>
  </si>
  <si>
    <t>Transportation</t>
  </si>
  <si>
    <t>Tobacco</t>
  </si>
  <si>
    <t>Telecom. Services</t>
  </si>
  <si>
    <t>Telecom. Equipment</t>
  </si>
  <si>
    <t>Telecom (Wireless)</t>
  </si>
  <si>
    <t>Steel</t>
  </si>
  <si>
    <t>Software (System &amp; Application)</t>
  </si>
  <si>
    <t>Software (Internet)</t>
  </si>
  <si>
    <t>Software (Entertainment)</t>
  </si>
  <si>
    <t>Shoe</t>
  </si>
  <si>
    <t>Shipbuilding &amp; Marine</t>
  </si>
  <si>
    <t>Semiconductor Equip</t>
  </si>
  <si>
    <t>Semiconductor</t>
  </si>
  <si>
    <t>Rubber&amp; Tires</t>
  </si>
  <si>
    <t>Retail (Special Lines)</t>
  </si>
  <si>
    <t>Retail (Online)</t>
  </si>
  <si>
    <t>Retail (Grocery and Food)</t>
  </si>
  <si>
    <t>Retail (General)</t>
  </si>
  <si>
    <t>Retail (Distributors)</t>
  </si>
  <si>
    <t>Retail (Building Supply)</t>
  </si>
  <si>
    <t>Retail (Automotive)</t>
  </si>
  <si>
    <t>Restaurant/Dining</t>
  </si>
  <si>
    <t>Reinsurance</t>
  </si>
  <si>
    <t>Recreation</t>
  </si>
  <si>
    <t>Real Estate (Operations &amp; Services)</t>
  </si>
  <si>
    <t>Real Estate (General/Diversified)</t>
  </si>
  <si>
    <t>Real Estate (Development)</t>
  </si>
  <si>
    <t>R.E.I.T.</t>
  </si>
  <si>
    <t>Publishing &amp; Newspapers</t>
  </si>
  <si>
    <t>Precious Metals</t>
  </si>
  <si>
    <t>Power</t>
  </si>
  <si>
    <t>Paper/Forest Products</t>
  </si>
  <si>
    <t>Packaging &amp; Container</t>
  </si>
  <si>
    <t>Oilfield Svcs/Equip.</t>
  </si>
  <si>
    <t>Oil/Gas Distribution</t>
  </si>
  <si>
    <t>Oil/Gas (Production and Exploration)</t>
  </si>
  <si>
    <t>Oil/Gas (Integrated)</t>
  </si>
  <si>
    <t>Office Equipment &amp; Services</t>
  </si>
  <si>
    <t>Metals &amp; Mining</t>
  </si>
  <si>
    <t>Machinery</t>
  </si>
  <si>
    <t>Investments &amp; Asset Management</t>
  </si>
  <si>
    <t>Insurance (Prop/Cas.)</t>
  </si>
  <si>
    <t>Insurance (Life)</t>
  </si>
  <si>
    <t>Insurance (General)</t>
  </si>
  <si>
    <t>Information Services</t>
  </si>
  <si>
    <t>Household Products</t>
  </si>
  <si>
    <t>Hotel/Gaming</t>
  </si>
  <si>
    <t>Hospitals/Healthcare Facilities</t>
  </si>
  <si>
    <t>Homebuilding</t>
  </si>
  <si>
    <t>Heathcare Information and Technology</t>
  </si>
  <si>
    <t>Healthcare Support Services</t>
  </si>
  <si>
    <t>Healthcare Products</t>
  </si>
  <si>
    <t>Green &amp; Renewable Energy</t>
  </si>
  <si>
    <t>Furn/Home Furnishings</t>
  </si>
  <si>
    <t>Food Wholesalers</t>
  </si>
  <si>
    <t>Food Processing</t>
  </si>
  <si>
    <t>Financial Svcs. (Non-bank &amp; Insurance)</t>
  </si>
  <si>
    <t>Farming/Agriculture</t>
  </si>
  <si>
    <t>Environmental &amp; Waste Services</t>
  </si>
  <si>
    <t>Entertainment</t>
  </si>
  <si>
    <t>Engineering/Construction</t>
  </si>
  <si>
    <t>Electronics (General)</t>
  </si>
  <si>
    <t>Electronics (Consumer &amp; Office)</t>
  </si>
  <si>
    <t>Electrical Equipment</t>
  </si>
  <si>
    <t>Education</t>
  </si>
  <si>
    <t>Drugs (Pharmaceutical)</t>
  </si>
  <si>
    <t>Drugs (Biotechnology)</t>
  </si>
  <si>
    <t>Diversified</t>
  </si>
  <si>
    <t>Construction Supplies</t>
  </si>
  <si>
    <t>Computers/Peripherals</t>
  </si>
  <si>
    <t>Computer Services</t>
  </si>
  <si>
    <t>Coal &amp; Related Energy</t>
  </si>
  <si>
    <t>Chemical (Specialty)</t>
  </si>
  <si>
    <t>Chemical (Diversified)</t>
  </si>
  <si>
    <t>Chemical (Basic)</t>
  </si>
  <si>
    <t>Cable TV</t>
  </si>
  <si>
    <t>Business &amp; Consumer Services</t>
  </si>
  <si>
    <t>Building Materials</t>
  </si>
  <si>
    <t>Brokerage &amp; Investment Banking</t>
  </si>
  <si>
    <t>Broadcasting</t>
  </si>
  <si>
    <t>Beverage (Soft)</t>
  </si>
  <si>
    <t>Beverage (Alcoholic)</t>
  </si>
  <si>
    <t>Banks (Regional)</t>
  </si>
  <si>
    <t>Bank (Money Center)</t>
  </si>
  <si>
    <t>Auto Parts</t>
  </si>
  <si>
    <t>Auto &amp; Truck</t>
  </si>
  <si>
    <t>Apparel</t>
  </si>
  <si>
    <t>Air Transport</t>
  </si>
  <si>
    <t>Aerospace/Defense</t>
  </si>
  <si>
    <t>Advertising</t>
  </si>
  <si>
    <t>Standard deviation in operating income (last 10 years)</t>
  </si>
  <si>
    <t>Standard deviation of equity</t>
  </si>
  <si>
    <t>HiLo Risk</t>
  </si>
  <si>
    <t>Unlevered beta corrected for cash</t>
  </si>
  <si>
    <t>Cash/Firm value</t>
  </si>
  <si>
    <t>Unlevered beta</t>
  </si>
  <si>
    <t>Tax rate</t>
  </si>
  <si>
    <t>D/E Ratio</t>
  </si>
  <si>
    <t xml:space="preserve">Beta </t>
  </si>
  <si>
    <t>Number of firms</t>
  </si>
  <si>
    <t>Industry Name</t>
  </si>
  <si>
    <t>http://www.stern.nyu.edu/~adamodar/New_Home_Page/datafile/variable.htm</t>
  </si>
  <si>
    <t>Variable definitions:</t>
  </si>
  <si>
    <t>http://www.stern.nyu.edu/~adamodar/pc/datasets/indname.xls</t>
  </si>
  <si>
    <t>Companies in each industry:</t>
  </si>
  <si>
    <t>http://www.stern.nyu.edu/~adamodar/New_Home_Page/data.html</t>
  </si>
  <si>
    <t>Data website:</t>
  </si>
  <si>
    <t>http://www.damodaran.com</t>
  </si>
  <si>
    <t>Home Page:</t>
  </si>
  <si>
    <t>Global</t>
  </si>
  <si>
    <t>Beta, Unlevered beta and other risk measures</t>
  </si>
  <si>
    <t>What is this data?</t>
  </si>
  <si>
    <t>Aswath Damodaran, adamodar@stern.nyu.edu</t>
  </si>
  <si>
    <t>Created by:</t>
  </si>
  <si>
    <t>Date updated:</t>
  </si>
  <si>
    <t>Equity Research of The Coca-Cola Company</t>
  </si>
  <si>
    <t>Denis Chochiev</t>
  </si>
  <si>
    <t>Prepared by:</t>
  </si>
  <si>
    <t>Time</t>
  </si>
  <si>
    <t>The Coca-Cola Company</t>
  </si>
  <si>
    <t>Mn USD</t>
  </si>
  <si>
    <t>Mn units</t>
  </si>
  <si>
    <t>USD</t>
  </si>
  <si>
    <t>CAGR</t>
  </si>
  <si>
    <t>Sales volume = Previous Sales Volume * (1+CAGR)</t>
  </si>
  <si>
    <t>SG&amp;A</t>
  </si>
  <si>
    <t>COGS</t>
  </si>
  <si>
    <t xml:space="preserve">WACC </t>
  </si>
  <si>
    <t>D&amp;A share in revenue</t>
  </si>
  <si>
    <t xml:space="preserve">   Capex share in revenue</t>
  </si>
  <si>
    <t xml:space="preserve">   D&amp;A share in revenue</t>
  </si>
  <si>
    <t>Gross Profit</t>
  </si>
  <si>
    <t xml:space="preserve">    Gross Profit margin</t>
  </si>
  <si>
    <t>Operating Profit (EBIT)</t>
  </si>
  <si>
    <t xml:space="preserve">(-) Other operating charges </t>
  </si>
  <si>
    <t>(=) Income Before Taxes (EBT)</t>
  </si>
  <si>
    <t xml:space="preserve">    (+) Interest income</t>
  </si>
  <si>
    <t xml:space="preserve">    (-) Interest expense</t>
  </si>
  <si>
    <t xml:space="preserve">    (+) Equity income (loss) - net</t>
  </si>
  <si>
    <t xml:space="preserve">    (+) Other income (loss) - net</t>
  </si>
  <si>
    <t>(=) Consolidated Net Income</t>
  </si>
  <si>
    <t xml:space="preserve">(=) Net Income to Shareowners </t>
  </si>
  <si>
    <t>(-) Income tax</t>
  </si>
  <si>
    <t>Net income (loss) attributable to noncontolling interests</t>
  </si>
  <si>
    <t>Calculation of EBITDA from EBIT</t>
  </si>
  <si>
    <t xml:space="preserve">    (+) Depreciation</t>
  </si>
  <si>
    <t xml:space="preserve">         EBIT</t>
  </si>
  <si>
    <t xml:space="preserve">    EBITDA margin</t>
  </si>
  <si>
    <t>Ticker</t>
  </si>
  <si>
    <t>PepsiCo</t>
  </si>
  <si>
    <t>Keurig Dr Pepper</t>
  </si>
  <si>
    <t>Monster Beverage Corporation</t>
  </si>
  <si>
    <t>Nestlé S.A.</t>
  </si>
  <si>
    <t>KO</t>
  </si>
  <si>
    <t>PEP</t>
  </si>
  <si>
    <t>KDP</t>
  </si>
  <si>
    <t>MNST</t>
  </si>
  <si>
    <t>NSRGY</t>
  </si>
  <si>
    <t>Mkt Cap ($Bn)</t>
  </si>
  <si>
    <t>P/E</t>
  </si>
  <si>
    <t>EV/EBITDA</t>
  </si>
  <si>
    <t>EV/Rev</t>
  </si>
  <si>
    <t>EV/EBITDA multiple</t>
  </si>
  <si>
    <t>Total cash flow from investments</t>
  </si>
  <si>
    <t>Total cash flow from financing</t>
  </si>
  <si>
    <t>Deferred income tax assets</t>
  </si>
  <si>
    <t>Equity method investments</t>
  </si>
  <si>
    <t>Trademarks with indefinite lives</t>
  </si>
  <si>
    <t>PPE net</t>
  </si>
  <si>
    <t>Other intangible assets</t>
  </si>
  <si>
    <t>Other investments</t>
  </si>
  <si>
    <t>Accounts payable and accrued expenses</t>
  </si>
  <si>
    <t>Loans and notes payable</t>
  </si>
  <si>
    <t>Current maturities of long-term debt</t>
  </si>
  <si>
    <t>Accrued income taxes</t>
  </si>
  <si>
    <t>Long-term debt</t>
  </si>
  <si>
    <t>Deferred income tax liabilities</t>
  </si>
  <si>
    <t>Reinvested  earnings</t>
  </si>
  <si>
    <t>Short-term investment</t>
  </si>
  <si>
    <t xml:space="preserve">Dividend </t>
  </si>
  <si>
    <t>Capital surplus</t>
  </si>
  <si>
    <t>Accumulated other comprehensive income (loss)</t>
  </si>
  <si>
    <t>Treasury stock</t>
  </si>
  <si>
    <t>Payment of debt</t>
  </si>
  <si>
    <t>Equal parts starting from 2022</t>
  </si>
  <si>
    <t>(+) Other invetments</t>
  </si>
  <si>
    <t>EV/EBITDA for peers</t>
  </si>
  <si>
    <t xml:space="preserve">      (-) Debt</t>
  </si>
  <si>
    <t xml:space="preserve">      (+) Cash</t>
  </si>
  <si>
    <t>(=) Market cap</t>
  </si>
  <si>
    <t>No of shares</t>
  </si>
  <si>
    <t>(=) Value of 1 share</t>
  </si>
  <si>
    <t>Current price of 1 share</t>
  </si>
  <si>
    <t>Change from the current price</t>
  </si>
  <si>
    <t>Based on EV/EBITDA multiple*</t>
  </si>
  <si>
    <t>Based on EV/EBITDA multiple (Alternative)</t>
  </si>
  <si>
    <t>EBITDA in 2031</t>
  </si>
  <si>
    <t>EV/EBITDA 2031 (forward looking)</t>
  </si>
  <si>
    <t>Football field diagram - valuation results of 1 share value</t>
  </si>
  <si>
    <t>Revenue in 2031</t>
  </si>
  <si>
    <t>EV/Revenue 2031 (forward looking)</t>
  </si>
  <si>
    <t>EV/Revenue 2031</t>
  </si>
  <si>
    <t>EV/EBIT 2031</t>
  </si>
  <si>
    <t>100% equity value, Bn USD</t>
  </si>
  <si>
    <t>EV/EBITDA 2031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</si>
</sst>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_-* #,##0.00\ _₽_-;\-* #,##0.00\ _₽_-;_-* &quot;-&quot;??\ _₽_-;_-@_-"/>
    <numFmt numFmtId="165" formatCode="#,##0_);\(#,##0\);\-"/>
    <numFmt numFmtId="166" formatCode="0.0%"/>
    <numFmt numFmtId="167" formatCode="0.0"/>
    <numFmt numFmtId="168" formatCode="#,##0.0_);\(#,##0.0\);\-"/>
    <numFmt numFmtId="169" formatCode="#,##0.00_);\(#,##0.00\);\-"/>
    <numFmt numFmtId="170" formatCode="#,##0.0;\ \-#,##0.0;\ \-"/>
    <numFmt numFmtId="171" formatCode="#,##0;\ \-#,##0;\ \-"/>
    <numFmt numFmtId="172" formatCode="_-* #,##0_-;\-* #,##0_-;_-* &quot;-&quot;??_-;_-@_-"/>
    <numFmt numFmtId="173" formatCode="0.0000"/>
    <numFmt numFmtId="174" formatCode="#,##0.0"/>
  </numFmts>
  <fonts count="63"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sz val="11"/>
      <color rgb="FF3F3F76"/>
      <name val="Calibri"/>
      <family val="2"/>
      <charset val="204"/>
      <scheme val="minor"/>
    </font>
    <font>
      <b/>
      <sz val="11"/>
      <color rgb="FFFA7D00"/>
      <name val="Calibri"/>
      <family val="2"/>
      <charset val="204"/>
      <scheme val="minor"/>
    </font>
    <font>
      <sz val="8"/>
      <color theme="1"/>
      <name val="Arial"/>
      <family val="2"/>
    </font>
    <font>
      <sz val="8"/>
      <color theme="1" tint="0.499984740745262"/>
      <name val="Arial"/>
      <family val="2"/>
    </font>
    <font>
      <sz val="9"/>
      <color theme="1"/>
      <name val="Arial"/>
      <family val="2"/>
      <charset val="204"/>
    </font>
    <font>
      <b/>
      <sz val="8"/>
      <color theme="1"/>
      <name val="Arial"/>
      <family val="2"/>
    </font>
    <font>
      <i/>
      <sz val="8"/>
      <color theme="1"/>
      <name val="Arial"/>
      <family val="2"/>
    </font>
    <font>
      <sz val="8"/>
      <color theme="1"/>
      <name val="Arial"/>
      <family val="2"/>
      <charset val="204"/>
    </font>
    <font>
      <b/>
      <sz val="8"/>
      <color theme="1" tint="0.499984740745262"/>
      <name val="Arial"/>
      <family val="2"/>
    </font>
    <font>
      <sz val="8"/>
      <color theme="1" tint="0.499984740745262"/>
      <name val="Arial"/>
      <family val="2"/>
      <charset val="204"/>
    </font>
    <font>
      <i/>
      <sz val="8"/>
      <color theme="1"/>
      <name val="Arial"/>
      <family val="2"/>
      <charset val="204"/>
    </font>
    <font>
      <b/>
      <sz val="8"/>
      <color theme="1"/>
      <name val="Arial"/>
      <family val="2"/>
      <charset val="204"/>
    </font>
    <font>
      <b/>
      <sz val="8"/>
      <color theme="1" tint="0.499984740745262"/>
      <name val="Arial"/>
      <family val="2"/>
      <charset val="204"/>
    </font>
    <font>
      <i/>
      <sz val="8"/>
      <color theme="1" tint="0.499984740745262"/>
      <name val="Arial"/>
      <family val="2"/>
    </font>
    <font>
      <b/>
      <sz val="9"/>
      <color theme="1"/>
      <name val="Arial"/>
      <family val="2"/>
      <charset val="204"/>
    </font>
    <font>
      <b/>
      <sz val="12"/>
      <color theme="1"/>
      <name val="Arial"/>
      <family val="2"/>
      <charset val="204"/>
    </font>
    <font>
      <b/>
      <sz val="12"/>
      <color rgb="FFA41320"/>
      <name val="Arial"/>
      <family val="2"/>
      <charset val="204"/>
    </font>
    <font>
      <sz val="9"/>
      <color indexed="81"/>
      <name val="Tahoma"/>
      <family val="2"/>
      <charset val="204"/>
    </font>
    <font>
      <sz val="9"/>
      <color indexed="81"/>
      <name val="Tahoma"/>
      <family val="2"/>
    </font>
    <font>
      <sz val="11"/>
      <color theme="1"/>
      <name val="Segoe UI"/>
      <family val="2"/>
      <charset val="204"/>
    </font>
    <font>
      <i/>
      <sz val="12"/>
      <color theme="1"/>
      <name val="Segoe UI"/>
      <family val="2"/>
    </font>
    <font>
      <b/>
      <sz val="16"/>
      <color theme="1"/>
      <name val="Segoe UI"/>
      <family val="2"/>
      <charset val="204"/>
    </font>
    <font>
      <sz val="11"/>
      <color theme="0"/>
      <name val="Segoe UI"/>
      <family val="2"/>
      <charset val="204"/>
    </font>
    <font>
      <sz val="20"/>
      <color theme="0"/>
      <name val="Lucida Bright"/>
      <family val="1"/>
    </font>
    <font>
      <sz val="10"/>
      <color theme="1"/>
      <name val="Arial"/>
      <family val="2"/>
      <charset val="204"/>
    </font>
    <font>
      <b/>
      <sz val="10"/>
      <color theme="1"/>
      <name val="Arial"/>
      <family val="2"/>
    </font>
    <font>
      <b/>
      <sz val="11"/>
      <color theme="1"/>
      <name val="Arial"/>
      <family val="2"/>
      <charset val="204"/>
    </font>
    <font>
      <i/>
      <sz val="10"/>
      <color theme="1"/>
      <name val="Arial"/>
      <family val="2"/>
      <charset val="204"/>
    </font>
    <font>
      <b/>
      <sz val="10"/>
      <color theme="1"/>
      <name val="Arial"/>
      <family val="2"/>
      <charset val="204"/>
    </font>
    <font>
      <i/>
      <sz val="9"/>
      <color rgb="FFFF0000"/>
      <name val="Arial"/>
      <family val="2"/>
    </font>
    <font>
      <i/>
      <sz val="8"/>
      <color theme="0" tint="-0.499984740745262"/>
      <name val="Arial"/>
      <family val="2"/>
      <charset val="204"/>
    </font>
    <font>
      <sz val="8"/>
      <color rgb="FF002060"/>
      <name val="Arial"/>
      <family val="2"/>
      <charset val="204"/>
    </font>
    <font>
      <sz val="11"/>
      <color theme="1"/>
      <name val="Arial"/>
      <family val="2"/>
      <charset val="204"/>
    </font>
    <font>
      <sz val="9"/>
      <color theme="1"/>
      <name val="Calibri"/>
      <family val="2"/>
      <scheme val="minor"/>
    </font>
    <font>
      <sz val="8"/>
      <color rgb="FF3F3F76"/>
      <name val="Arial"/>
      <family val="2"/>
      <charset val="204"/>
    </font>
    <font>
      <sz val="8"/>
      <color rgb="FFFF0000"/>
      <name val="Arial"/>
      <family val="2"/>
    </font>
    <font>
      <sz val="10"/>
      <name val="Arial"/>
      <family val="2"/>
      <charset val="204"/>
    </font>
    <font>
      <sz val="8"/>
      <color indexed="8"/>
      <name val="Arial"/>
      <family val="2"/>
      <charset val="204"/>
    </font>
    <font>
      <b/>
      <u val="singleAccounting"/>
      <sz val="8"/>
      <color indexed="8"/>
      <name val="Arial"/>
      <family val="2"/>
      <charset val="204"/>
    </font>
    <font>
      <b/>
      <sz val="11"/>
      <color theme="1"/>
      <name val="Calibri"/>
      <family val="2"/>
      <scheme val="minor"/>
    </font>
    <font>
      <i/>
      <sz val="11"/>
      <color theme="1"/>
      <name val="Calibri"/>
      <family val="2"/>
      <scheme val="minor"/>
    </font>
    <font>
      <b/>
      <i/>
      <sz val="8"/>
      <color rgb="FFFF0000"/>
      <name val="Arial"/>
      <family val="2"/>
    </font>
    <font>
      <sz val="8"/>
      <color theme="0"/>
      <name val="Arial"/>
      <family val="2"/>
      <charset val="204"/>
    </font>
    <font>
      <b/>
      <sz val="10"/>
      <color theme="0"/>
      <name val="Arial"/>
      <family val="2"/>
      <charset val="204"/>
    </font>
    <font>
      <b/>
      <i/>
      <sz val="8"/>
      <color theme="1"/>
      <name val="Arial"/>
      <family val="2"/>
      <charset val="204"/>
    </font>
    <font>
      <sz val="12"/>
      <color theme="1"/>
      <name val="Calibri"/>
      <family val="2"/>
      <scheme val="minor"/>
    </font>
    <font>
      <b/>
      <sz val="12"/>
      <color theme="1"/>
      <name val="Calibri"/>
      <family val="2"/>
      <scheme val="minor"/>
    </font>
    <font>
      <i/>
      <sz val="10"/>
      <name val="Verdana"/>
      <family val="2"/>
      <charset val="204"/>
    </font>
    <font>
      <u/>
      <sz val="12"/>
      <color theme="10"/>
      <name val="Calibri"/>
      <family val="2"/>
      <scheme val="minor"/>
    </font>
    <font>
      <b/>
      <sz val="12"/>
      <color rgb="FF000000"/>
      <name val="Calibri"/>
      <family val="2"/>
      <scheme val="minor"/>
    </font>
    <font>
      <sz val="12"/>
      <color rgb="FF000000"/>
      <name val="Calibri"/>
      <family val="2"/>
      <scheme val="minor"/>
    </font>
    <font>
      <sz val="12"/>
      <name val="Calibri"/>
      <family val="2"/>
      <charset val="204"/>
      <scheme val="minor"/>
    </font>
    <font>
      <i/>
      <sz val="12"/>
      <color rgb="FF000000"/>
      <name val="Calibri"/>
      <family val="2"/>
      <charset val="204"/>
      <scheme val="minor"/>
    </font>
    <font>
      <sz val="12"/>
      <color theme="1"/>
      <name val="Segoe UI"/>
      <family val="2"/>
      <charset val="204"/>
    </font>
    <font>
      <b/>
      <sz val="9"/>
      <color indexed="81"/>
      <name val="Tahoma"/>
      <family val="2"/>
      <charset val="204"/>
    </font>
    <font>
      <b/>
      <sz val="8"/>
      <color theme="0"/>
      <name val="Arial"/>
      <family val="2"/>
      <charset val="204"/>
    </font>
    <font>
      <b/>
      <sz val="11"/>
      <color indexed="9"/>
      <name val="Calibri"/>
      <family val="2"/>
    </font>
    <font>
      <b/>
      <sz val="8"/>
      <color theme="0"/>
      <name val="Arial"/>
      <family val="2"/>
    </font>
    <font>
      <sz val="8"/>
      <color theme="0"/>
      <name val="Arial"/>
      <family val="2"/>
    </font>
  </fonts>
  <fills count="17">
    <fill>
      <patternFill patternType="none"/>
    </fill>
    <fill>
      <patternFill patternType="gray125"/>
    </fill>
    <fill>
      <patternFill patternType="solid">
        <fgColor rgb="FFFFCC99"/>
      </patternFill>
    </fill>
    <fill>
      <patternFill patternType="solid">
        <fgColor rgb="FFF2F2F2"/>
      </patternFill>
    </fill>
    <fill>
      <patternFill patternType="solid">
        <fgColor theme="0" tint="-0.249977111117893"/>
        <bgColor indexed="64"/>
      </patternFill>
    </fill>
    <fill>
      <patternFill patternType="solid">
        <fgColor rgb="FFA41320"/>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rgb="FFFFEC8F"/>
        <bgColor indexed="64"/>
      </patternFill>
    </fill>
    <fill>
      <patternFill patternType="solid">
        <fgColor theme="2" tint="-0.14999847407452621"/>
        <bgColor indexed="64"/>
      </patternFill>
    </fill>
    <fill>
      <patternFill patternType="solid">
        <fgColor rgb="FFFFFF00"/>
        <bgColor indexed="64"/>
      </patternFill>
    </fill>
    <fill>
      <patternFill patternType="solid">
        <fgColor indexed="60"/>
        <bgColor indexed="64"/>
      </patternFill>
    </fill>
    <fill>
      <patternFill patternType="solid">
        <fgColor theme="0" tint="-0.14999847407452621"/>
        <bgColor rgb="FF000000"/>
      </patternFill>
    </fill>
    <fill>
      <patternFill patternType="solid">
        <fgColor rgb="FFFF0000"/>
        <bgColor indexed="64"/>
      </patternFill>
    </fill>
    <fill>
      <patternFill patternType="solid">
        <fgColor rgb="FF92D050"/>
        <bgColor indexed="64"/>
      </patternFill>
    </fill>
    <fill>
      <patternFill patternType="solid">
        <fgColor rgb="FF4F81BD"/>
        <bgColor indexed="64"/>
      </patternFill>
    </fill>
    <fill>
      <patternFill patternType="solid">
        <fgColor theme="7" tint="0.59999389629810485"/>
        <bgColor indexed="64"/>
      </patternFill>
    </fill>
  </fills>
  <borders count="29">
    <border>
      <left/>
      <right/>
      <top/>
      <bottom/>
      <diagonal/>
    </border>
    <border>
      <left style="thin">
        <color rgb="FF7F7F7F"/>
      </left>
      <right style="thin">
        <color rgb="FF7F7F7F"/>
      </right>
      <top style="thin">
        <color rgb="FF7F7F7F"/>
      </top>
      <bottom style="thin">
        <color rgb="FF7F7F7F"/>
      </bottom>
      <diagonal/>
    </border>
    <border>
      <left/>
      <right/>
      <top/>
      <bottom style="thin">
        <color indexed="64"/>
      </bottom>
      <diagonal/>
    </border>
    <border>
      <left style="hair">
        <color auto="1"/>
      </left>
      <right style="hair">
        <color auto="1"/>
      </right>
      <top style="hair">
        <color auto="1"/>
      </top>
      <bottom style="hair">
        <color auto="1"/>
      </bottom>
      <diagonal/>
    </border>
    <border>
      <left/>
      <right/>
      <top/>
      <bottom style="hair">
        <color auto="1"/>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medium">
        <color rgb="FF000000"/>
      </right>
      <top style="thin">
        <color indexed="64"/>
      </top>
      <bottom/>
      <diagonal/>
    </border>
    <border>
      <left style="medium">
        <color indexed="64"/>
      </left>
      <right style="thin">
        <color indexed="64"/>
      </right>
      <top/>
      <bottom/>
      <diagonal/>
    </border>
    <border>
      <left/>
      <right style="medium">
        <color rgb="FF000000"/>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bottom style="thin">
        <color indexed="64"/>
      </bottom>
      <diagonal/>
    </border>
    <border>
      <left/>
      <right style="medium">
        <color rgb="FF000000"/>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right style="hair">
        <color theme="0"/>
      </right>
      <top style="thin">
        <color indexed="64"/>
      </top>
      <bottom/>
      <diagonal/>
    </border>
    <border>
      <left style="hair">
        <color theme="0"/>
      </left>
      <right style="hair">
        <color theme="0"/>
      </right>
      <top style="thin">
        <color indexed="64"/>
      </top>
      <bottom style="hair">
        <color theme="0"/>
      </bottom>
      <diagonal/>
    </border>
  </borders>
  <cellStyleXfs count="14">
    <xf numFmtId="0" fontId="0" fillId="0" borderId="0"/>
    <xf numFmtId="9" fontId="3" fillId="0" borderId="0" applyFont="0" applyFill="0" applyBorder="0" applyAlignment="0" applyProtection="0"/>
    <xf numFmtId="0" fontId="4" fillId="2" borderId="1" applyNumberFormat="0" applyAlignment="0" applyProtection="0"/>
    <xf numFmtId="0" fontId="5" fillId="3" borderId="1" applyNumberFormat="0" applyAlignment="0" applyProtection="0"/>
    <xf numFmtId="0" fontId="2" fillId="0" borderId="0"/>
    <xf numFmtId="164" fontId="3" fillId="0" borderId="0" applyFont="0" applyFill="0" applyBorder="0" applyAlignment="0" applyProtection="0"/>
    <xf numFmtId="14" fontId="37" fillId="9" borderId="0" applyNumberFormat="0"/>
    <xf numFmtId="0" fontId="40" fillId="0" borderId="0"/>
    <xf numFmtId="0" fontId="41" fillId="0" borderId="0" applyAlignment="0"/>
    <xf numFmtId="0" fontId="42" fillId="11" borderId="0" applyAlignment="0"/>
    <xf numFmtId="0" fontId="49" fillId="0" borderId="0"/>
    <xf numFmtId="0" fontId="52" fillId="0" borderId="0" applyNumberFormat="0" applyFill="0" applyBorder="0" applyAlignment="0" applyProtection="0"/>
    <xf numFmtId="0" fontId="60" fillId="15" borderId="0"/>
    <xf numFmtId="164" fontId="3" fillId="0" borderId="0" applyFont="0" applyFill="0" applyBorder="0" applyAlignment="0" applyProtection="0"/>
  </cellStyleXfs>
  <cellXfs count="258">
    <xf numFmtId="0" fontId="0" fillId="0" borderId="0" xfId="0"/>
    <xf numFmtId="0" fontId="6" fillId="0" borderId="0" xfId="0" applyFont="1"/>
    <xf numFmtId="0" fontId="7" fillId="0" borderId="0" xfId="0" applyFont="1" applyAlignment="1">
      <alignment horizontal="center" vertical="center"/>
    </xf>
    <xf numFmtId="0" fontId="6" fillId="0" borderId="2" xfId="0" applyFont="1" applyBorder="1"/>
    <xf numFmtId="0" fontId="8" fillId="0" borderId="0" xfId="0" applyFont="1"/>
    <xf numFmtId="0" fontId="9" fillId="0" borderId="0" xfId="0" applyFont="1"/>
    <xf numFmtId="0" fontId="6" fillId="0" borderId="0" xfId="0" applyFont="1" applyAlignment="1">
      <alignment horizontal="left" indent="1"/>
    </xf>
    <xf numFmtId="0" fontId="10" fillId="0" borderId="0" xfId="0" applyFont="1"/>
    <xf numFmtId="0" fontId="9" fillId="0" borderId="2" xfId="0" applyFont="1" applyBorder="1"/>
    <xf numFmtId="165" fontId="9" fillId="0" borderId="0" xfId="1" applyNumberFormat="1" applyFont="1" applyAlignment="1">
      <alignment horizontal="center" vertical="center"/>
    </xf>
    <xf numFmtId="0" fontId="12" fillId="0" borderId="0" xfId="0" applyFont="1" applyAlignment="1">
      <alignment horizontal="center" vertical="center"/>
    </xf>
    <xf numFmtId="166" fontId="11" fillId="0" borderId="0" xfId="1" applyNumberFormat="1" applyFont="1" applyAlignment="1">
      <alignment horizontal="center" vertical="center"/>
    </xf>
    <xf numFmtId="0" fontId="13" fillId="0" borderId="0" xfId="0" applyFont="1" applyAlignment="1">
      <alignment horizontal="center" vertical="center"/>
    </xf>
    <xf numFmtId="0" fontId="11" fillId="0" borderId="0" xfId="0" applyFont="1" applyAlignment="1">
      <alignment horizontal="left" indent="2"/>
    </xf>
    <xf numFmtId="0" fontId="6" fillId="0" borderId="0" xfId="0" applyFont="1" applyAlignment="1">
      <alignment horizontal="left"/>
    </xf>
    <xf numFmtId="0" fontId="11" fillId="0" borderId="0" xfId="0" applyFont="1"/>
    <xf numFmtId="0" fontId="14" fillId="0" borderId="0" xfId="0" applyFont="1"/>
    <xf numFmtId="0" fontId="15" fillId="0" borderId="0" xfId="0" applyFont="1"/>
    <xf numFmtId="0" fontId="11" fillId="0" borderId="2" xfId="0" applyFont="1" applyBorder="1"/>
    <xf numFmtId="0" fontId="15" fillId="0" borderId="2" xfId="0" applyFont="1" applyBorder="1"/>
    <xf numFmtId="0" fontId="16" fillId="0" borderId="0" xfId="0" applyFont="1" applyAlignment="1">
      <alignment horizontal="center" vertical="center"/>
    </xf>
    <xf numFmtId="0" fontId="6" fillId="0" borderId="0" xfId="0" applyFont="1" applyAlignment="1">
      <alignment horizontal="left" indent="2"/>
    </xf>
    <xf numFmtId="0" fontId="10" fillId="0" borderId="0" xfId="0" applyFont="1" applyAlignment="1">
      <alignment horizontal="left" indent="1"/>
    </xf>
    <xf numFmtId="0" fontId="9" fillId="0" borderId="0" xfId="0" applyFont="1" applyAlignment="1">
      <alignment horizontal="left"/>
    </xf>
    <xf numFmtId="0" fontId="17" fillId="0" borderId="0" xfId="0" applyFont="1" applyAlignment="1">
      <alignment horizontal="center" vertical="center"/>
    </xf>
    <xf numFmtId="0" fontId="10" fillId="0" borderId="0" xfId="0" applyFont="1" applyAlignment="1">
      <alignment horizontal="left" indent="2"/>
    </xf>
    <xf numFmtId="0" fontId="11" fillId="0" borderId="0" xfId="0" applyFont="1" applyAlignment="1">
      <alignment horizontal="left" indent="1"/>
    </xf>
    <xf numFmtId="0" fontId="18" fillId="4" borderId="0" xfId="0" applyFont="1" applyFill="1" applyAlignment="1">
      <alignment horizontal="center" vertical="center"/>
    </xf>
    <xf numFmtId="0" fontId="18" fillId="4" borderId="0" xfId="0" applyFont="1" applyFill="1" applyAlignment="1">
      <alignment horizontal="left" vertical="center"/>
    </xf>
    <xf numFmtId="0" fontId="18" fillId="4" borderId="0" xfId="0" applyFont="1" applyFill="1" applyAlignment="1">
      <alignment horizontal="center"/>
    </xf>
    <xf numFmtId="0" fontId="8" fillId="4" borderId="0" xfId="0" applyFont="1" applyFill="1"/>
    <xf numFmtId="0" fontId="8" fillId="4" borderId="4" xfId="0" applyFont="1" applyFill="1" applyBorder="1"/>
    <xf numFmtId="0" fontId="19" fillId="4" borderId="4" xfId="0" applyFont="1" applyFill="1" applyBorder="1"/>
    <xf numFmtId="0" fontId="20" fillId="4" borderId="0" xfId="0" applyFont="1" applyFill="1"/>
    <xf numFmtId="0" fontId="2" fillId="0" borderId="0" xfId="4"/>
    <xf numFmtId="0" fontId="23" fillId="0" borderId="0" xfId="4" applyFont="1"/>
    <xf numFmtId="14" fontId="24" fillId="0" borderId="0" xfId="4" applyNumberFormat="1" applyFont="1" applyAlignment="1">
      <alignment horizontal="left" vertical="center"/>
    </xf>
    <xf numFmtId="0" fontId="25" fillId="0" borderId="0" xfId="4" applyFont="1" applyAlignment="1">
      <alignment horizontal="left"/>
    </xf>
    <xf numFmtId="0" fontId="28" fillId="0" borderId="0" xfId="0" applyFont="1"/>
    <xf numFmtId="0" fontId="28" fillId="4" borderId="0" xfId="0" applyFont="1" applyFill="1"/>
    <xf numFmtId="165" fontId="28" fillId="0" borderId="5" xfId="1" applyNumberFormat="1" applyFont="1" applyBorder="1" applyAlignment="1">
      <alignment horizontal="center" vertical="center"/>
    </xf>
    <xf numFmtId="165" fontId="28" fillId="0" borderId="2" xfId="1" applyNumberFormat="1" applyFont="1" applyBorder="1" applyAlignment="1">
      <alignment horizontal="center" vertical="center"/>
    </xf>
    <xf numFmtId="165" fontId="28" fillId="0" borderId="6" xfId="1" applyNumberFormat="1" applyFont="1" applyBorder="1" applyAlignment="1">
      <alignment horizontal="center" vertical="center"/>
    </xf>
    <xf numFmtId="0" fontId="10" fillId="6" borderId="2" xfId="0" applyFont="1" applyFill="1" applyBorder="1" applyAlignment="1">
      <alignment horizontal="center" vertical="center"/>
    </xf>
    <xf numFmtId="0" fontId="11" fillId="6" borderId="6" xfId="0" applyFont="1" applyFill="1" applyBorder="1" applyAlignment="1">
      <alignment horizontal="right"/>
    </xf>
    <xf numFmtId="165" fontId="28" fillId="0" borderId="7" xfId="1" applyNumberFormat="1" applyFont="1" applyBorder="1" applyAlignment="1">
      <alignment horizontal="center" vertical="center"/>
    </xf>
    <xf numFmtId="165" fontId="28" fillId="0" borderId="8" xfId="1" applyNumberFormat="1" applyFont="1" applyBorder="1" applyAlignment="1">
      <alignment horizontal="center" vertical="center"/>
    </xf>
    <xf numFmtId="165" fontId="28" fillId="0" borderId="9" xfId="1" applyNumberFormat="1" applyFont="1" applyBorder="1" applyAlignment="1">
      <alignment horizontal="center" vertical="center"/>
    </xf>
    <xf numFmtId="0" fontId="10" fillId="6" borderId="0" xfId="0" applyFont="1" applyFill="1" applyAlignment="1">
      <alignment horizontal="center" vertical="center"/>
    </xf>
    <xf numFmtId="0" fontId="11" fillId="6" borderId="10" xfId="0" applyFont="1" applyFill="1" applyBorder="1" applyAlignment="1">
      <alignment horizontal="right"/>
    </xf>
    <xf numFmtId="0" fontId="10" fillId="6" borderId="11" xfId="0" applyFont="1" applyFill="1" applyBorder="1" applyAlignment="1">
      <alignment horizontal="center" vertical="center"/>
    </xf>
    <xf numFmtId="167" fontId="10" fillId="6" borderId="0" xfId="0" applyNumberFormat="1" applyFont="1" applyFill="1" applyAlignment="1">
      <alignment horizontal="center" vertical="center"/>
    </xf>
    <xf numFmtId="0" fontId="29" fillId="6" borderId="10" xfId="0" applyFont="1" applyFill="1" applyBorder="1"/>
    <xf numFmtId="0" fontId="11" fillId="6" borderId="7" xfId="0" applyFont="1" applyFill="1" applyBorder="1" applyAlignment="1">
      <alignment horizontal="right"/>
    </xf>
    <xf numFmtId="0" fontId="11" fillId="6" borderId="8" xfId="0" applyFont="1" applyFill="1" applyBorder="1" applyAlignment="1">
      <alignment horizontal="right"/>
    </xf>
    <xf numFmtId="0" fontId="29" fillId="6" borderId="8" xfId="0" applyFont="1" applyFill="1" applyBorder="1" applyAlignment="1">
      <alignment horizontal="right"/>
    </xf>
    <xf numFmtId="0" fontId="29" fillId="6" borderId="9" xfId="0" applyFont="1" applyFill="1" applyBorder="1"/>
    <xf numFmtId="0" fontId="28" fillId="7" borderId="0" xfId="0" applyFont="1" applyFill="1" applyAlignment="1">
      <alignment horizontal="center"/>
    </xf>
    <xf numFmtId="0" fontId="28" fillId="0" borderId="2" xfId="0" applyFont="1" applyBorder="1"/>
    <xf numFmtId="0" fontId="30" fillId="0" borderId="2" xfId="0" applyFont="1" applyBorder="1"/>
    <xf numFmtId="168" fontId="31" fillId="0" borderId="0" xfId="1" applyNumberFormat="1" applyFont="1" applyBorder="1" applyAlignment="1">
      <alignment horizontal="center" vertical="center"/>
    </xf>
    <xf numFmtId="165" fontId="28" fillId="0" borderId="0" xfId="1" applyNumberFormat="1" applyFont="1" applyBorder="1" applyAlignment="1">
      <alignment horizontal="center" vertical="center"/>
    </xf>
    <xf numFmtId="0" fontId="28" fillId="0" borderId="0" xfId="0" applyFont="1" applyAlignment="1">
      <alignment horizontal="left" indent="1"/>
    </xf>
    <xf numFmtId="166" fontId="28" fillId="0" borderId="0" xfId="1" applyNumberFormat="1" applyFont="1" applyBorder="1" applyAlignment="1">
      <alignment horizontal="center" vertical="center"/>
    </xf>
    <xf numFmtId="165" fontId="28" fillId="0" borderId="0" xfId="0" applyNumberFormat="1" applyFont="1"/>
    <xf numFmtId="0" fontId="28" fillId="0" borderId="0" xfId="0" applyFont="1" applyAlignment="1">
      <alignment horizontal="left" indent="2"/>
    </xf>
    <xf numFmtId="0" fontId="28" fillId="0" borderId="0" xfId="0" quotePrefix="1" applyFont="1"/>
    <xf numFmtId="165" fontId="28" fillId="0" borderId="3" xfId="1" applyNumberFormat="1" applyFont="1" applyBorder="1" applyAlignment="1">
      <alignment horizontal="center" vertical="center"/>
    </xf>
    <xf numFmtId="0" fontId="32" fillId="0" borderId="2" xfId="0" applyFont="1" applyBorder="1" applyAlignment="1">
      <alignment horizontal="center" wrapText="1"/>
    </xf>
    <xf numFmtId="0" fontId="32" fillId="0" borderId="2" xfId="0" applyFont="1" applyBorder="1" applyAlignment="1">
      <alignment horizontal="center" vertical="center"/>
    </xf>
    <xf numFmtId="0" fontId="30" fillId="0" borderId="2" xfId="0" applyFont="1" applyBorder="1" applyAlignment="1">
      <alignment vertical="center"/>
    </xf>
    <xf numFmtId="169" fontId="11" fillId="0" borderId="0" xfId="1" applyNumberFormat="1" applyFont="1" applyAlignment="1">
      <alignment horizontal="center" vertical="center"/>
    </xf>
    <xf numFmtId="170" fontId="11" fillId="8" borderId="12" xfId="0" applyNumberFormat="1" applyFont="1" applyFill="1" applyBorder="1" applyAlignment="1">
      <alignment horizontal="center" vertical="center"/>
    </xf>
    <xf numFmtId="0" fontId="11" fillId="0" borderId="0" xfId="0" applyFont="1" applyAlignment="1">
      <alignment vertical="center"/>
    </xf>
    <xf numFmtId="10" fontId="11" fillId="0" borderId="0" xfId="0" applyNumberFormat="1" applyFont="1"/>
    <xf numFmtId="166" fontId="11" fillId="8" borderId="12" xfId="1" applyNumberFormat="1" applyFont="1" applyFill="1" applyBorder="1" applyAlignment="1">
      <alignment horizontal="center" vertical="center"/>
    </xf>
    <xf numFmtId="9" fontId="11" fillId="0" borderId="0" xfId="0" applyNumberFormat="1" applyFont="1"/>
    <xf numFmtId="0" fontId="11" fillId="0" borderId="0" xfId="0" applyFont="1" applyAlignment="1">
      <alignment horizontal="center" vertical="center"/>
    </xf>
    <xf numFmtId="1" fontId="11" fillId="0" borderId="0" xfId="0" applyNumberFormat="1" applyFont="1"/>
    <xf numFmtId="0" fontId="11" fillId="0" borderId="0" xfId="0" applyFont="1" applyAlignment="1">
      <alignment horizontal="left"/>
    </xf>
    <xf numFmtId="0" fontId="18" fillId="0" borderId="0" xfId="0" applyFont="1"/>
    <xf numFmtId="0" fontId="15" fillId="0" borderId="0" xfId="0" applyFont="1" applyAlignment="1">
      <alignment horizontal="left" indent="1"/>
    </xf>
    <xf numFmtId="165" fontId="11" fillId="0" borderId="0" xfId="1" applyNumberFormat="1" applyFont="1" applyAlignment="1">
      <alignment horizontal="center" vertical="center"/>
    </xf>
    <xf numFmtId="0" fontId="34" fillId="0" borderId="0" xfId="0" applyFont="1"/>
    <xf numFmtId="165" fontId="11" fillId="0" borderId="0" xfId="1" applyNumberFormat="1" applyFont="1" applyFill="1" applyAlignment="1">
      <alignment horizontal="center" vertical="center"/>
    </xf>
    <xf numFmtId="9" fontId="11" fillId="0" borderId="2" xfId="1" applyFont="1" applyBorder="1"/>
    <xf numFmtId="0" fontId="11" fillId="7" borderId="0" xfId="0" applyFont="1" applyFill="1" applyAlignment="1">
      <alignment horizontal="center" vertical="center"/>
    </xf>
    <xf numFmtId="172" fontId="35" fillId="0" borderId="1" xfId="5" applyNumberFormat="1" applyFont="1" applyBorder="1" applyAlignment="1">
      <alignment horizontal="center" vertical="center"/>
    </xf>
    <xf numFmtId="0" fontId="36" fillId="0" borderId="0" xfId="0" applyFont="1"/>
    <xf numFmtId="167" fontId="35" fillId="0" borderId="1" xfId="3" applyNumberFormat="1" applyFont="1" applyFill="1" applyAlignment="1">
      <alignment horizontal="center" vertical="center"/>
    </xf>
    <xf numFmtId="0" fontId="8" fillId="0" borderId="0" xfId="4" applyFont="1"/>
    <xf numFmtId="1" fontId="35" fillId="0" borderId="1" xfId="3" applyNumberFormat="1" applyFont="1" applyFill="1" applyAlignment="1">
      <alignment horizontal="center" vertical="center"/>
    </xf>
    <xf numFmtId="0" fontId="28" fillId="0" borderId="0" xfId="4" applyFont="1"/>
    <xf numFmtId="14" fontId="35" fillId="0" borderId="1" xfId="3" applyNumberFormat="1" applyFont="1" applyFill="1" applyAlignment="1">
      <alignment horizontal="center" vertical="center"/>
    </xf>
    <xf numFmtId="14" fontId="11" fillId="0" borderId="1" xfId="6" applyFont="1" applyFill="1" applyBorder="1" applyAlignment="1">
      <alignment horizontal="center" vertical="center"/>
    </xf>
    <xf numFmtId="0" fontId="11" fillId="0" borderId="0" xfId="4" applyFont="1"/>
    <xf numFmtId="14" fontId="11" fillId="0" borderId="0" xfId="4" applyNumberFormat="1" applyFont="1"/>
    <xf numFmtId="14" fontId="38" fillId="2" borderId="1" xfId="2" applyNumberFormat="1" applyFont="1" applyAlignment="1">
      <alignment horizontal="center"/>
    </xf>
    <xf numFmtId="0" fontId="8" fillId="4" borderId="0" xfId="0" applyFont="1" applyFill="1" applyAlignment="1">
      <alignment horizontal="center" vertical="center"/>
    </xf>
    <xf numFmtId="166" fontId="6" fillId="0" borderId="0" xfId="1" applyNumberFormat="1" applyFont="1" applyBorder="1" applyAlignment="1">
      <alignment horizontal="center" vertical="center"/>
    </xf>
    <xf numFmtId="168" fontId="11" fillId="0" borderId="0" xfId="1" applyNumberFormat="1" applyFont="1" applyAlignment="1">
      <alignment horizontal="center" vertical="center"/>
    </xf>
    <xf numFmtId="167" fontId="39" fillId="10" borderId="0" xfId="0" applyNumberFormat="1" applyFont="1" applyFill="1" applyAlignment="1">
      <alignment horizontal="center" vertical="center"/>
    </xf>
    <xf numFmtId="0" fontId="15" fillId="0" borderId="2" xfId="0" applyFont="1" applyBorder="1" applyAlignment="1">
      <alignment horizontal="center" vertical="center"/>
    </xf>
    <xf numFmtId="165" fontId="11" fillId="0" borderId="3" xfId="1" applyNumberFormat="1" applyFont="1" applyBorder="1" applyAlignment="1">
      <alignment horizontal="center" vertical="center"/>
    </xf>
    <xf numFmtId="168" fontId="15" fillId="0" borderId="0" xfId="1" applyNumberFormat="1" applyFont="1" applyAlignment="1">
      <alignment horizontal="center" vertical="center"/>
    </xf>
    <xf numFmtId="165" fontId="6" fillId="0" borderId="0" xfId="0" applyNumberFormat="1" applyFont="1" applyAlignment="1">
      <alignment horizontal="center" vertical="center"/>
    </xf>
    <xf numFmtId="1" fontId="6" fillId="0" borderId="0" xfId="0" applyNumberFormat="1" applyFont="1"/>
    <xf numFmtId="0" fontId="14" fillId="0" borderId="0" xfId="0" applyFont="1" applyAlignment="1">
      <alignment horizontal="center" vertical="center"/>
    </xf>
    <xf numFmtId="0" fontId="43" fillId="0" borderId="0" xfId="0" applyFont="1"/>
    <xf numFmtId="0" fontId="44" fillId="0" borderId="0" xfId="0" applyFont="1"/>
    <xf numFmtId="0" fontId="8" fillId="0" borderId="0" xfId="0" applyFont="1" applyAlignment="1">
      <alignment horizontal="center" vertical="center"/>
    </xf>
    <xf numFmtId="0" fontId="6" fillId="0" borderId="0" xfId="0" applyFont="1" applyAlignment="1">
      <alignment horizontal="center" vertical="center"/>
    </xf>
    <xf numFmtId="171" fontId="39" fillId="0" borderId="0" xfId="0" applyNumberFormat="1" applyFont="1" applyAlignment="1">
      <alignment horizontal="center" vertical="center"/>
    </xf>
    <xf numFmtId="0" fontId="39" fillId="0" borderId="0" xfId="0" applyFont="1" applyAlignment="1">
      <alignment horizontal="center" vertical="center"/>
    </xf>
    <xf numFmtId="0" fontId="39" fillId="0" borderId="0" xfId="0" applyFont="1"/>
    <xf numFmtId="0" fontId="45" fillId="0" borderId="0" xfId="0" applyFont="1"/>
    <xf numFmtId="0" fontId="9" fillId="0" borderId="0" xfId="0" applyFont="1" applyAlignment="1">
      <alignment horizontal="center" vertical="center"/>
    </xf>
    <xf numFmtId="171" fontId="6" fillId="0" borderId="0" xfId="0" applyNumberFormat="1" applyFont="1" applyAlignment="1">
      <alignment horizontal="center" vertical="center"/>
    </xf>
    <xf numFmtId="171" fontId="9" fillId="0" borderId="0" xfId="0" applyNumberFormat="1" applyFont="1" applyAlignment="1">
      <alignment horizontal="center" vertical="center"/>
    </xf>
    <xf numFmtId="3" fontId="6" fillId="0" borderId="0" xfId="0" applyNumberFormat="1" applyFont="1" applyAlignment="1">
      <alignment horizontal="center" vertical="center"/>
    </xf>
    <xf numFmtId="0" fontId="0" fillId="0" borderId="0" xfId="0" applyAlignment="1">
      <alignment horizontal="center" vertical="center"/>
    </xf>
    <xf numFmtId="0" fontId="6" fillId="0" borderId="2" xfId="0" applyFont="1" applyBorder="1" applyAlignment="1">
      <alignment horizontal="center" vertical="center"/>
    </xf>
    <xf numFmtId="0" fontId="15" fillId="0" borderId="0" xfId="0" applyFont="1" applyAlignment="1">
      <alignment horizontal="center"/>
    </xf>
    <xf numFmtId="0" fontId="46" fillId="5" borderId="0" xfId="0" applyFont="1" applyFill="1"/>
    <xf numFmtId="0" fontId="47" fillId="5" borderId="0" xfId="0" applyFont="1" applyFill="1"/>
    <xf numFmtId="0" fontId="48" fillId="0" borderId="0" xfId="0" applyFont="1"/>
    <xf numFmtId="0" fontId="49" fillId="0" borderId="0" xfId="10"/>
    <xf numFmtId="0" fontId="49" fillId="0" borderId="0" xfId="10" applyAlignment="1">
      <alignment horizontal="left"/>
    </xf>
    <xf numFmtId="0" fontId="50" fillId="0" borderId="0" xfId="10" applyFont="1"/>
    <xf numFmtId="10" fontId="50" fillId="0" borderId="9" xfId="10" applyNumberFormat="1" applyFont="1" applyBorder="1" applyAlignment="1">
      <alignment horizontal="center"/>
    </xf>
    <xf numFmtId="10" fontId="50" fillId="0" borderId="13" xfId="10" applyNumberFormat="1" applyFont="1" applyBorder="1" applyAlignment="1">
      <alignment horizontal="center"/>
    </xf>
    <xf numFmtId="173" fontId="50" fillId="0" borderId="13" xfId="10" applyNumberFormat="1" applyFont="1" applyBorder="1" applyAlignment="1">
      <alignment horizontal="center"/>
    </xf>
    <xf numFmtId="2" fontId="50" fillId="0" borderId="13" xfId="10" applyNumberFormat="1" applyFont="1" applyBorder="1" applyAlignment="1">
      <alignment horizontal="center"/>
    </xf>
    <xf numFmtId="0" fontId="50" fillId="0" borderId="13" xfId="10" applyFont="1" applyBorder="1" applyAlignment="1">
      <alignment horizontal="center"/>
    </xf>
    <xf numFmtId="0" fontId="50" fillId="0" borderId="7" xfId="10" applyFont="1" applyBorder="1" applyAlignment="1">
      <alignment horizontal="left"/>
    </xf>
    <xf numFmtId="10" fontId="50" fillId="0" borderId="14" xfId="10" applyNumberFormat="1" applyFont="1" applyBorder="1" applyAlignment="1">
      <alignment horizontal="center"/>
    </xf>
    <xf numFmtId="10" fontId="50" fillId="0" borderId="15" xfId="10" applyNumberFormat="1" applyFont="1" applyBorder="1" applyAlignment="1">
      <alignment horizontal="center"/>
    </xf>
    <xf numFmtId="173" fontId="50" fillId="0" borderId="15" xfId="10" applyNumberFormat="1" applyFont="1" applyBorder="1" applyAlignment="1">
      <alignment horizontal="center"/>
    </xf>
    <xf numFmtId="2" fontId="50" fillId="0" borderId="15" xfId="10" applyNumberFormat="1" applyFont="1" applyBorder="1" applyAlignment="1">
      <alignment horizontal="center"/>
    </xf>
    <xf numFmtId="0" fontId="50" fillId="0" borderId="15" xfId="10" applyFont="1" applyBorder="1" applyAlignment="1">
      <alignment horizontal="center"/>
    </xf>
    <xf numFmtId="0" fontId="50" fillId="0" borderId="16" xfId="10" applyFont="1" applyBorder="1" applyAlignment="1">
      <alignment horizontal="left"/>
    </xf>
    <xf numFmtId="10" fontId="49" fillId="0" borderId="14" xfId="10" applyNumberFormat="1" applyBorder="1" applyAlignment="1">
      <alignment horizontal="center"/>
    </xf>
    <xf numFmtId="10" fontId="49" fillId="0" borderId="15" xfId="10" applyNumberFormat="1" applyBorder="1" applyAlignment="1">
      <alignment horizontal="center"/>
    </xf>
    <xf numFmtId="173" fontId="49" fillId="0" borderId="15" xfId="10" applyNumberFormat="1" applyBorder="1" applyAlignment="1">
      <alignment horizontal="center"/>
    </xf>
    <xf numFmtId="2" fontId="49" fillId="0" borderId="15" xfId="10" applyNumberFormat="1" applyBorder="1" applyAlignment="1">
      <alignment horizontal="center"/>
    </xf>
    <xf numFmtId="0" fontId="49" fillId="0" borderId="15" xfId="10" applyBorder="1" applyAlignment="1">
      <alignment horizontal="center"/>
    </xf>
    <xf numFmtId="0" fontId="49" fillId="0" borderId="16" xfId="10" applyBorder="1" applyAlignment="1">
      <alignment horizontal="left"/>
    </xf>
    <xf numFmtId="0" fontId="49" fillId="10" borderId="0" xfId="10" applyFill="1"/>
    <xf numFmtId="10" fontId="49" fillId="10" borderId="14" xfId="10" applyNumberFormat="1" applyFill="1" applyBorder="1" applyAlignment="1">
      <alignment horizontal="center"/>
    </xf>
    <xf numFmtId="10" fontId="49" fillId="10" borderId="15" xfId="10" applyNumberFormat="1" applyFill="1" applyBorder="1" applyAlignment="1">
      <alignment horizontal="center"/>
    </xf>
    <xf numFmtId="173" fontId="49" fillId="10" borderId="15" xfId="10" applyNumberFormat="1" applyFill="1" applyBorder="1" applyAlignment="1">
      <alignment horizontal="center"/>
    </xf>
    <xf numFmtId="2" fontId="49" fillId="10" borderId="15" xfId="10" applyNumberFormat="1" applyFill="1" applyBorder="1" applyAlignment="1">
      <alignment horizontal="center"/>
    </xf>
    <xf numFmtId="0" fontId="49" fillId="10" borderId="15" xfId="10" applyFill="1" applyBorder="1" applyAlignment="1">
      <alignment horizontal="center"/>
    </xf>
    <xf numFmtId="0" fontId="49" fillId="10" borderId="16" xfId="10" applyFill="1" applyBorder="1" applyAlignment="1">
      <alignment horizontal="left"/>
    </xf>
    <xf numFmtId="10" fontId="49" fillId="0" borderId="6" xfId="10" applyNumberFormat="1" applyBorder="1" applyAlignment="1">
      <alignment horizontal="center"/>
    </xf>
    <xf numFmtId="0" fontId="51" fillId="0" borderId="17" xfId="10" applyFont="1" applyBorder="1" applyAlignment="1">
      <alignment horizontal="center" wrapText="1"/>
    </xf>
    <xf numFmtId="2" fontId="51" fillId="0" borderId="17" xfId="10" applyNumberFormat="1" applyFont="1" applyBorder="1" applyAlignment="1">
      <alignment horizontal="center" wrapText="1"/>
    </xf>
    <xf numFmtId="0" fontId="51" fillId="0" borderId="5" xfId="10" applyFont="1" applyBorder="1" applyAlignment="1">
      <alignment horizontal="left" wrapText="1"/>
    </xf>
    <xf numFmtId="0" fontId="53" fillId="12" borderId="19" xfId="10" applyFont="1" applyFill="1" applyBorder="1" applyAlignment="1">
      <alignment horizontal="left"/>
    </xf>
    <xf numFmtId="0" fontId="53" fillId="12" borderId="22" xfId="10" applyFont="1" applyFill="1" applyBorder="1" applyAlignment="1">
      <alignment horizontal="left"/>
    </xf>
    <xf numFmtId="0" fontId="54" fillId="0" borderId="0" xfId="10" applyFont="1"/>
    <xf numFmtId="0" fontId="53" fillId="12" borderId="26" xfId="10" applyFont="1" applyFill="1" applyBorder="1" applyAlignment="1">
      <alignment horizontal="left"/>
    </xf>
    <xf numFmtId="0" fontId="23" fillId="13" borderId="0" xfId="4" applyFont="1" applyFill="1"/>
    <xf numFmtId="0" fontId="2" fillId="13" borderId="0" xfId="4" applyFill="1"/>
    <xf numFmtId="0" fontId="27" fillId="13" borderId="0" xfId="4" applyFont="1" applyFill="1"/>
    <xf numFmtId="0" fontId="26" fillId="13" borderId="0" xfId="4" applyFont="1" applyFill="1"/>
    <xf numFmtId="14" fontId="57" fillId="0" borderId="0" xfId="4" applyNumberFormat="1" applyFont="1" applyAlignment="1">
      <alignment horizontal="left" vertical="center"/>
    </xf>
    <xf numFmtId="2" fontId="11" fillId="8" borderId="12" xfId="0" applyNumberFormat="1" applyFont="1" applyFill="1" applyBorder="1" applyAlignment="1">
      <alignment horizontal="center" vertical="center"/>
    </xf>
    <xf numFmtId="9" fontId="11" fillId="0" borderId="0" xfId="1" applyFont="1" applyBorder="1"/>
    <xf numFmtId="166" fontId="11" fillId="0" borderId="0" xfId="1" applyNumberFormat="1" applyFont="1" applyBorder="1"/>
    <xf numFmtId="4" fontId="11" fillId="8" borderId="12" xfId="0" applyNumberFormat="1" applyFont="1" applyFill="1" applyBorder="1" applyAlignment="1">
      <alignment horizontal="center" vertical="center"/>
    </xf>
    <xf numFmtId="3" fontId="11" fillId="0" borderId="0" xfId="0" applyNumberFormat="1" applyFont="1" applyAlignment="1">
      <alignment horizontal="center" vertical="center"/>
    </xf>
    <xf numFmtId="165" fontId="11" fillId="0" borderId="0" xfId="1" applyNumberFormat="1" applyFont="1" applyFill="1" applyBorder="1" applyAlignment="1">
      <alignment horizontal="center" vertical="center"/>
    </xf>
    <xf numFmtId="174" fontId="11" fillId="0" borderId="0" xfId="1" applyNumberFormat="1" applyFont="1" applyFill="1" applyAlignment="1">
      <alignment horizontal="center" vertical="center"/>
    </xf>
    <xf numFmtId="165" fontId="15" fillId="0" borderId="0" xfId="1" applyNumberFormat="1" applyFont="1" applyFill="1" applyAlignment="1">
      <alignment horizontal="center" vertical="center"/>
    </xf>
    <xf numFmtId="3" fontId="11" fillId="0" borderId="0" xfId="0" applyNumberFormat="1" applyFont="1" applyAlignment="1">
      <alignment horizontal="center"/>
    </xf>
    <xf numFmtId="3" fontId="9" fillId="0" borderId="0" xfId="0" applyNumberFormat="1" applyFont="1" applyAlignment="1">
      <alignment horizontal="center"/>
    </xf>
    <xf numFmtId="166" fontId="10" fillId="0" borderId="0" xfId="1" applyNumberFormat="1" applyFont="1" applyFill="1" applyAlignment="1">
      <alignment horizontal="center"/>
    </xf>
    <xf numFmtId="165" fontId="6" fillId="0" borderId="0" xfId="1" applyNumberFormat="1" applyFont="1" applyFill="1" applyAlignment="1">
      <alignment horizontal="center" vertical="center"/>
    </xf>
    <xf numFmtId="165" fontId="9" fillId="0" borderId="0" xfId="1" applyNumberFormat="1" applyFont="1" applyFill="1" applyAlignment="1">
      <alignment horizontal="center" vertical="center"/>
    </xf>
    <xf numFmtId="165" fontId="11" fillId="0" borderId="0" xfId="0" applyNumberFormat="1" applyFont="1"/>
    <xf numFmtId="165" fontId="14" fillId="0" borderId="0" xfId="1" applyNumberFormat="1" applyFont="1" applyFill="1" applyAlignment="1">
      <alignment horizontal="center" vertical="center"/>
    </xf>
    <xf numFmtId="166" fontId="11" fillId="0" borderId="12" xfId="1" applyNumberFormat="1" applyFont="1" applyFill="1" applyBorder="1" applyAlignment="1">
      <alignment horizontal="center" vertical="center"/>
    </xf>
    <xf numFmtId="169" fontId="11" fillId="0" borderId="0" xfId="1" applyNumberFormat="1" applyFont="1" applyFill="1" applyAlignment="1">
      <alignment horizontal="center" vertical="center"/>
    </xf>
    <xf numFmtId="4" fontId="11" fillId="0" borderId="0" xfId="1" applyNumberFormat="1" applyFont="1" applyFill="1" applyAlignment="1">
      <alignment horizontal="center" vertical="center"/>
    </xf>
    <xf numFmtId="166" fontId="14" fillId="0" borderId="0" xfId="1" applyNumberFormat="1" applyFont="1" applyFill="1" applyAlignment="1">
      <alignment horizontal="center" vertical="center"/>
    </xf>
    <xf numFmtId="166" fontId="10" fillId="0" borderId="0" xfId="1" applyNumberFormat="1" applyFont="1" applyFill="1" applyAlignment="1">
      <alignment horizontal="center" vertical="center"/>
    </xf>
    <xf numFmtId="166" fontId="6" fillId="0" borderId="0" xfId="1" applyNumberFormat="1" applyFont="1" applyFill="1" applyAlignment="1">
      <alignment horizontal="center" vertical="center"/>
    </xf>
    <xf numFmtId="166" fontId="11" fillId="0" borderId="0" xfId="1" applyNumberFormat="1" applyFont="1" applyFill="1" applyAlignment="1">
      <alignment horizontal="center" vertical="center"/>
    </xf>
    <xf numFmtId="3" fontId="11" fillId="0" borderId="0" xfId="1" applyNumberFormat="1" applyFont="1" applyFill="1" applyAlignment="1">
      <alignment horizontal="center" vertical="center"/>
    </xf>
    <xf numFmtId="1" fontId="10" fillId="0" borderId="0" xfId="1" applyNumberFormat="1" applyFont="1" applyFill="1" applyAlignment="1">
      <alignment horizontal="center" vertical="center"/>
    </xf>
    <xf numFmtId="166" fontId="11" fillId="0" borderId="0" xfId="0" applyNumberFormat="1" applyFont="1" applyAlignment="1">
      <alignment horizontal="center"/>
    </xf>
    <xf numFmtId="0" fontId="11" fillId="0" borderId="27" xfId="0" applyFont="1" applyBorder="1"/>
    <xf numFmtId="3" fontId="11" fillId="0" borderId="28" xfId="0" applyNumberFormat="1" applyFont="1" applyBorder="1" applyAlignment="1">
      <alignment horizontal="center"/>
    </xf>
    <xf numFmtId="166" fontId="11" fillId="0" borderId="0" xfId="0" applyNumberFormat="1" applyFont="1"/>
    <xf numFmtId="1" fontId="11" fillId="0" borderId="2" xfId="0" applyNumberFormat="1" applyFont="1" applyBorder="1"/>
    <xf numFmtId="171" fontId="11" fillId="0" borderId="12" xfId="0" applyNumberFormat="1" applyFont="1" applyBorder="1" applyAlignment="1">
      <alignment horizontal="center" vertical="center"/>
    </xf>
    <xf numFmtId="166" fontId="6" fillId="0" borderId="3" xfId="1" applyNumberFormat="1" applyFont="1" applyFill="1" applyBorder="1" applyAlignment="1">
      <alignment horizontal="center" vertical="center"/>
    </xf>
    <xf numFmtId="165" fontId="6" fillId="0" borderId="0" xfId="0" applyNumberFormat="1" applyFont="1" applyAlignment="1">
      <alignment horizontal="center"/>
    </xf>
    <xf numFmtId="171" fontId="11" fillId="0" borderId="0" xfId="0" applyNumberFormat="1" applyFont="1" applyAlignment="1">
      <alignment horizontal="center" vertical="center"/>
    </xf>
    <xf numFmtId="1" fontId="0" fillId="0" borderId="0" xfId="0" applyNumberFormat="1"/>
    <xf numFmtId="0" fontId="1" fillId="0" borderId="0" xfId="0" applyFont="1"/>
    <xf numFmtId="0" fontId="60" fillId="13" borderId="0" xfId="12" applyFill="1"/>
    <xf numFmtId="166" fontId="6" fillId="0" borderId="0" xfId="1" applyNumberFormat="1" applyFont="1" applyFill="1" applyBorder="1" applyAlignment="1">
      <alignment horizontal="center" vertical="center"/>
    </xf>
    <xf numFmtId="166" fontId="6" fillId="0" borderId="0" xfId="0" applyNumberFormat="1" applyFont="1" applyAlignment="1">
      <alignment horizontal="center" vertical="center"/>
    </xf>
    <xf numFmtId="9" fontId="6" fillId="0" borderId="0" xfId="0" applyNumberFormat="1" applyFont="1" applyAlignment="1">
      <alignment horizontal="center" vertical="center"/>
    </xf>
    <xf numFmtId="168" fontId="15" fillId="0" borderId="0" xfId="1" applyNumberFormat="1" applyFont="1" applyFill="1" applyAlignment="1">
      <alignment horizontal="center" vertical="center"/>
    </xf>
    <xf numFmtId="168" fontId="11" fillId="0" borderId="0" xfId="1" applyNumberFormat="1" applyFont="1" applyFill="1" applyAlignment="1">
      <alignment horizontal="center" vertical="center"/>
    </xf>
    <xf numFmtId="165" fontId="11" fillId="0" borderId="3" xfId="1" applyNumberFormat="1" applyFont="1" applyFill="1" applyBorder="1" applyAlignment="1">
      <alignment horizontal="center" vertical="center"/>
    </xf>
    <xf numFmtId="171" fontId="61" fillId="13" borderId="0" xfId="0" applyNumberFormat="1" applyFont="1" applyFill="1" applyAlignment="1">
      <alignment horizontal="center" vertical="center"/>
    </xf>
    <xf numFmtId="0" fontId="33" fillId="0" borderId="0" xfId="0" applyFont="1"/>
    <xf numFmtId="10" fontId="11" fillId="0" borderId="0" xfId="1" applyNumberFormat="1" applyFont="1" applyFill="1" applyAlignment="1">
      <alignment horizontal="center" vertical="center"/>
    </xf>
    <xf numFmtId="164" fontId="11" fillId="0" borderId="0" xfId="13" applyFont="1" applyFill="1"/>
    <xf numFmtId="10" fontId="11" fillId="16" borderId="0" xfId="0" applyNumberFormat="1" applyFont="1" applyFill="1"/>
    <xf numFmtId="10" fontId="11" fillId="0" borderId="0" xfId="1" applyNumberFormat="1" applyFont="1" applyFill="1"/>
    <xf numFmtId="0" fontId="11" fillId="16" borderId="0" xfId="0" applyFont="1" applyFill="1"/>
    <xf numFmtId="165" fontId="9" fillId="0" borderId="0" xfId="0" applyNumberFormat="1" applyFont="1" applyAlignment="1">
      <alignment horizontal="center" vertical="center"/>
    </xf>
    <xf numFmtId="3" fontId="11" fillId="0" borderId="0" xfId="0" applyNumberFormat="1" applyFont="1"/>
    <xf numFmtId="3" fontId="11" fillId="0" borderId="12" xfId="0" applyNumberFormat="1" applyFont="1" applyBorder="1" applyAlignment="1">
      <alignment horizontal="center" vertical="center"/>
    </xf>
    <xf numFmtId="165" fontId="11" fillId="0" borderId="0" xfId="0" applyNumberFormat="1" applyFont="1" applyAlignment="1">
      <alignment horizontal="center"/>
    </xf>
    <xf numFmtId="3" fontId="11" fillId="0" borderId="3" xfId="0" applyNumberFormat="1" applyFont="1" applyBorder="1" applyAlignment="1">
      <alignment horizontal="center"/>
    </xf>
    <xf numFmtId="9" fontId="11" fillId="0" borderId="0" xfId="1" applyFont="1" applyFill="1"/>
    <xf numFmtId="9" fontId="6" fillId="0" borderId="0" xfId="0" applyNumberFormat="1" applyFont="1"/>
    <xf numFmtId="166" fontId="11" fillId="0" borderId="3" xfId="1" applyNumberFormat="1" applyFont="1" applyFill="1" applyBorder="1" applyAlignment="1">
      <alignment horizontal="center" vertical="center"/>
    </xf>
    <xf numFmtId="165" fontId="11" fillId="0" borderId="0" xfId="0" applyNumberFormat="1" applyFont="1" applyAlignment="1">
      <alignment horizontal="center" vertical="center"/>
    </xf>
    <xf numFmtId="4" fontId="11" fillId="0" borderId="0" xfId="1" applyNumberFormat="1" applyFont="1" applyAlignment="1">
      <alignment horizontal="center" vertical="center"/>
    </xf>
    <xf numFmtId="165" fontId="11" fillId="0" borderId="0" xfId="1" applyNumberFormat="1" applyFont="1" applyBorder="1" applyAlignment="1">
      <alignment horizontal="center" vertical="center"/>
    </xf>
    <xf numFmtId="0" fontId="6" fillId="0" borderId="0" xfId="0" applyFont="1" applyAlignment="1">
      <alignment horizontal="center"/>
    </xf>
    <xf numFmtId="2" fontId="6" fillId="0" borderId="0" xfId="0" applyNumberFormat="1" applyFont="1" applyAlignment="1">
      <alignment horizontal="center"/>
    </xf>
    <xf numFmtId="2" fontId="62" fillId="13" borderId="0" xfId="0" applyNumberFormat="1" applyFont="1" applyFill="1" applyAlignment="1">
      <alignment horizontal="center"/>
    </xf>
    <xf numFmtId="9" fontId="62" fillId="13" borderId="0" xfId="0" applyNumberFormat="1" applyFont="1" applyFill="1" applyAlignment="1">
      <alignment horizontal="center"/>
    </xf>
    <xf numFmtId="1" fontId="11" fillId="0" borderId="0" xfId="0" applyNumberFormat="1" applyFont="1" applyAlignment="1">
      <alignment horizontal="center"/>
    </xf>
    <xf numFmtId="3" fontId="28" fillId="0" borderId="0" xfId="0" quotePrefix="1" applyNumberFormat="1" applyFont="1"/>
    <xf numFmtId="166" fontId="11" fillId="0" borderId="0" xfId="1" applyNumberFormat="1" applyFont="1" applyFill="1" applyBorder="1" applyAlignment="1">
      <alignment horizontal="center" vertical="center"/>
    </xf>
    <xf numFmtId="2" fontId="11" fillId="0" borderId="0" xfId="0" applyNumberFormat="1" applyFont="1" applyAlignment="1">
      <alignment horizontal="center" vertical="center"/>
    </xf>
    <xf numFmtId="9" fontId="11" fillId="0" borderId="0" xfId="0" applyNumberFormat="1" applyFont="1" applyAlignment="1">
      <alignment horizontal="center" vertical="center"/>
    </xf>
    <xf numFmtId="10" fontId="59" fillId="14" borderId="0" xfId="0" applyNumberFormat="1" applyFont="1" applyFill="1" applyAlignment="1">
      <alignment horizontal="center" vertical="center"/>
    </xf>
    <xf numFmtId="10" fontId="11" fillId="0" borderId="0" xfId="0" applyNumberFormat="1" applyFont="1" applyAlignment="1">
      <alignment horizontal="center" vertical="center"/>
    </xf>
    <xf numFmtId="10" fontId="59" fillId="13" borderId="0" xfId="0" applyNumberFormat="1" applyFont="1" applyFill="1" applyAlignment="1">
      <alignment horizontal="center" vertical="center"/>
    </xf>
    <xf numFmtId="0" fontId="52" fillId="12" borderId="14" xfId="11" applyFill="1" applyBorder="1" applyAlignment="1">
      <alignment horizontal="left"/>
    </xf>
    <xf numFmtId="0" fontId="52" fillId="12" borderId="21" xfId="11" applyFill="1" applyBorder="1" applyAlignment="1">
      <alignment horizontal="left"/>
    </xf>
    <xf numFmtId="0" fontId="52" fillId="12" borderId="20" xfId="11" applyFill="1" applyBorder="1" applyAlignment="1">
      <alignment horizontal="left"/>
    </xf>
    <xf numFmtId="0" fontId="52" fillId="12" borderId="9" xfId="11" applyFill="1" applyBorder="1" applyAlignment="1">
      <alignment horizontal="left"/>
    </xf>
    <xf numFmtId="0" fontId="52" fillId="12" borderId="8" xfId="11" applyFill="1" applyBorder="1" applyAlignment="1">
      <alignment horizontal="left"/>
    </xf>
    <xf numFmtId="0" fontId="52" fillId="12" borderId="18" xfId="11" applyFill="1" applyBorder="1" applyAlignment="1">
      <alignment horizontal="left"/>
    </xf>
    <xf numFmtId="15" fontId="56" fillId="12" borderId="25" xfId="10" applyNumberFormat="1" applyFont="1" applyFill="1" applyBorder="1" applyAlignment="1">
      <alignment horizontal="left"/>
    </xf>
    <xf numFmtId="15" fontId="56" fillId="12" borderId="24" xfId="10" applyNumberFormat="1" applyFont="1" applyFill="1" applyBorder="1" applyAlignment="1">
      <alignment horizontal="left"/>
    </xf>
    <xf numFmtId="15" fontId="56" fillId="12" borderId="23" xfId="10" applyNumberFormat="1" applyFont="1" applyFill="1" applyBorder="1" applyAlignment="1">
      <alignment horizontal="left"/>
    </xf>
    <xf numFmtId="0" fontId="55" fillId="12" borderId="14" xfId="10" applyFont="1" applyFill="1" applyBorder="1" applyAlignment="1">
      <alignment horizontal="left"/>
    </xf>
    <xf numFmtId="0" fontId="55" fillId="12" borderId="21" xfId="10" applyFont="1" applyFill="1" applyBorder="1" applyAlignment="1">
      <alignment horizontal="left"/>
    </xf>
    <xf numFmtId="0" fontId="55" fillId="12" borderId="16" xfId="10" applyFont="1" applyFill="1" applyBorder="1" applyAlignment="1">
      <alignment horizontal="left"/>
    </xf>
    <xf numFmtId="0" fontId="55" fillId="12" borderId="20" xfId="10" applyFont="1" applyFill="1" applyBorder="1" applyAlignment="1">
      <alignment horizontal="left"/>
    </xf>
    <xf numFmtId="15" fontId="52" fillId="12" borderId="14" xfId="11" applyNumberFormat="1" applyFill="1" applyBorder="1" applyAlignment="1">
      <alignment horizontal="left"/>
    </xf>
    <xf numFmtId="15" fontId="52" fillId="12" borderId="21" xfId="11" applyNumberFormat="1" applyFill="1" applyBorder="1" applyAlignment="1">
      <alignment horizontal="left"/>
    </xf>
    <xf numFmtId="15" fontId="52" fillId="12" borderId="20" xfId="11" applyNumberFormat="1" applyFill="1" applyBorder="1" applyAlignment="1">
      <alignment horizontal="left"/>
    </xf>
    <xf numFmtId="0" fontId="52" fillId="12" borderId="14" xfId="11" applyFill="1" applyBorder="1"/>
    <xf numFmtId="0" fontId="52" fillId="12" borderId="21" xfId="11" applyFill="1" applyBorder="1"/>
    <xf numFmtId="0" fontId="52" fillId="12" borderId="20" xfId="11" applyFill="1" applyBorder="1"/>
  </cellXfs>
  <cellStyles count="14">
    <cellStyle name="blp_column_header" xfId="12" xr:uid="{00000000-0005-0000-0000-000000000000}"/>
    <cellStyle name="ColumnHeaderNormal" xfId="9" xr:uid="{00000000-0005-0000-0000-000001000000}"/>
    <cellStyle name="Formula changed" xfId="6" xr:uid="{00000000-0005-0000-0000-000002000000}"/>
    <cellStyle name="Hyperlink 2" xfId="11" xr:uid="{00000000-0005-0000-0000-000003000000}"/>
    <cellStyle name="Normal 2" xfId="4" xr:uid="{00000000-0005-0000-0000-000004000000}"/>
    <cellStyle name="Normal 3" xfId="10" xr:uid="{00000000-0005-0000-0000-000005000000}"/>
    <cellStyle name="Normal 4" xfId="7" xr:uid="{00000000-0005-0000-0000-000006000000}"/>
    <cellStyle name="TextNormal" xfId="8" xr:uid="{00000000-0005-0000-0000-000007000000}"/>
    <cellStyle name="Ввод " xfId="2" builtinId="20"/>
    <cellStyle name="Вычисление" xfId="3" builtinId="22"/>
    <cellStyle name="Обычный" xfId="0" builtinId="0"/>
    <cellStyle name="Процентный" xfId="1" builtinId="5"/>
    <cellStyle name="Финансовый" xfId="13" builtinId="3"/>
    <cellStyle name="Финансовый 2" xfId="5" xr:uid="{00000000-0005-0000-0000-00000D000000}"/>
  </cellStyles>
  <dxfs count="16">
    <dxf>
      <numFmt numFmtId="14" formatCode="0.00%"/>
      <alignment horizontal="center" vertical="bottom" textRotation="0" wrapText="0" indent="0" justifyLastLine="0" shrinkToFit="0" readingOrder="0"/>
      <border diagonalUp="0" diagonalDown="0">
        <left style="thin">
          <color indexed="64"/>
        </left>
        <right/>
        <top style="thin">
          <color indexed="64"/>
        </top>
        <bottom style="thin">
          <color indexed="64"/>
        </bottom>
      </border>
    </dxf>
    <dxf>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173" formatCode="0.0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2"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2"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2"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border outline="0">
        <bottom style="thin">
          <color indexed="64"/>
        </bottom>
      </border>
    </dxf>
    <dxf>
      <font>
        <b val="0"/>
        <i/>
        <strike val="0"/>
        <condense val="0"/>
        <extend val="0"/>
        <outline val="0"/>
        <shadow val="0"/>
        <u val="none"/>
        <vertAlign val="baseline"/>
        <sz val="10"/>
        <color auto="1"/>
        <name val="Verdana"/>
        <scheme val="none"/>
      </font>
      <alignment horizontal="center"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883402833495839"/>
          <c:y val="6.9765040134124661E-3"/>
          <c:w val="0.79672295221139044"/>
          <c:h val="0.99302349598658746"/>
        </c:manualLayout>
      </c:layout>
      <c:barChart>
        <c:barDir val="bar"/>
        <c:grouping val="stacked"/>
        <c:varyColors val="0"/>
        <c:ser>
          <c:idx val="0"/>
          <c:order val="0"/>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Handouts!$B$14:$B$17</c:f>
              <c:strCache>
                <c:ptCount val="4"/>
                <c:pt idx="0">
                  <c:v>EV/Revenue 2031</c:v>
                </c:pt>
                <c:pt idx="1">
                  <c:v>EV/EBITDA 2031</c:v>
                </c:pt>
                <c:pt idx="2">
                  <c:v>EV/Revenue 2021</c:v>
                </c:pt>
                <c:pt idx="3">
                  <c:v>DCF (FCFE)</c:v>
                </c:pt>
              </c:strCache>
            </c:strRef>
          </c:cat>
          <c:val>
            <c:numRef>
              <c:f>Handouts!$C$14:$C$17</c:f>
              <c:numCache>
                <c:formatCode>#\ ##0_);\(#\ ##0\);\-</c:formatCode>
                <c:ptCount val="4"/>
                <c:pt idx="0">
                  <c:v>46.251091305201861</c:v>
                </c:pt>
                <c:pt idx="1">
                  <c:v>110.46750902807915</c:v>
                </c:pt>
                <c:pt idx="2">
                  <c:v>26.525810185185186</c:v>
                </c:pt>
                <c:pt idx="3">
                  <c:v>102.8469160163542</c:v>
                </c:pt>
              </c:numCache>
            </c:numRef>
          </c:val>
          <c:extLst>
            <c:ext xmlns:c16="http://schemas.microsoft.com/office/drawing/2014/chart" uri="{C3380CC4-5D6E-409C-BE32-E72D297353CC}">
              <c16:uniqueId val="{00000000-76A0-4097-9CAF-54D73BD6DA7B}"/>
            </c:ext>
          </c:extLst>
        </c:ser>
        <c:ser>
          <c:idx val="1"/>
          <c:order val="1"/>
          <c:spPr>
            <a:solidFill>
              <a:srgbClr val="A41320"/>
            </a:solidFill>
            <a:ln>
              <a:noFill/>
            </a:ln>
            <a:effectLst/>
          </c:spPr>
          <c:invertIfNegative val="0"/>
          <c:cat>
            <c:strRef>
              <c:f>Handouts!$B$14:$B$17</c:f>
              <c:strCache>
                <c:ptCount val="4"/>
                <c:pt idx="0">
                  <c:v>EV/Revenue 2031</c:v>
                </c:pt>
                <c:pt idx="1">
                  <c:v>EV/EBITDA 2031</c:v>
                </c:pt>
                <c:pt idx="2">
                  <c:v>EV/Revenue 2021</c:v>
                </c:pt>
                <c:pt idx="3">
                  <c:v>DCF (FCFE)</c:v>
                </c:pt>
              </c:strCache>
            </c:strRef>
          </c:cat>
          <c:val>
            <c:numRef>
              <c:f>Handouts!$D$14:$D$17</c:f>
              <c:numCache>
                <c:formatCode>#\ ##0_);\(#\ ##0\);\-</c:formatCode>
                <c:ptCount val="4"/>
                <c:pt idx="0">
                  <c:v>50.567173127593286</c:v>
                </c:pt>
                <c:pt idx="1">
                  <c:v>18.219058905437606</c:v>
                </c:pt>
                <c:pt idx="2">
                  <c:v>36.686458333333334</c:v>
                </c:pt>
                <c:pt idx="3">
                  <c:v>51.011734289348212</c:v>
                </c:pt>
              </c:numCache>
            </c:numRef>
          </c:val>
          <c:extLst>
            <c:ext xmlns:c16="http://schemas.microsoft.com/office/drawing/2014/chart" uri="{C3380CC4-5D6E-409C-BE32-E72D297353CC}">
              <c16:uniqueId val="{00000001-76A0-4097-9CAF-54D73BD6DA7B}"/>
            </c:ext>
          </c:extLst>
        </c:ser>
        <c:ser>
          <c:idx val="2"/>
          <c:order val="2"/>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Handouts!$B$14:$B$17</c:f>
              <c:strCache>
                <c:ptCount val="4"/>
                <c:pt idx="0">
                  <c:v>EV/Revenue 2031</c:v>
                </c:pt>
                <c:pt idx="1">
                  <c:v>EV/EBITDA 2031</c:v>
                </c:pt>
                <c:pt idx="2">
                  <c:v>EV/Revenue 2021</c:v>
                </c:pt>
                <c:pt idx="3">
                  <c:v>DCF (FCFE)</c:v>
                </c:pt>
              </c:strCache>
            </c:strRef>
          </c:cat>
          <c:val>
            <c:numRef>
              <c:f>Handouts!$E$14:$E$17</c:f>
              <c:numCache>
                <c:formatCode>#\ ##0_);\(#\ ##0\);\-</c:formatCode>
                <c:ptCount val="4"/>
                <c:pt idx="0">
                  <c:v>96.818264432795146</c:v>
                </c:pt>
                <c:pt idx="1">
                  <c:v>128.68656793351676</c:v>
                </c:pt>
                <c:pt idx="2">
                  <c:v>63.21226851851852</c:v>
                </c:pt>
                <c:pt idx="3">
                  <c:v>153.85865030570241</c:v>
                </c:pt>
              </c:numCache>
            </c:numRef>
          </c:val>
          <c:extLst>
            <c:ext xmlns:c16="http://schemas.microsoft.com/office/drawing/2014/chart" uri="{C3380CC4-5D6E-409C-BE32-E72D297353CC}">
              <c16:uniqueId val="{00000002-76A0-4097-9CAF-54D73BD6DA7B}"/>
            </c:ext>
          </c:extLst>
        </c:ser>
        <c:dLbls>
          <c:showLegendKey val="0"/>
          <c:showVal val="0"/>
          <c:showCatName val="0"/>
          <c:showSerName val="0"/>
          <c:showPercent val="0"/>
          <c:showBubbleSize val="0"/>
        </c:dLbls>
        <c:gapWidth val="150"/>
        <c:overlap val="100"/>
        <c:axId val="329200496"/>
        <c:axId val="329195792"/>
      </c:barChart>
      <c:catAx>
        <c:axId val="3292004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329195792"/>
        <c:crosses val="autoZero"/>
        <c:auto val="1"/>
        <c:lblAlgn val="ctr"/>
        <c:lblOffset val="100"/>
        <c:noMultiLvlLbl val="0"/>
      </c:catAx>
      <c:valAx>
        <c:axId val="329195792"/>
        <c:scaling>
          <c:orientation val="minMax"/>
          <c:max val="700"/>
        </c:scaling>
        <c:delete val="1"/>
        <c:axPos val="b"/>
        <c:majorGridlines>
          <c:spPr>
            <a:ln w="9525" cap="flat" cmpd="sng" algn="ctr">
              <a:solidFill>
                <a:schemeClr val="tx1">
                  <a:lumMod val="15000"/>
                  <a:lumOff val="85000"/>
                </a:schemeClr>
              </a:solidFill>
              <a:round/>
            </a:ln>
            <a:effectLst/>
          </c:spPr>
        </c:majorGridlines>
        <c:numFmt formatCode="#\ ##0_);\(#\ ##0\);\-" sourceLinked="1"/>
        <c:majorTickMark val="none"/>
        <c:minorTickMark val="none"/>
        <c:tickLblPos val="nextTo"/>
        <c:crossAx val="3292004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800">
          <a:solidFill>
            <a:schemeClr val="tx1"/>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Drop" dropLines="5" dropStyle="combo" dx="16" fmlaLink="$C$19" fmlaRange="$D$20:$D$22" noThreeD="1" sel="1" val="0"/>
</file>

<file path=xl/ctrlProps/ctrlProp2.xml><?xml version="1.0" encoding="utf-8"?>
<formControlPr xmlns="http://schemas.microsoft.com/office/spreadsheetml/2009/9/main" objectType="Drop" dropLines="5" dropStyle="combo" dx="16" fmlaLink="$C$24" fmlaRange="$D$25:$D$26" noThreeD="1" sel="1" val="0"/>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7620</xdr:colOff>
          <xdr:row>18</xdr:row>
          <xdr:rowOff>7620</xdr:rowOff>
        </xdr:from>
        <xdr:to>
          <xdr:col>7</xdr:col>
          <xdr:colOff>601980</xdr:colOff>
          <xdr:row>19</xdr:row>
          <xdr:rowOff>0</xdr:rowOff>
        </xdr:to>
        <xdr:sp macro="" textlink="">
          <xdr:nvSpPr>
            <xdr:cNvPr id="2049" name="Drop Down 2"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4</xdr:col>
          <xdr:colOff>7620</xdr:colOff>
          <xdr:row>23</xdr:row>
          <xdr:rowOff>7620</xdr:rowOff>
        </xdr:from>
        <xdr:to>
          <xdr:col>7</xdr:col>
          <xdr:colOff>601980</xdr:colOff>
          <xdr:row>24</xdr:row>
          <xdr:rowOff>0</xdr:rowOff>
        </xdr:to>
        <xdr:sp macro="" textlink="">
          <xdr:nvSpPr>
            <xdr:cNvPr id="2050" name="Drop Down 3"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7</xdr:col>
      <xdr:colOff>304799</xdr:colOff>
      <xdr:row>11</xdr:row>
      <xdr:rowOff>28576</xdr:rowOff>
    </xdr:from>
    <xdr:to>
      <xdr:col>18</xdr:col>
      <xdr:colOff>56212</xdr:colOff>
      <xdr:row>20</xdr:row>
      <xdr:rowOff>134472</xdr:rowOff>
    </xdr:to>
    <xdr:graphicFrame macro="">
      <xdr:nvGraphicFramePr>
        <xdr:cNvPr id="2" name="Chart 2">
          <a:extLst>
            <a:ext uri="{FF2B5EF4-FFF2-40B4-BE49-F238E27FC236}">
              <a16:creationId xmlns:a16="http://schemas.microsoft.com/office/drawing/2014/main" id="{00000000-0008-0000-09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8:K104" totalsRowShown="0" headerRowDxfId="15" dataDxfId="13" headerRowBorderDxfId="14" tableBorderDxfId="12" totalsRowBorderDxfId="11">
  <autoFilter ref="A8:K104" xr:uid="{00000000-0009-0000-0100-000001000000}">
    <filterColumn colId="0">
      <filters>
        <filter val="Beverage (Soft)"/>
      </filters>
    </filterColumn>
  </autoFilter>
  <tableColumns count="11">
    <tableColumn id="1" xr3:uid="{00000000-0010-0000-0000-000001000000}" name="Industry Name" dataDxfId="10"/>
    <tableColumn id="2" xr3:uid="{00000000-0010-0000-0000-000002000000}" name="Number of firms" dataDxfId="9"/>
    <tableColumn id="3" xr3:uid="{00000000-0010-0000-0000-000003000000}" name="Beta " dataDxfId="8"/>
    <tableColumn id="4" xr3:uid="{00000000-0010-0000-0000-000004000000}" name="D/E Ratio" dataDxfId="7"/>
    <tableColumn id="5" xr3:uid="{00000000-0010-0000-0000-000005000000}" name="Tax rate" dataDxfId="6"/>
    <tableColumn id="6" xr3:uid="{00000000-0010-0000-0000-000006000000}" name="Unlevered beta" dataDxfId="5"/>
    <tableColumn id="7" xr3:uid="{00000000-0010-0000-0000-000007000000}" name="Cash/Firm value" dataDxfId="4"/>
    <tableColumn id="8" xr3:uid="{00000000-0010-0000-0000-000008000000}" name="Unlevered beta corrected for cash" dataDxfId="3"/>
    <tableColumn id="9" xr3:uid="{00000000-0010-0000-0000-000009000000}" name="HiLo Risk" dataDxfId="2"/>
    <tableColumn id="10" xr3:uid="{00000000-0010-0000-0000-00000A000000}" name="Standard deviation of equity" dataDxfId="1"/>
    <tableColumn id="11" xr3:uid="{00000000-0010-0000-0000-00000B000000}" name="Standard deviation in operating income (last 10 year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3" Type="http://schemas.openxmlformats.org/officeDocument/2006/relationships/hyperlink" Target="http://www.stern.nyu.edu/~adamodar/New_Home_Page/data.html" TargetMode="External"/><Relationship Id="rId2" Type="http://schemas.openxmlformats.org/officeDocument/2006/relationships/hyperlink" Target="http://www.damodaran.com/" TargetMode="External"/><Relationship Id="rId1" Type="http://schemas.openxmlformats.org/officeDocument/2006/relationships/hyperlink" Target="mailto:adamodar@stern.nyu.edu?subject=Data%20on%20website" TargetMode="External"/><Relationship Id="rId6" Type="http://schemas.openxmlformats.org/officeDocument/2006/relationships/table" Target="../tables/table1.xml"/><Relationship Id="rId5" Type="http://schemas.openxmlformats.org/officeDocument/2006/relationships/hyperlink" Target="http://www.stern.nyu.edu/~adamodar/New_Home_Page/datafile/variable.htm" TargetMode="External"/><Relationship Id="rId4" Type="http://schemas.openxmlformats.org/officeDocument/2006/relationships/hyperlink" Target="http://www.stern.nyu.edu/~adamodar/pc/datasets/indname.x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3"/>
  <sheetViews>
    <sheetView showGridLines="0" tabSelected="1" zoomScale="85" zoomScaleNormal="85" workbookViewId="0">
      <selection activeCell="B11" sqref="B11"/>
    </sheetView>
  </sheetViews>
  <sheetFormatPr defaultColWidth="0" defaultRowHeight="14.4" zeroHeight="1" x14ac:dyDescent="0.3"/>
  <cols>
    <col min="1" max="14" width="9.109375" customWidth="1"/>
    <col min="15" max="16384" width="9.109375" hidden="1"/>
  </cols>
  <sheetData>
    <row r="1" spans="1:14" ht="16.8" x14ac:dyDescent="0.4">
      <c r="A1" s="35"/>
      <c r="B1" s="35"/>
      <c r="C1" s="35"/>
      <c r="D1" s="35"/>
      <c r="E1" s="35"/>
      <c r="F1" s="35"/>
      <c r="G1" s="35"/>
      <c r="H1" s="35"/>
      <c r="I1" s="35"/>
      <c r="J1" s="35"/>
      <c r="K1" s="35"/>
      <c r="L1" s="35"/>
      <c r="M1" s="35"/>
      <c r="N1" s="35"/>
    </row>
    <row r="2" spans="1:14" ht="16.8" x14ac:dyDescent="0.4">
      <c r="A2" s="35"/>
      <c r="B2" s="34"/>
      <c r="C2" s="35"/>
      <c r="D2" s="35"/>
      <c r="E2" s="35"/>
      <c r="F2" s="35"/>
      <c r="G2" s="35"/>
      <c r="H2" s="35"/>
      <c r="I2" s="35"/>
      <c r="J2" s="35"/>
      <c r="K2" s="35"/>
      <c r="L2" s="35"/>
      <c r="M2" s="35"/>
      <c r="N2" s="35"/>
    </row>
    <row r="3" spans="1:14" ht="16.8" x14ac:dyDescent="0.4">
      <c r="A3" s="35"/>
      <c r="B3" s="162"/>
      <c r="C3" s="162"/>
      <c r="D3" s="162"/>
      <c r="E3" s="162"/>
      <c r="F3" s="162"/>
      <c r="G3" s="162"/>
      <c r="H3" s="162"/>
      <c r="I3" s="162"/>
      <c r="J3" s="162"/>
      <c r="K3" s="162"/>
      <c r="L3" s="162"/>
      <c r="M3" s="162"/>
      <c r="N3" s="35"/>
    </row>
    <row r="4" spans="1:14" ht="16.8" x14ac:dyDescent="0.4">
      <c r="A4" s="35"/>
      <c r="B4" s="163"/>
      <c r="C4" s="162"/>
      <c r="D4" s="162"/>
      <c r="E4" s="162"/>
      <c r="F4" s="162"/>
      <c r="G4" s="162"/>
      <c r="H4" s="162"/>
      <c r="I4" s="162"/>
      <c r="J4" s="162"/>
      <c r="K4" s="162"/>
      <c r="L4" s="162"/>
      <c r="M4" s="162"/>
      <c r="N4" s="35"/>
    </row>
    <row r="5" spans="1:14" ht="24.6" x14ac:dyDescent="0.4">
      <c r="A5" s="35"/>
      <c r="B5" s="164" t="s">
        <v>341</v>
      </c>
      <c r="C5" s="165"/>
      <c r="D5" s="165"/>
      <c r="E5" s="162"/>
      <c r="F5" s="162"/>
      <c r="G5" s="162"/>
      <c r="H5" s="162"/>
      <c r="I5" s="162"/>
      <c r="J5" s="162"/>
      <c r="K5" s="162"/>
      <c r="L5" s="162"/>
      <c r="M5" s="162"/>
      <c r="N5" s="35"/>
    </row>
    <row r="6" spans="1:14" ht="16.8" x14ac:dyDescent="0.4">
      <c r="A6" s="35"/>
      <c r="B6" s="162"/>
      <c r="C6" s="162"/>
      <c r="D6" s="162"/>
      <c r="E6" s="162"/>
      <c r="F6" s="162"/>
      <c r="G6" s="162"/>
      <c r="H6" s="162"/>
      <c r="I6" s="162"/>
      <c r="J6" s="162"/>
      <c r="K6" s="162"/>
      <c r="L6" s="162"/>
      <c r="M6" s="162"/>
      <c r="N6" s="35"/>
    </row>
    <row r="7" spans="1:14" ht="16.8" x14ac:dyDescent="0.4">
      <c r="A7" s="35"/>
      <c r="B7" s="162"/>
      <c r="C7" s="162"/>
      <c r="D7" s="162"/>
      <c r="E7" s="162"/>
      <c r="F7" s="162"/>
      <c r="G7" s="162"/>
      <c r="H7" s="162"/>
      <c r="I7" s="162"/>
      <c r="J7" s="162"/>
      <c r="K7" s="162"/>
      <c r="L7" s="162"/>
      <c r="M7" s="162"/>
      <c r="N7" s="35"/>
    </row>
    <row r="8" spans="1:14" ht="24.6" x14ac:dyDescent="0.55000000000000004">
      <c r="A8" s="35"/>
      <c r="B8" s="37" t="s">
        <v>343</v>
      </c>
      <c r="C8" s="35"/>
      <c r="D8" s="35"/>
      <c r="E8" s="35"/>
      <c r="F8" s="35"/>
      <c r="G8" s="35"/>
      <c r="H8" s="35"/>
      <c r="I8" s="35"/>
      <c r="J8" s="35"/>
      <c r="K8" s="35"/>
      <c r="L8" s="35"/>
      <c r="M8" s="35"/>
      <c r="N8" s="35"/>
    </row>
    <row r="9" spans="1:14" ht="19.2" x14ac:dyDescent="0.4">
      <c r="A9" s="35"/>
      <c r="B9" s="36" t="s">
        <v>342</v>
      </c>
      <c r="C9" s="35"/>
      <c r="D9" s="35"/>
      <c r="E9" s="35"/>
      <c r="F9" s="35"/>
      <c r="G9" s="35"/>
      <c r="H9" s="35"/>
      <c r="I9" s="35"/>
      <c r="J9" s="35"/>
      <c r="K9" s="35"/>
      <c r="L9" s="35"/>
      <c r="M9" s="35"/>
      <c r="N9" s="35"/>
    </row>
    <row r="10" spans="1:14" ht="19.2" x14ac:dyDescent="0.4">
      <c r="A10" s="35"/>
      <c r="B10" s="166"/>
      <c r="C10" s="35"/>
      <c r="D10" s="35"/>
      <c r="E10" s="35"/>
      <c r="F10" s="35"/>
      <c r="G10" s="35"/>
      <c r="H10" s="35"/>
      <c r="I10" s="35"/>
      <c r="J10" s="35"/>
      <c r="K10" s="35"/>
      <c r="L10" s="35"/>
      <c r="M10" s="35"/>
      <c r="N10" s="35"/>
    </row>
    <row r="11" spans="1:14" ht="16.8" x14ac:dyDescent="0.4">
      <c r="A11" s="35"/>
      <c r="B11" s="35"/>
      <c r="C11" s="35"/>
      <c r="D11" s="35"/>
      <c r="E11" s="35"/>
      <c r="F11" s="35"/>
      <c r="G11" s="35"/>
      <c r="H11" s="35"/>
      <c r="I11" s="35"/>
      <c r="J11" s="35"/>
      <c r="K11" s="35"/>
      <c r="L11" s="35"/>
      <c r="M11" s="35"/>
      <c r="N11" s="35"/>
    </row>
    <row r="12" spans="1:14" ht="16.8" x14ac:dyDescent="0.4">
      <c r="A12" s="35"/>
      <c r="B12" s="35"/>
      <c r="C12" s="35"/>
      <c r="D12" s="35"/>
      <c r="E12" s="35"/>
      <c r="F12" s="35"/>
      <c r="G12" s="35"/>
      <c r="H12" s="35"/>
      <c r="I12" s="35"/>
      <c r="J12" s="35"/>
      <c r="K12" s="35"/>
      <c r="L12" s="35"/>
      <c r="M12" s="35"/>
      <c r="N12" s="35"/>
    </row>
    <row r="13" spans="1:14" hidden="1" x14ac:dyDescent="0.3">
      <c r="A13" s="34"/>
      <c r="B13" s="34"/>
      <c r="C13" s="34"/>
      <c r="D13" s="34"/>
      <c r="E13" s="34"/>
      <c r="F13" s="34"/>
      <c r="G13" s="34"/>
      <c r="H13" s="34"/>
      <c r="I13" s="34"/>
      <c r="J13" s="34"/>
      <c r="K13" s="34"/>
      <c r="L13" s="34"/>
      <c r="M13" s="34"/>
      <c r="N13" s="34"/>
    </row>
    <row r="14" spans="1:14" hidden="1" x14ac:dyDescent="0.3">
      <c r="A14" s="34"/>
      <c r="B14" s="34"/>
      <c r="C14" s="34"/>
      <c r="D14" s="34"/>
      <c r="E14" s="34"/>
      <c r="F14" s="34"/>
      <c r="G14" s="34"/>
      <c r="H14" s="34"/>
      <c r="I14" s="34"/>
      <c r="J14" s="34"/>
      <c r="K14" s="34"/>
      <c r="L14" s="34"/>
      <c r="M14" s="34"/>
      <c r="N14" s="34"/>
    </row>
    <row r="15" spans="1:14" hidden="1" x14ac:dyDescent="0.3">
      <c r="A15" s="34"/>
      <c r="B15" s="34"/>
      <c r="C15" s="34"/>
      <c r="D15" s="34"/>
      <c r="E15" s="34"/>
      <c r="F15" s="34"/>
      <c r="G15" s="34"/>
      <c r="H15" s="34"/>
      <c r="I15" s="34"/>
      <c r="J15" s="34"/>
      <c r="K15" s="34"/>
      <c r="L15" s="34"/>
      <c r="M15" s="34"/>
      <c r="N15" s="34"/>
    </row>
    <row r="16" spans="1:14" hidden="1" x14ac:dyDescent="0.3">
      <c r="A16" s="34"/>
      <c r="B16" s="34"/>
      <c r="C16" s="34"/>
      <c r="D16" s="34"/>
      <c r="E16" s="34"/>
      <c r="F16" s="34"/>
      <c r="G16" s="34"/>
      <c r="H16" s="34"/>
      <c r="I16" s="34"/>
      <c r="J16" s="34"/>
      <c r="K16" s="34"/>
      <c r="L16" s="34"/>
      <c r="M16" s="34"/>
      <c r="N16" s="34"/>
    </row>
    <row r="17" spans="1:14" hidden="1" x14ac:dyDescent="0.3">
      <c r="A17" s="34"/>
      <c r="B17" s="34"/>
      <c r="C17" s="34"/>
      <c r="D17" s="34"/>
      <c r="E17" s="34"/>
      <c r="F17" s="34"/>
      <c r="G17" s="34"/>
      <c r="H17" s="34"/>
      <c r="I17" s="34"/>
      <c r="J17" s="34"/>
      <c r="K17" s="34"/>
      <c r="L17" s="34"/>
      <c r="M17" s="34"/>
      <c r="N17" s="34"/>
    </row>
    <row r="18" spans="1:14" hidden="1" x14ac:dyDescent="0.3">
      <c r="A18" s="34"/>
      <c r="B18" s="34"/>
      <c r="C18" s="34"/>
      <c r="D18" s="34"/>
      <c r="E18" s="34"/>
      <c r="F18" s="34"/>
      <c r="G18" s="34"/>
      <c r="H18" s="34"/>
      <c r="I18" s="34"/>
      <c r="J18" s="34"/>
      <c r="K18" s="34"/>
      <c r="L18" s="34"/>
      <c r="M18" s="34"/>
      <c r="N18" s="34"/>
    </row>
    <row r="19" spans="1:14" hidden="1" x14ac:dyDescent="0.3">
      <c r="A19" s="34"/>
      <c r="B19" s="34"/>
      <c r="C19" s="34"/>
      <c r="D19" s="34"/>
      <c r="E19" s="34"/>
      <c r="F19" s="34"/>
      <c r="G19" s="34"/>
      <c r="H19" s="34"/>
      <c r="I19" s="34"/>
      <c r="J19" s="34"/>
      <c r="K19" s="34"/>
      <c r="L19" s="34"/>
      <c r="M19" s="34"/>
      <c r="N19" s="34"/>
    </row>
    <row r="20" spans="1:14" hidden="1" x14ac:dyDescent="0.3">
      <c r="A20" s="34"/>
      <c r="B20" s="34"/>
      <c r="C20" s="34"/>
      <c r="D20" s="34"/>
      <c r="E20" s="34"/>
      <c r="F20" s="34"/>
      <c r="G20" s="34"/>
      <c r="H20" s="34"/>
      <c r="I20" s="34"/>
      <c r="J20" s="34"/>
      <c r="K20" s="34"/>
      <c r="L20" s="34"/>
      <c r="M20" s="34"/>
      <c r="N20" s="34"/>
    </row>
    <row r="21" spans="1:14" hidden="1" x14ac:dyDescent="0.3">
      <c r="A21" s="34"/>
      <c r="B21" s="34"/>
      <c r="C21" s="34"/>
      <c r="D21" s="34"/>
      <c r="E21" s="34"/>
      <c r="F21" s="34"/>
      <c r="G21" s="34"/>
      <c r="H21" s="34"/>
      <c r="I21" s="34"/>
      <c r="J21" s="34"/>
      <c r="K21" s="34"/>
      <c r="L21" s="34"/>
      <c r="M21" s="34"/>
      <c r="N21" s="34"/>
    </row>
    <row r="22" spans="1:14" hidden="1" x14ac:dyDescent="0.3">
      <c r="A22" s="34"/>
      <c r="B22" s="34"/>
      <c r="C22" s="34"/>
      <c r="D22" s="34"/>
      <c r="E22" s="34"/>
      <c r="F22" s="34"/>
      <c r="G22" s="34"/>
      <c r="H22" s="34"/>
      <c r="I22" s="34"/>
      <c r="J22" s="34"/>
      <c r="K22" s="34"/>
      <c r="L22" s="34"/>
      <c r="M22" s="34"/>
      <c r="N22" s="34"/>
    </row>
    <row r="23" spans="1:14" hidden="1" x14ac:dyDescent="0.3">
      <c r="A23" s="34"/>
      <c r="B23" s="34"/>
      <c r="C23" s="34"/>
      <c r="D23" s="34"/>
      <c r="E23" s="34"/>
      <c r="F23" s="34"/>
      <c r="G23" s="34"/>
      <c r="H23" s="34"/>
      <c r="I23" s="34"/>
      <c r="J23" s="34"/>
      <c r="K23" s="34"/>
      <c r="L23" s="34"/>
      <c r="M23" s="34"/>
      <c r="N23" s="34"/>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S32"/>
  <sheetViews>
    <sheetView showGridLines="0" zoomScale="130" zoomScaleNormal="130" workbookViewId="0">
      <selection activeCell="E7" sqref="E7"/>
    </sheetView>
  </sheetViews>
  <sheetFormatPr defaultColWidth="0" defaultRowHeight="14.4" zeroHeight="1" outlineLevelRow="1" x14ac:dyDescent="0.3"/>
  <cols>
    <col min="1" max="1" width="6.5546875" customWidth="1"/>
    <col min="2" max="2" width="3.5546875" customWidth="1"/>
    <col min="3" max="3" width="2.88671875" customWidth="1"/>
    <col min="4" max="4" width="30.6640625" customWidth="1"/>
    <col min="5" max="5" width="14.21875" bestFit="1" customWidth="1"/>
    <col min="6" max="6" width="9.77734375" bestFit="1" customWidth="1"/>
    <col min="7" max="7" width="9.109375" customWidth="1"/>
    <col min="8" max="8" width="9.77734375" bestFit="1" customWidth="1"/>
    <col min="9" max="10" width="9.109375" customWidth="1"/>
    <col min="11" max="19" width="0" hidden="1" customWidth="1"/>
    <col min="20" max="16384" width="9.109375" hidden="1"/>
  </cols>
  <sheetData>
    <row r="1" spans="1:10" ht="15.6" x14ac:dyDescent="0.3">
      <c r="A1" s="33" t="s">
        <v>345</v>
      </c>
      <c r="B1" s="33"/>
      <c r="C1" s="30"/>
      <c r="D1" s="30"/>
      <c r="E1" s="30"/>
      <c r="F1" s="30"/>
      <c r="G1" s="30"/>
      <c r="H1" s="30"/>
      <c r="I1" s="30"/>
      <c r="J1" s="30"/>
    </row>
    <row r="2" spans="1:10" ht="15.6" x14ac:dyDescent="0.3">
      <c r="A2" s="32" t="s">
        <v>64</v>
      </c>
      <c r="B2" s="32"/>
      <c r="C2" s="31"/>
      <c r="D2" s="31"/>
      <c r="E2" s="31"/>
      <c r="F2" s="31"/>
      <c r="G2" s="31"/>
      <c r="H2" s="31"/>
      <c r="I2" s="31"/>
      <c r="J2" s="31"/>
    </row>
    <row r="3" spans="1:10" x14ac:dyDescent="0.3">
      <c r="A3" s="30"/>
      <c r="B3" s="30"/>
      <c r="C3" s="30"/>
      <c r="D3" s="28"/>
      <c r="E3" s="27"/>
      <c r="F3" s="27"/>
      <c r="G3" s="27"/>
      <c r="H3" s="27"/>
      <c r="I3" s="27"/>
      <c r="J3" s="27"/>
    </row>
    <row r="4" spans="1:10" x14ac:dyDescent="0.3">
      <c r="A4" s="39"/>
      <c r="B4" s="38"/>
      <c r="C4" s="38"/>
      <c r="D4" s="38"/>
      <c r="E4" s="38"/>
      <c r="F4" s="38"/>
      <c r="G4" s="38"/>
      <c r="H4" s="38"/>
      <c r="I4" s="38"/>
      <c r="J4" s="38"/>
    </row>
    <row r="5" spans="1:10" ht="27" x14ac:dyDescent="0.3">
      <c r="A5" s="39"/>
      <c r="B5" s="38"/>
      <c r="C5" s="38"/>
      <c r="D5" s="70" t="s">
        <v>429</v>
      </c>
      <c r="E5" s="69" t="s">
        <v>63</v>
      </c>
      <c r="F5" s="68" t="s">
        <v>62</v>
      </c>
      <c r="G5" s="58"/>
      <c r="H5" s="58"/>
      <c r="I5" s="38"/>
      <c r="J5" s="38"/>
    </row>
    <row r="6" spans="1:10" ht="4.5" customHeight="1" x14ac:dyDescent="0.3">
      <c r="A6" s="39"/>
      <c r="B6" s="38"/>
      <c r="C6" s="38"/>
      <c r="D6" s="38"/>
      <c r="E6" s="38"/>
      <c r="F6" s="38"/>
      <c r="G6" s="38"/>
      <c r="H6" s="38"/>
      <c r="I6" s="38"/>
    </row>
    <row r="7" spans="1:10" x14ac:dyDescent="0.3">
      <c r="A7" s="39"/>
      <c r="B7" s="38"/>
      <c r="C7" s="38"/>
      <c r="D7" s="38" t="s">
        <v>61</v>
      </c>
      <c r="E7" s="67">
        <f>Valuation!F51/1000</f>
        <v>565.57401273816208</v>
      </c>
      <c r="F7" s="232">
        <f>Valuation!F95/1000</f>
        <v>544.35151252110268</v>
      </c>
      <c r="G7" s="38"/>
      <c r="H7" s="38"/>
      <c r="I7" s="38"/>
      <c r="J7" s="38"/>
    </row>
    <row r="8" spans="1:10" x14ac:dyDescent="0.3">
      <c r="A8" s="39"/>
      <c r="B8" s="38"/>
      <c r="C8" s="38"/>
      <c r="D8" s="62" t="s">
        <v>60</v>
      </c>
      <c r="E8" s="61"/>
      <c r="F8" s="66"/>
      <c r="G8" s="38"/>
      <c r="H8" s="38"/>
      <c r="I8" s="38"/>
      <c r="J8" s="38"/>
    </row>
    <row r="9" spans="1:10" x14ac:dyDescent="0.3">
      <c r="A9" s="39"/>
      <c r="B9" s="38"/>
      <c r="C9" s="38"/>
      <c r="D9" s="65" t="s">
        <v>59</v>
      </c>
      <c r="E9" s="61">
        <f>F30</f>
        <v>565.57401273816208</v>
      </c>
      <c r="F9" s="64">
        <f>F31</f>
        <v>544.35151252110268</v>
      </c>
      <c r="G9" s="38"/>
      <c r="H9" s="38"/>
      <c r="I9" s="38"/>
      <c r="J9" s="38"/>
    </row>
    <row r="10" spans="1:10" x14ac:dyDescent="0.3">
      <c r="A10" s="39"/>
      <c r="B10" s="38"/>
      <c r="C10" s="38"/>
      <c r="D10" s="65" t="s">
        <v>50</v>
      </c>
      <c r="E10" s="61">
        <f>G30</f>
        <v>444.29867719065015</v>
      </c>
      <c r="F10" s="64">
        <f>G31</f>
        <v>410.69995171712497</v>
      </c>
      <c r="G10" s="38"/>
      <c r="H10" s="38"/>
      <c r="I10" s="38"/>
      <c r="J10" s="38"/>
    </row>
    <row r="11" spans="1:10" x14ac:dyDescent="0.3">
      <c r="A11" s="39"/>
      <c r="B11" s="38"/>
      <c r="C11" s="38"/>
      <c r="D11" s="65" t="s">
        <v>49</v>
      </c>
      <c r="E11" s="61">
        <f>H30</f>
        <v>664.66936932063447</v>
      </c>
      <c r="F11" s="64">
        <f>H31</f>
        <v>654.25011371757421</v>
      </c>
      <c r="G11" s="38"/>
      <c r="H11" s="38"/>
      <c r="I11" s="38"/>
      <c r="J11" s="38"/>
    </row>
    <row r="12" spans="1:10" x14ac:dyDescent="0.3">
      <c r="A12" s="39"/>
      <c r="B12" s="38"/>
      <c r="C12" s="38"/>
      <c r="D12" s="38" t="s">
        <v>58</v>
      </c>
      <c r="E12" s="63"/>
      <c r="F12" s="38"/>
      <c r="G12" s="38"/>
      <c r="H12" s="38"/>
      <c r="I12" s="38"/>
      <c r="J12" s="38"/>
    </row>
    <row r="13" spans="1:10" x14ac:dyDescent="0.3">
      <c r="A13" s="39"/>
      <c r="B13" s="38"/>
      <c r="C13" s="38"/>
      <c r="D13" s="62" t="s">
        <v>57</v>
      </c>
      <c r="E13" s="61">
        <f>Valuation!F77/(10^3)</f>
        <v>207.36349999999999</v>
      </c>
      <c r="F13" s="60">
        <f>Valuation!$F$98</f>
        <v>6.1</v>
      </c>
      <c r="G13" s="38"/>
      <c r="H13" s="38"/>
      <c r="I13" s="38"/>
      <c r="J13" s="38"/>
    </row>
    <row r="14" spans="1:10" x14ac:dyDescent="0.3">
      <c r="A14" s="39"/>
      <c r="B14" s="38"/>
      <c r="C14" s="38"/>
      <c r="D14" s="62" t="s">
        <v>427</v>
      </c>
      <c r="E14" s="61">
        <f>Valuation!F86/(10^3)</f>
        <v>327.67799516698108</v>
      </c>
      <c r="F14" s="60">
        <f>Valuation!$F$98</f>
        <v>6.1</v>
      </c>
      <c r="G14" s="38"/>
      <c r="H14" s="38"/>
      <c r="I14" s="38"/>
      <c r="J14" s="38"/>
    </row>
    <row r="15" spans="1:10" x14ac:dyDescent="0.3">
      <c r="A15" s="39"/>
      <c r="B15" s="38"/>
      <c r="C15" s="38"/>
      <c r="D15" s="62" t="s">
        <v>428</v>
      </c>
      <c r="E15" s="61">
        <f>Valuation!F95/(10^3)</f>
        <v>544.35151252110268</v>
      </c>
      <c r="F15" s="60">
        <f>Valuation!F99</f>
        <v>23.4</v>
      </c>
      <c r="G15" s="38"/>
      <c r="H15" s="38"/>
      <c r="I15" s="38"/>
      <c r="J15" s="38"/>
    </row>
    <row r="16" spans="1:10" x14ac:dyDescent="0.3">
      <c r="A16" s="39"/>
      <c r="B16" s="38"/>
      <c r="C16" s="38"/>
      <c r="D16" s="38"/>
      <c r="E16" s="38"/>
      <c r="F16" s="38"/>
      <c r="G16" s="38"/>
      <c r="H16" s="38"/>
      <c r="I16" s="38"/>
      <c r="J16" s="38"/>
    </row>
    <row r="17" spans="1:9" x14ac:dyDescent="0.3">
      <c r="A17" s="39"/>
      <c r="B17" s="38"/>
      <c r="C17" s="38"/>
      <c r="D17" s="59" t="s">
        <v>56</v>
      </c>
      <c r="E17" s="58"/>
      <c r="F17" s="58"/>
      <c r="G17" s="58"/>
      <c r="H17" s="58"/>
      <c r="I17" s="38"/>
    </row>
    <row r="18" spans="1:9" ht="4.5" customHeight="1" x14ac:dyDescent="0.3">
      <c r="A18" s="39"/>
      <c r="B18" s="38"/>
      <c r="C18" s="38"/>
      <c r="D18" s="38"/>
      <c r="E18" s="38"/>
      <c r="F18" s="38"/>
      <c r="G18" s="38"/>
      <c r="H18" s="38"/>
      <c r="I18" s="38"/>
    </row>
    <row r="19" spans="1:9" x14ac:dyDescent="0.3">
      <c r="A19" s="39"/>
      <c r="B19" s="38"/>
      <c r="C19" s="57">
        <v>1</v>
      </c>
      <c r="D19" s="38" t="s">
        <v>55</v>
      </c>
      <c r="E19" s="38"/>
      <c r="F19" s="38"/>
      <c r="G19" s="38"/>
      <c r="H19" s="38"/>
      <c r="I19" s="38"/>
    </row>
    <row r="20" spans="1:9" hidden="1" outlineLevel="1" x14ac:dyDescent="0.3">
      <c r="A20" s="39"/>
      <c r="B20" s="38"/>
      <c r="C20" s="38"/>
      <c r="D20" s="26" t="s">
        <v>51</v>
      </c>
      <c r="E20" s="38"/>
      <c r="F20" s="38"/>
      <c r="G20" s="38"/>
      <c r="H20" s="38"/>
      <c r="I20" s="38"/>
    </row>
    <row r="21" spans="1:9" hidden="1" outlineLevel="1" x14ac:dyDescent="0.3">
      <c r="A21" s="39"/>
      <c r="B21" s="38"/>
      <c r="C21" s="38"/>
      <c r="D21" s="26" t="s">
        <v>50</v>
      </c>
      <c r="E21" s="38"/>
      <c r="F21" s="38"/>
      <c r="G21" s="38"/>
      <c r="H21" s="38"/>
      <c r="I21" s="38"/>
    </row>
    <row r="22" spans="1:9" hidden="1" outlineLevel="1" x14ac:dyDescent="0.3">
      <c r="A22" s="39"/>
      <c r="B22" s="38"/>
      <c r="C22" s="38"/>
      <c r="D22" s="26" t="s">
        <v>49</v>
      </c>
      <c r="E22" s="38"/>
      <c r="F22" s="38"/>
      <c r="G22" s="38"/>
      <c r="H22" s="38"/>
      <c r="I22" s="38"/>
    </row>
    <row r="23" spans="1:9" collapsed="1" x14ac:dyDescent="0.3">
      <c r="A23" s="39"/>
      <c r="B23" s="38"/>
      <c r="C23" s="38"/>
      <c r="D23" s="15"/>
      <c r="E23" s="38"/>
      <c r="F23" s="38"/>
      <c r="G23" s="38"/>
      <c r="H23" s="38"/>
      <c r="I23" s="38"/>
    </row>
    <row r="24" spans="1:9" x14ac:dyDescent="0.3">
      <c r="A24" s="39"/>
      <c r="B24" s="38"/>
      <c r="C24" s="57">
        <v>1</v>
      </c>
      <c r="D24" s="38" t="s">
        <v>54</v>
      </c>
      <c r="E24" s="38"/>
      <c r="F24" s="38"/>
      <c r="G24" s="38"/>
      <c r="H24" s="38"/>
      <c r="I24" s="38"/>
    </row>
    <row r="25" spans="1:9" outlineLevel="1" x14ac:dyDescent="0.3">
      <c r="A25" s="39"/>
      <c r="B25" s="38"/>
      <c r="C25" s="38"/>
      <c r="D25" s="15" t="s">
        <v>53</v>
      </c>
      <c r="E25" s="38"/>
      <c r="F25" s="38"/>
      <c r="G25" s="38"/>
      <c r="H25" s="38"/>
      <c r="I25" s="38"/>
    </row>
    <row r="26" spans="1:9" outlineLevel="1" x14ac:dyDescent="0.3">
      <c r="A26" s="39"/>
      <c r="B26" s="38"/>
      <c r="C26" s="38"/>
      <c r="D26" s="15" t="s">
        <v>421</v>
      </c>
      <c r="E26" s="38"/>
      <c r="F26" s="38"/>
      <c r="G26" s="38"/>
      <c r="H26" s="38"/>
      <c r="I26" s="38"/>
    </row>
    <row r="27" spans="1:9" x14ac:dyDescent="0.3">
      <c r="A27" s="39"/>
      <c r="B27" s="38"/>
      <c r="C27" s="38"/>
      <c r="D27" s="15"/>
      <c r="E27" s="38"/>
      <c r="F27" s="38"/>
      <c r="G27" s="38"/>
      <c r="H27" s="38"/>
      <c r="I27" s="38"/>
    </row>
    <row r="28" spans="1:9" x14ac:dyDescent="0.3">
      <c r="A28" s="39"/>
      <c r="B28" s="38"/>
      <c r="C28" s="38"/>
      <c r="D28" s="56"/>
      <c r="E28" s="55" t="s">
        <v>52</v>
      </c>
      <c r="F28" s="54" t="s">
        <v>51</v>
      </c>
      <c r="G28" s="54" t="s">
        <v>50</v>
      </c>
      <c r="H28" s="53" t="s">
        <v>49</v>
      </c>
      <c r="I28" s="38"/>
    </row>
    <row r="29" spans="1:9" x14ac:dyDescent="0.3">
      <c r="A29" s="39"/>
      <c r="B29" s="38"/>
      <c r="C29" s="38"/>
      <c r="D29" s="52" t="s">
        <v>48</v>
      </c>
      <c r="E29" s="51">
        <f>IF(C24=1,E7,F7)</f>
        <v>565.57401273816208</v>
      </c>
      <c r="F29" s="48">
        <v>1</v>
      </c>
      <c r="G29" s="48">
        <v>2</v>
      </c>
      <c r="H29" s="50">
        <v>3</v>
      </c>
      <c r="I29" s="38"/>
    </row>
    <row r="30" spans="1:9" x14ac:dyDescent="0.3">
      <c r="A30" s="39"/>
      <c r="B30" s="38"/>
      <c r="C30" s="38"/>
      <c r="D30" s="49" t="s">
        <v>47</v>
      </c>
      <c r="E30" s="48">
        <v>1</v>
      </c>
      <c r="F30" s="47">
        <f t="dataTable" ref="F30:H31" dt2D="1" dtr="1" r1="C19" r2="C24"/>
        <v>565.57401273816208</v>
      </c>
      <c r="G30" s="46">
        <v>444.29867719065015</v>
      </c>
      <c r="H30" s="45">
        <v>664.66936932063447</v>
      </c>
      <c r="I30" s="38"/>
    </row>
    <row r="31" spans="1:9" x14ac:dyDescent="0.3">
      <c r="A31" s="39"/>
      <c r="B31" s="38"/>
      <c r="C31" s="38"/>
      <c r="D31" s="44" t="s">
        <v>420</v>
      </c>
      <c r="E31" s="43">
        <v>2</v>
      </c>
      <c r="F31" s="42">
        <v>544.35151252110268</v>
      </c>
      <c r="G31" s="41">
        <v>410.69995171712497</v>
      </c>
      <c r="H31" s="40">
        <v>654.25011371757421</v>
      </c>
      <c r="I31" s="38"/>
    </row>
    <row r="32" spans="1:9" x14ac:dyDescent="0.3">
      <c r="A32" s="39"/>
      <c r="B32" s="38"/>
      <c r="C32" s="38"/>
      <c r="D32" s="15" t="s">
        <v>46</v>
      </c>
      <c r="I32" s="38"/>
    </row>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Drop Down 2">
              <controlPr defaultSize="0" autoLine="0" autoPict="0">
                <anchor moveWithCells="1" sizeWithCells="1">
                  <from>
                    <xdr:col>4</xdr:col>
                    <xdr:colOff>7620</xdr:colOff>
                    <xdr:row>18</xdr:row>
                    <xdr:rowOff>7620</xdr:rowOff>
                  </from>
                  <to>
                    <xdr:col>7</xdr:col>
                    <xdr:colOff>601980</xdr:colOff>
                    <xdr:row>19</xdr:row>
                    <xdr:rowOff>0</xdr:rowOff>
                  </to>
                </anchor>
              </controlPr>
            </control>
          </mc:Choice>
        </mc:AlternateContent>
        <mc:AlternateContent xmlns:mc="http://schemas.openxmlformats.org/markup-compatibility/2006">
          <mc:Choice Requires="x14">
            <control shapeId="2050" r:id="rId5" name="Drop Down 3">
              <controlPr defaultSize="0" autoLine="0" autoPict="0">
                <anchor moveWithCells="1" sizeWithCells="1">
                  <from>
                    <xdr:col>4</xdr:col>
                    <xdr:colOff>7620</xdr:colOff>
                    <xdr:row>23</xdr:row>
                    <xdr:rowOff>7620</xdr:rowOff>
                  </from>
                  <to>
                    <xdr:col>7</xdr:col>
                    <xdr:colOff>601980</xdr:colOff>
                    <xdr:row>24</xdr:row>
                    <xdr:rowOff>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Z90"/>
  <sheetViews>
    <sheetView showGridLines="0" zoomScale="115" zoomScaleNormal="115" workbookViewId="0">
      <pane xSplit="5" ySplit="3" topLeftCell="F40" activePane="bottomRight" state="frozen"/>
      <selection activeCell="D19" sqref="D19"/>
      <selection pane="topRight" activeCell="D19" sqref="D19"/>
      <selection pane="bottomLeft" activeCell="D19" sqref="D19"/>
      <selection pane="bottomRight" activeCell="H61" sqref="H61"/>
    </sheetView>
  </sheetViews>
  <sheetFormatPr defaultColWidth="0" defaultRowHeight="11.4" outlineLevelRow="1" x14ac:dyDescent="0.2"/>
  <cols>
    <col min="1" max="1" width="3" style="4" customWidth="1"/>
    <col min="2" max="2" width="5.88671875" style="4" customWidth="1"/>
    <col min="3" max="3" width="37.88671875" style="4" customWidth="1"/>
    <col min="4" max="5" width="9.109375" style="4" customWidth="1"/>
    <col min="6" max="6" width="22.109375" style="4" bestFit="1" customWidth="1"/>
    <col min="7" max="19" width="9.109375" style="4" customWidth="1"/>
    <col min="20" max="26" width="0" style="4" hidden="1" customWidth="1"/>
    <col min="27" max="16384" width="9.109375" style="4" hidden="1"/>
  </cols>
  <sheetData>
    <row r="1" spans="1:19" ht="15.6" x14ac:dyDescent="0.3">
      <c r="A1" s="33" t="s">
        <v>345</v>
      </c>
      <c r="B1" s="30"/>
      <c r="C1" s="30"/>
      <c r="D1" s="30"/>
      <c r="E1" s="30"/>
      <c r="F1" s="30"/>
      <c r="G1" s="30"/>
      <c r="H1" s="30"/>
      <c r="I1" s="30"/>
      <c r="J1" s="30"/>
      <c r="K1" s="30"/>
      <c r="L1" s="30"/>
      <c r="M1" s="30"/>
      <c r="N1" s="30"/>
      <c r="O1" s="30"/>
      <c r="P1" s="30"/>
      <c r="Q1" s="30"/>
      <c r="R1" s="30"/>
      <c r="S1" s="30"/>
    </row>
    <row r="2" spans="1:19" ht="15.6" x14ac:dyDescent="0.3">
      <c r="A2" s="32" t="s">
        <v>122</v>
      </c>
      <c r="B2" s="31"/>
      <c r="C2" s="31"/>
      <c r="D2" s="31"/>
      <c r="E2" s="31"/>
      <c r="F2" s="31"/>
      <c r="G2" s="31"/>
      <c r="H2" s="31"/>
      <c r="I2" s="31"/>
      <c r="J2" s="31"/>
      <c r="K2" s="31"/>
      <c r="L2" s="31"/>
      <c r="M2" s="31"/>
      <c r="N2" s="31"/>
      <c r="O2" s="31"/>
      <c r="P2" s="31"/>
      <c r="Q2" s="31"/>
      <c r="R2" s="31"/>
      <c r="S2" s="31"/>
    </row>
    <row r="3" spans="1:19" ht="12" x14ac:dyDescent="0.25">
      <c r="A3" s="30"/>
      <c r="B3" s="29" t="s">
        <v>44</v>
      </c>
      <c r="C3" s="28" t="s">
        <v>43</v>
      </c>
      <c r="D3" s="27" t="s">
        <v>42</v>
      </c>
      <c r="E3" s="27" t="s">
        <v>41</v>
      </c>
      <c r="F3" s="27" t="s">
        <v>40</v>
      </c>
      <c r="G3" s="98" t="str">
        <f t="shared" ref="G3:Q3" si="0">IF($G$7&gt;G11,YEAR(G11)&amp;"A",YEAR(G11)&amp;"F")</f>
        <v>2021A</v>
      </c>
      <c r="H3" s="98" t="str">
        <f t="shared" si="0"/>
        <v>2022F</v>
      </c>
      <c r="I3" s="98" t="str">
        <f t="shared" si="0"/>
        <v>2023F</v>
      </c>
      <c r="J3" s="98" t="str">
        <f t="shared" si="0"/>
        <v>2024F</v>
      </c>
      <c r="K3" s="98" t="str">
        <f t="shared" si="0"/>
        <v>2025F</v>
      </c>
      <c r="L3" s="98" t="str">
        <f t="shared" si="0"/>
        <v>2026F</v>
      </c>
      <c r="M3" s="98" t="str">
        <f t="shared" si="0"/>
        <v>2027F</v>
      </c>
      <c r="N3" s="98" t="str">
        <f t="shared" si="0"/>
        <v>2028F</v>
      </c>
      <c r="O3" s="98" t="str">
        <f t="shared" si="0"/>
        <v>2029F</v>
      </c>
      <c r="P3" s="98" t="str">
        <f t="shared" si="0"/>
        <v>2030F</v>
      </c>
      <c r="Q3" s="98" t="str">
        <f t="shared" si="0"/>
        <v>2031F</v>
      </c>
      <c r="R3" s="31" t="s">
        <v>344</v>
      </c>
      <c r="S3" s="31"/>
    </row>
    <row r="4" spans="1:19" outlineLevel="1" x14ac:dyDescent="0.2">
      <c r="A4" s="15"/>
      <c r="B4" s="15"/>
      <c r="C4" s="15"/>
      <c r="D4" s="15"/>
      <c r="E4" s="15"/>
      <c r="F4" s="15"/>
      <c r="G4" s="15"/>
      <c r="H4" s="15"/>
      <c r="I4" s="15"/>
      <c r="J4" s="15"/>
      <c r="K4" s="15"/>
      <c r="L4" s="15"/>
      <c r="M4" s="15"/>
      <c r="N4" s="15"/>
      <c r="O4" s="15"/>
      <c r="P4" s="15"/>
      <c r="Q4" s="15"/>
      <c r="R4" s="15"/>
      <c r="S4" s="15"/>
    </row>
    <row r="5" spans="1:19" outlineLevel="1" x14ac:dyDescent="0.2">
      <c r="A5" s="15"/>
      <c r="B5" s="15"/>
      <c r="C5" s="19" t="s">
        <v>112</v>
      </c>
      <c r="D5" s="18"/>
      <c r="E5" s="18"/>
      <c r="F5" s="18"/>
      <c r="G5" s="18"/>
      <c r="H5" s="18"/>
      <c r="I5" s="18"/>
      <c r="J5" s="18"/>
      <c r="K5" s="18"/>
      <c r="L5" s="18"/>
      <c r="M5" s="18"/>
      <c r="N5" s="18"/>
      <c r="O5" s="18"/>
      <c r="P5" s="18"/>
      <c r="Q5" s="18"/>
      <c r="R5" s="18"/>
      <c r="S5" s="18"/>
    </row>
    <row r="6" spans="1:19" outlineLevel="1" x14ac:dyDescent="0.2">
      <c r="A6" s="15"/>
      <c r="B6" s="15"/>
      <c r="C6" s="90"/>
      <c r="D6" s="90"/>
      <c r="E6" s="90"/>
      <c r="F6" s="90"/>
      <c r="G6" s="90"/>
      <c r="H6" s="90"/>
      <c r="I6" s="90"/>
      <c r="J6" s="90"/>
      <c r="K6" s="90"/>
      <c r="L6" s="90"/>
      <c r="M6" s="90"/>
      <c r="N6" s="90"/>
      <c r="O6" s="90"/>
      <c r="P6" s="90"/>
      <c r="Q6" s="90"/>
      <c r="R6" s="90"/>
      <c r="S6" s="90"/>
    </row>
    <row r="7" spans="1:19" ht="13.2" outlineLevel="1" x14ac:dyDescent="0.25">
      <c r="A7" s="15"/>
      <c r="B7" s="15"/>
      <c r="C7" s="15" t="s">
        <v>121</v>
      </c>
      <c r="D7" s="12" t="s">
        <v>2</v>
      </c>
      <c r="E7" s="92"/>
      <c r="F7" s="90"/>
      <c r="G7" s="97">
        <v>44562</v>
      </c>
      <c r="H7" s="95"/>
      <c r="I7" s="96"/>
      <c r="J7" s="96"/>
      <c r="K7" s="96"/>
      <c r="L7" s="96"/>
      <c r="M7" s="96"/>
      <c r="N7" s="96"/>
      <c r="O7" s="96"/>
      <c r="P7" s="96"/>
      <c r="Q7" s="95"/>
      <c r="R7" s="95"/>
      <c r="S7" s="95"/>
    </row>
    <row r="8" spans="1:19" ht="13.2" outlineLevel="1" x14ac:dyDescent="0.25">
      <c r="A8" s="15"/>
      <c r="B8" s="15"/>
      <c r="C8" s="15"/>
      <c r="D8" s="12"/>
      <c r="E8" s="92"/>
      <c r="F8" s="90"/>
      <c r="G8" s="95"/>
      <c r="H8" s="96"/>
      <c r="I8" s="96"/>
      <c r="J8" s="96"/>
      <c r="K8" s="96"/>
      <c r="L8" s="96"/>
      <c r="M8" s="96"/>
      <c r="N8" s="96"/>
      <c r="O8" s="96"/>
      <c r="P8" s="96"/>
      <c r="Q8" s="95"/>
      <c r="R8" s="95"/>
      <c r="S8" s="95"/>
    </row>
    <row r="9" spans="1:19" ht="13.2" outlineLevel="1" x14ac:dyDescent="0.25">
      <c r="A9" s="15"/>
      <c r="B9" s="15"/>
      <c r="C9" s="15" t="s">
        <v>120</v>
      </c>
      <c r="D9" s="12" t="s">
        <v>119</v>
      </c>
      <c r="E9" s="92"/>
      <c r="F9" s="90"/>
      <c r="G9" s="91">
        <f t="shared" ref="G9:Q9" si="1">YEAR(G10)</f>
        <v>2021</v>
      </c>
      <c r="H9" s="91">
        <f t="shared" si="1"/>
        <v>2022</v>
      </c>
      <c r="I9" s="91">
        <f t="shared" si="1"/>
        <v>2023</v>
      </c>
      <c r="J9" s="91">
        <f t="shared" si="1"/>
        <v>2024</v>
      </c>
      <c r="K9" s="91">
        <f t="shared" si="1"/>
        <v>2025</v>
      </c>
      <c r="L9" s="91">
        <f t="shared" si="1"/>
        <v>2026</v>
      </c>
      <c r="M9" s="91">
        <f t="shared" si="1"/>
        <v>2027</v>
      </c>
      <c r="N9" s="91">
        <f t="shared" si="1"/>
        <v>2028</v>
      </c>
      <c r="O9" s="91">
        <f t="shared" si="1"/>
        <v>2029</v>
      </c>
      <c r="P9" s="91">
        <f t="shared" si="1"/>
        <v>2030</v>
      </c>
      <c r="Q9" s="91">
        <f t="shared" si="1"/>
        <v>2031</v>
      </c>
      <c r="R9" s="95"/>
      <c r="S9" s="95"/>
    </row>
    <row r="10" spans="1:19" ht="13.2" outlineLevel="1" x14ac:dyDescent="0.25">
      <c r="A10" s="15"/>
      <c r="B10" s="15"/>
      <c r="C10" s="15" t="s">
        <v>118</v>
      </c>
      <c r="D10" s="12" t="s">
        <v>2</v>
      </c>
      <c r="E10" s="92"/>
      <c r="F10" s="90"/>
      <c r="G10" s="94">
        <v>44197</v>
      </c>
      <c r="H10" s="94">
        <f t="shared" ref="H10:Q10" si="2">G11+1</f>
        <v>44562</v>
      </c>
      <c r="I10" s="94">
        <f t="shared" si="2"/>
        <v>44927</v>
      </c>
      <c r="J10" s="94">
        <f t="shared" si="2"/>
        <v>45292</v>
      </c>
      <c r="K10" s="94">
        <f t="shared" si="2"/>
        <v>45658</v>
      </c>
      <c r="L10" s="94">
        <f t="shared" si="2"/>
        <v>46023</v>
      </c>
      <c r="M10" s="94">
        <f t="shared" si="2"/>
        <v>46388</v>
      </c>
      <c r="N10" s="94">
        <f t="shared" si="2"/>
        <v>46753</v>
      </c>
      <c r="O10" s="94">
        <f t="shared" si="2"/>
        <v>47119</v>
      </c>
      <c r="P10" s="94">
        <f t="shared" si="2"/>
        <v>47484</v>
      </c>
      <c r="Q10" s="94">
        <f t="shared" si="2"/>
        <v>47849</v>
      </c>
      <c r="R10" s="95"/>
      <c r="S10" s="95"/>
    </row>
    <row r="11" spans="1:19" ht="13.2" outlineLevel="1" x14ac:dyDescent="0.25">
      <c r="A11" s="15"/>
      <c r="B11" s="15"/>
      <c r="C11" s="15" t="s">
        <v>117</v>
      </c>
      <c r="D11" s="12" t="s">
        <v>2</v>
      </c>
      <c r="E11" s="92"/>
      <c r="F11" s="90"/>
      <c r="G11" s="93">
        <f t="shared" ref="G11:M11" si="3">EOMONTH(G10,12-1)</f>
        <v>44561</v>
      </c>
      <c r="H11" s="93">
        <f t="shared" si="3"/>
        <v>44926</v>
      </c>
      <c r="I11" s="93">
        <f t="shared" si="3"/>
        <v>45291</v>
      </c>
      <c r="J11" s="93">
        <f t="shared" si="3"/>
        <v>45657</v>
      </c>
      <c r="K11" s="93">
        <f t="shared" si="3"/>
        <v>46022</v>
      </c>
      <c r="L11" s="93">
        <f t="shared" si="3"/>
        <v>46387</v>
      </c>
      <c r="M11" s="93">
        <f t="shared" si="3"/>
        <v>46752</v>
      </c>
      <c r="N11" s="93">
        <f>EOMONTH(N10,11)</f>
        <v>47118</v>
      </c>
      <c r="O11" s="93">
        <f>EOMONTH(O10,11)</f>
        <v>47483</v>
      </c>
      <c r="P11" s="93">
        <f>EOMONTH(P10,11)</f>
        <v>47848</v>
      </c>
      <c r="Q11" s="93">
        <f>EOMONTH(Q10,11)</f>
        <v>48213</v>
      </c>
      <c r="R11" s="95"/>
      <c r="S11" s="95"/>
    </row>
    <row r="12" spans="1:19" ht="13.2" outlineLevel="1" x14ac:dyDescent="0.25">
      <c r="A12" s="15"/>
      <c r="B12" s="15"/>
      <c r="C12" s="15" t="s">
        <v>116</v>
      </c>
      <c r="D12" s="12" t="s">
        <v>115</v>
      </c>
      <c r="E12" s="92"/>
      <c r="F12" s="90"/>
      <c r="G12" s="91">
        <f t="shared" ref="G12:Q12" si="4">_xlfn.DAYS(G11,G10)+1</f>
        <v>365</v>
      </c>
      <c r="H12" s="91">
        <f t="shared" si="4"/>
        <v>365</v>
      </c>
      <c r="I12" s="91">
        <f t="shared" si="4"/>
        <v>365</v>
      </c>
      <c r="J12" s="91">
        <f t="shared" si="4"/>
        <v>366</v>
      </c>
      <c r="K12" s="91">
        <f t="shared" si="4"/>
        <v>365</v>
      </c>
      <c r="L12" s="91">
        <f t="shared" si="4"/>
        <v>365</v>
      </c>
      <c r="M12" s="91">
        <f t="shared" si="4"/>
        <v>365</v>
      </c>
      <c r="N12" s="91">
        <f t="shared" si="4"/>
        <v>366</v>
      </c>
      <c r="O12" s="91">
        <f t="shared" si="4"/>
        <v>365</v>
      </c>
      <c r="P12" s="91">
        <f t="shared" si="4"/>
        <v>365</v>
      </c>
      <c r="Q12" s="91">
        <f t="shared" si="4"/>
        <v>365</v>
      </c>
      <c r="R12" s="95"/>
      <c r="S12" s="95"/>
    </row>
    <row r="13" spans="1:19" ht="13.2" outlineLevel="1" x14ac:dyDescent="0.25">
      <c r="A13" s="15"/>
      <c r="B13" s="15"/>
      <c r="C13" s="15" t="s">
        <v>114</v>
      </c>
      <c r="D13" s="12" t="s">
        <v>113</v>
      </c>
      <c r="E13" s="92"/>
      <c r="F13" s="90"/>
      <c r="G13" s="91">
        <f t="shared" ref="G13:Q13" si="5">MONTH(G11)-MONTH(G10)+1</f>
        <v>12</v>
      </c>
      <c r="H13" s="91">
        <f t="shared" si="5"/>
        <v>12</v>
      </c>
      <c r="I13" s="91">
        <f t="shared" si="5"/>
        <v>12</v>
      </c>
      <c r="J13" s="91">
        <f t="shared" si="5"/>
        <v>12</v>
      </c>
      <c r="K13" s="91">
        <f t="shared" si="5"/>
        <v>12</v>
      </c>
      <c r="L13" s="91">
        <f t="shared" si="5"/>
        <v>12</v>
      </c>
      <c r="M13" s="91">
        <f t="shared" si="5"/>
        <v>12</v>
      </c>
      <c r="N13" s="91">
        <f t="shared" si="5"/>
        <v>12</v>
      </c>
      <c r="O13" s="91">
        <f t="shared" si="5"/>
        <v>12</v>
      </c>
      <c r="P13" s="91">
        <f t="shared" si="5"/>
        <v>12</v>
      </c>
      <c r="Q13" s="91">
        <f t="shared" si="5"/>
        <v>12</v>
      </c>
      <c r="R13" s="95"/>
      <c r="S13" s="95"/>
    </row>
    <row r="14" spans="1:19" ht="13.2" outlineLevel="1" x14ac:dyDescent="0.25">
      <c r="A14" s="15"/>
      <c r="B14" s="15"/>
      <c r="C14" s="15" t="s">
        <v>112</v>
      </c>
      <c r="D14" s="12" t="s">
        <v>110</v>
      </c>
      <c r="E14" s="38"/>
      <c r="F14" s="90"/>
      <c r="G14" s="89">
        <f t="shared" ref="G14:Q14" si="6">G12/365</f>
        <v>1</v>
      </c>
      <c r="H14" s="89">
        <f t="shared" si="6"/>
        <v>1</v>
      </c>
      <c r="I14" s="89">
        <f t="shared" si="6"/>
        <v>1</v>
      </c>
      <c r="J14" s="89">
        <f t="shared" si="6"/>
        <v>1.0027397260273974</v>
      </c>
      <c r="K14" s="89">
        <f t="shared" si="6"/>
        <v>1</v>
      </c>
      <c r="L14" s="89">
        <f t="shared" si="6"/>
        <v>1</v>
      </c>
      <c r="M14" s="89">
        <f t="shared" si="6"/>
        <v>1</v>
      </c>
      <c r="N14" s="89">
        <f t="shared" si="6"/>
        <v>1.0027397260273974</v>
      </c>
      <c r="O14" s="89">
        <f t="shared" si="6"/>
        <v>1</v>
      </c>
      <c r="P14" s="89">
        <f t="shared" si="6"/>
        <v>1</v>
      </c>
      <c r="Q14" s="89">
        <f t="shared" si="6"/>
        <v>1</v>
      </c>
      <c r="R14" s="95"/>
      <c r="S14" s="95"/>
    </row>
    <row r="15" spans="1:19" ht="13.8" outlineLevel="1" x14ac:dyDescent="0.25">
      <c r="A15" s="15"/>
      <c r="B15" s="15"/>
      <c r="C15" s="15" t="s">
        <v>111</v>
      </c>
      <c r="D15" s="12" t="s">
        <v>110</v>
      </c>
      <c r="E15" s="88"/>
      <c r="F15" s="88"/>
      <c r="G15" s="87">
        <v>1000</v>
      </c>
      <c r="H15" s="16" t="s">
        <v>109</v>
      </c>
      <c r="I15" s="15"/>
      <c r="J15" s="15"/>
      <c r="K15" s="15"/>
      <c r="L15" s="15"/>
      <c r="M15" s="15"/>
      <c r="N15" s="15"/>
      <c r="O15" s="15"/>
      <c r="P15" s="15"/>
      <c r="Q15" s="95"/>
      <c r="R15" s="95"/>
      <c r="S15" s="95"/>
    </row>
    <row r="16" spans="1:19" x14ac:dyDescent="0.2">
      <c r="A16" s="15"/>
      <c r="B16" s="15"/>
      <c r="C16" s="15"/>
      <c r="D16" s="15"/>
      <c r="E16" s="15"/>
      <c r="F16" s="15"/>
      <c r="G16" s="15"/>
      <c r="H16" s="15"/>
      <c r="I16" s="15"/>
      <c r="J16" s="15"/>
      <c r="K16" s="15"/>
      <c r="L16" s="15"/>
      <c r="M16" s="15"/>
      <c r="N16" s="15"/>
      <c r="O16" s="15"/>
      <c r="P16" s="15"/>
      <c r="Q16" s="95"/>
      <c r="R16" s="95"/>
      <c r="S16" s="95"/>
    </row>
    <row r="17" spans="1:19" x14ac:dyDescent="0.2">
      <c r="A17" s="15"/>
      <c r="B17" s="15"/>
      <c r="C17" s="19" t="s">
        <v>108</v>
      </c>
      <c r="D17" s="18"/>
      <c r="E17" s="18"/>
      <c r="F17" s="18"/>
      <c r="G17" s="18"/>
      <c r="H17" s="18"/>
      <c r="I17" s="18"/>
      <c r="J17" s="18"/>
      <c r="K17" s="18"/>
      <c r="L17" s="18"/>
      <c r="M17" s="18"/>
      <c r="N17" s="18"/>
      <c r="O17" s="18"/>
      <c r="P17" s="18"/>
      <c r="Q17" s="95"/>
      <c r="R17" s="95"/>
      <c r="S17" s="95"/>
    </row>
    <row r="18" spans="1:19" x14ac:dyDescent="0.2">
      <c r="A18" s="15"/>
      <c r="B18" s="83" t="s">
        <v>87</v>
      </c>
      <c r="C18" s="15" t="s">
        <v>107</v>
      </c>
      <c r="D18" s="12" t="s">
        <v>10</v>
      </c>
      <c r="E18" s="12" t="s">
        <v>1</v>
      </c>
      <c r="F18" s="12"/>
      <c r="G18" s="75">
        <v>1.0470999999999999</v>
      </c>
      <c r="H18" s="75">
        <v>1.0740000000000001</v>
      </c>
      <c r="I18" s="75">
        <v>1.0485</v>
      </c>
      <c r="J18" s="75">
        <v>1.0376000000000001</v>
      </c>
      <c r="K18" s="75">
        <v>1.0342</v>
      </c>
      <c r="L18" s="75">
        <v>1.0327</v>
      </c>
      <c r="M18" s="75">
        <v>1.0324</v>
      </c>
      <c r="N18" s="75">
        <v>1.0324</v>
      </c>
      <c r="O18" s="75">
        <v>1.0324</v>
      </c>
      <c r="P18" s="75">
        <v>1.0324</v>
      </c>
      <c r="Q18" s="75">
        <v>1.0324</v>
      </c>
      <c r="R18" s="95"/>
      <c r="S18" s="95"/>
    </row>
    <row r="19" spans="1:19" x14ac:dyDescent="0.2">
      <c r="A19" s="15"/>
      <c r="B19" s="15"/>
      <c r="C19" s="15"/>
      <c r="D19" s="15"/>
      <c r="E19" s="15"/>
      <c r="F19" s="15"/>
      <c r="G19" s="15"/>
      <c r="H19" s="15"/>
      <c r="I19" s="15"/>
      <c r="J19" s="15"/>
      <c r="K19" s="15"/>
      <c r="L19" s="15"/>
      <c r="M19" s="15"/>
      <c r="N19" s="15"/>
      <c r="O19" s="15"/>
      <c r="P19" s="15"/>
      <c r="Q19" s="95"/>
      <c r="R19" s="95"/>
      <c r="S19" s="95"/>
    </row>
    <row r="20" spans="1:19" x14ac:dyDescent="0.2">
      <c r="A20" s="15"/>
      <c r="B20" s="15"/>
      <c r="C20" s="19" t="s">
        <v>106</v>
      </c>
      <c r="D20" s="18"/>
      <c r="E20" s="18"/>
      <c r="F20" s="18"/>
      <c r="G20" s="18"/>
      <c r="H20" s="18"/>
      <c r="I20" s="18"/>
      <c r="J20" s="18"/>
      <c r="K20" s="18"/>
      <c r="L20" s="18"/>
      <c r="M20" s="18"/>
      <c r="N20" s="18"/>
      <c r="O20" s="18"/>
      <c r="P20" s="18"/>
      <c r="Q20" s="18"/>
      <c r="R20" s="18"/>
      <c r="S20" s="18"/>
    </row>
    <row r="21" spans="1:19" x14ac:dyDescent="0.2">
      <c r="A21" s="15"/>
      <c r="B21" s="15"/>
      <c r="C21" s="15" t="s">
        <v>105</v>
      </c>
      <c r="D21" s="12" t="s">
        <v>10</v>
      </c>
      <c r="E21" s="12" t="s">
        <v>98</v>
      </c>
      <c r="F21" s="12"/>
      <c r="G21" s="167">
        <f>Calculation!G8/Calculation!G7</f>
        <v>1.2349840255591054</v>
      </c>
      <c r="H21" s="167">
        <f>G21*H18</f>
        <v>1.3263728434504793</v>
      </c>
      <c r="I21" s="167">
        <f t="shared" ref="I21:Q21" si="7">H21*I18</f>
        <v>1.3907019263578275</v>
      </c>
      <c r="J21" s="167">
        <f t="shared" si="7"/>
        <v>1.442992318788882</v>
      </c>
      <c r="K21" s="167">
        <f t="shared" si="7"/>
        <v>1.4923426560914619</v>
      </c>
      <c r="L21" s="167">
        <f t="shared" si="7"/>
        <v>1.5411422609456527</v>
      </c>
      <c r="M21" s="167">
        <f t="shared" si="7"/>
        <v>1.5910752702002917</v>
      </c>
      <c r="N21" s="167">
        <f t="shared" si="7"/>
        <v>1.6426261089547811</v>
      </c>
      <c r="O21" s="167">
        <f t="shared" si="7"/>
        <v>1.6958471948849161</v>
      </c>
      <c r="P21" s="167">
        <f t="shared" si="7"/>
        <v>1.7507926439991874</v>
      </c>
      <c r="Q21" s="167">
        <f t="shared" si="7"/>
        <v>1.8075183256647611</v>
      </c>
      <c r="R21" s="82"/>
      <c r="S21" s="82"/>
    </row>
    <row r="22" spans="1:19" x14ac:dyDescent="0.2">
      <c r="A22" s="15"/>
      <c r="B22" s="15"/>
      <c r="C22" s="26"/>
      <c r="D22" s="12"/>
      <c r="E22" s="12"/>
      <c r="F22" s="12"/>
      <c r="G22" s="12"/>
      <c r="H22" s="12"/>
      <c r="I22" s="12"/>
      <c r="J22" s="12"/>
      <c r="K22" s="12"/>
      <c r="L22" s="12"/>
      <c r="M22" s="12"/>
      <c r="N22" s="12"/>
      <c r="O22" s="12"/>
      <c r="P22" s="12"/>
      <c r="Q22" s="12"/>
      <c r="R22" s="12"/>
      <c r="S22" s="12"/>
    </row>
    <row r="23" spans="1:19" x14ac:dyDescent="0.2">
      <c r="A23" s="15"/>
      <c r="B23" s="86">
        <f>Control!C19</f>
        <v>1</v>
      </c>
      <c r="C23" s="19" t="s">
        <v>350</v>
      </c>
      <c r="D23" s="18"/>
      <c r="E23" s="18"/>
      <c r="F23" s="18"/>
      <c r="G23" s="85"/>
      <c r="H23" s="85"/>
      <c r="I23" s="85"/>
      <c r="J23" s="85"/>
      <c r="K23" s="85"/>
      <c r="L23" s="85"/>
      <c r="M23" s="85"/>
      <c r="N23" s="85"/>
      <c r="O23" s="85"/>
      <c r="P23" s="85"/>
      <c r="Q23" s="85"/>
      <c r="R23" s="85"/>
      <c r="S23" s="85"/>
    </row>
    <row r="24" spans="1:19" x14ac:dyDescent="0.2">
      <c r="A24" s="15"/>
      <c r="B24" s="15"/>
      <c r="C24" s="17" t="s">
        <v>349</v>
      </c>
      <c r="D24" s="15"/>
      <c r="E24" s="15"/>
      <c r="F24" s="15"/>
      <c r="G24" s="169">
        <f>CHOOSE($B$23,G25,G26,G27)</f>
        <v>5.5E-2</v>
      </c>
      <c r="H24" s="169">
        <f t="shared" ref="H24:Q24" si="8">CHOOSE($B$23,H25,H26,H27)</f>
        <v>5.5E-2</v>
      </c>
      <c r="I24" s="169">
        <f t="shared" si="8"/>
        <v>5.5E-2</v>
      </c>
      <c r="J24" s="169">
        <f t="shared" si="8"/>
        <v>5.5E-2</v>
      </c>
      <c r="K24" s="169">
        <f t="shared" si="8"/>
        <v>5.5E-2</v>
      </c>
      <c r="L24" s="169">
        <f t="shared" si="8"/>
        <v>5.5E-2</v>
      </c>
      <c r="M24" s="169">
        <f t="shared" si="8"/>
        <v>5.5E-2</v>
      </c>
      <c r="N24" s="169">
        <f t="shared" si="8"/>
        <v>5.5E-2</v>
      </c>
      <c r="O24" s="169">
        <f t="shared" si="8"/>
        <v>5.5E-2</v>
      </c>
      <c r="P24" s="169">
        <f t="shared" si="8"/>
        <v>5.5E-2</v>
      </c>
      <c r="Q24" s="169">
        <f t="shared" si="8"/>
        <v>5.5E-2</v>
      </c>
      <c r="R24" s="168"/>
      <c r="S24" s="168"/>
    </row>
    <row r="25" spans="1:19" x14ac:dyDescent="0.2">
      <c r="A25" s="15"/>
      <c r="B25" s="15"/>
      <c r="C25" s="16" t="s">
        <v>59</v>
      </c>
      <c r="D25" s="15"/>
      <c r="E25" s="15"/>
      <c r="F25" s="15"/>
      <c r="G25" s="169">
        <v>5.5E-2</v>
      </c>
      <c r="H25" s="169">
        <v>5.5E-2</v>
      </c>
      <c r="I25" s="169">
        <v>5.5E-2</v>
      </c>
      <c r="J25" s="169">
        <v>5.5E-2</v>
      </c>
      <c r="K25" s="169">
        <v>5.5E-2</v>
      </c>
      <c r="L25" s="169">
        <v>5.5E-2</v>
      </c>
      <c r="M25" s="169">
        <v>5.5E-2</v>
      </c>
      <c r="N25" s="169">
        <v>5.5E-2</v>
      </c>
      <c r="O25" s="169">
        <v>5.5E-2</v>
      </c>
      <c r="P25" s="169">
        <v>5.5E-2</v>
      </c>
      <c r="Q25" s="169">
        <v>5.5E-2</v>
      </c>
      <c r="R25" s="168"/>
      <c r="S25" s="168"/>
    </row>
    <row r="26" spans="1:19" x14ac:dyDescent="0.2">
      <c r="A26" s="15"/>
      <c r="B26" s="15"/>
      <c r="C26" s="16" t="s">
        <v>104</v>
      </c>
      <c r="D26" s="15"/>
      <c r="E26" s="15"/>
      <c r="F26" s="15"/>
      <c r="G26" s="169">
        <v>3.6999999999999998E-2</v>
      </c>
      <c r="H26" s="169">
        <v>3.6999999999999998E-2</v>
      </c>
      <c r="I26" s="169">
        <v>3.6999999999999998E-2</v>
      </c>
      <c r="J26" s="169">
        <v>3.6999999999999998E-2</v>
      </c>
      <c r="K26" s="169">
        <v>3.6999999999999998E-2</v>
      </c>
      <c r="L26" s="169">
        <v>3.6999999999999998E-2</v>
      </c>
      <c r="M26" s="169">
        <v>3.6999999999999998E-2</v>
      </c>
      <c r="N26" s="169">
        <v>3.6999999999999998E-2</v>
      </c>
      <c r="O26" s="169">
        <v>3.6999999999999998E-2</v>
      </c>
      <c r="P26" s="169">
        <v>3.6999999999999998E-2</v>
      </c>
      <c r="Q26" s="169">
        <v>3.6999999999999998E-2</v>
      </c>
      <c r="R26" s="168"/>
      <c r="S26" s="168"/>
    </row>
    <row r="27" spans="1:19" x14ac:dyDescent="0.2">
      <c r="A27" s="15"/>
      <c r="B27" s="15"/>
      <c r="C27" s="16" t="s">
        <v>103</v>
      </c>
      <c r="D27" s="15"/>
      <c r="E27" s="15"/>
      <c r="F27" s="15"/>
      <c r="G27" s="169">
        <v>6.8000000000000005E-2</v>
      </c>
      <c r="H27" s="169">
        <v>6.8000000000000005E-2</v>
      </c>
      <c r="I27" s="169">
        <v>6.8000000000000005E-2</v>
      </c>
      <c r="J27" s="169">
        <v>6.8000000000000005E-2</v>
      </c>
      <c r="K27" s="169">
        <v>6.8000000000000005E-2</v>
      </c>
      <c r="L27" s="169">
        <v>6.8000000000000005E-2</v>
      </c>
      <c r="M27" s="169">
        <v>6.8000000000000005E-2</v>
      </c>
      <c r="N27" s="169">
        <v>6.8000000000000005E-2</v>
      </c>
      <c r="O27" s="169">
        <v>6.8000000000000005E-2</v>
      </c>
      <c r="P27" s="169">
        <v>6.8000000000000005E-2</v>
      </c>
      <c r="Q27" s="169">
        <v>6.8000000000000005E-2</v>
      </c>
      <c r="R27" s="168"/>
      <c r="S27" s="168"/>
    </row>
    <row r="28" spans="1:19" x14ac:dyDescent="0.2">
      <c r="A28" s="15"/>
      <c r="B28" s="15"/>
      <c r="C28" s="17"/>
      <c r="D28" s="15"/>
      <c r="E28" s="15"/>
      <c r="F28" s="15"/>
      <c r="G28" s="168"/>
      <c r="H28" s="168"/>
      <c r="I28" s="168"/>
      <c r="J28" s="168"/>
      <c r="K28" s="168"/>
      <c r="L28" s="168"/>
      <c r="M28" s="168"/>
      <c r="N28" s="168"/>
      <c r="O28" s="168"/>
      <c r="P28" s="168"/>
      <c r="Q28" s="168"/>
      <c r="R28" s="168"/>
      <c r="S28" s="168"/>
    </row>
    <row r="29" spans="1:19" x14ac:dyDescent="0.2">
      <c r="A29" s="15"/>
      <c r="B29" s="15"/>
      <c r="C29" s="15"/>
      <c r="D29" s="12"/>
      <c r="E29" s="12"/>
      <c r="F29" s="15"/>
      <c r="G29" s="15"/>
      <c r="H29" s="15"/>
      <c r="I29" s="15"/>
      <c r="J29" s="15"/>
      <c r="K29" s="15"/>
      <c r="L29" s="15"/>
      <c r="M29" s="15"/>
      <c r="N29" s="15"/>
      <c r="O29" s="15"/>
      <c r="P29" s="15"/>
      <c r="Q29" s="15"/>
      <c r="R29" s="15"/>
      <c r="S29" s="15"/>
    </row>
    <row r="30" spans="1:19" x14ac:dyDescent="0.2">
      <c r="A30" s="15"/>
      <c r="B30" s="15"/>
      <c r="C30" s="5" t="s">
        <v>102</v>
      </c>
      <c r="D30" s="10" t="s">
        <v>4</v>
      </c>
      <c r="E30" s="12" t="s">
        <v>347</v>
      </c>
      <c r="F30" s="15"/>
      <c r="G30" s="9">
        <v>31300</v>
      </c>
      <c r="H30" s="9">
        <f>(1+H24)*G30</f>
        <v>33021.5</v>
      </c>
      <c r="I30" s="9">
        <f t="shared" ref="I30:Q30" si="9">(1+I24)*H30</f>
        <v>34837.682499999995</v>
      </c>
      <c r="J30" s="9">
        <f t="shared" si="9"/>
        <v>36753.755037499992</v>
      </c>
      <c r="K30" s="9">
        <f t="shared" si="9"/>
        <v>38775.211564562487</v>
      </c>
      <c r="L30" s="9">
        <f t="shared" si="9"/>
        <v>40907.848200613422</v>
      </c>
      <c r="M30" s="9">
        <f t="shared" si="9"/>
        <v>43157.779851647159</v>
      </c>
      <c r="N30" s="9">
        <f t="shared" si="9"/>
        <v>45531.45774348775</v>
      </c>
      <c r="O30" s="9">
        <f t="shared" si="9"/>
        <v>48035.687919379576</v>
      </c>
      <c r="P30" s="9">
        <f t="shared" si="9"/>
        <v>50677.650754945447</v>
      </c>
      <c r="Q30" s="9">
        <f t="shared" si="9"/>
        <v>53464.921546467442</v>
      </c>
      <c r="R30" s="15"/>
      <c r="S30" s="15"/>
    </row>
    <row r="31" spans="1:19" x14ac:dyDescent="0.2">
      <c r="A31" s="15"/>
      <c r="B31" s="15"/>
      <c r="C31" s="15"/>
      <c r="D31" s="15"/>
      <c r="E31" s="15"/>
      <c r="F31" s="15"/>
      <c r="G31" s="15"/>
      <c r="H31" s="15"/>
      <c r="I31" s="15"/>
      <c r="J31" s="15"/>
      <c r="K31" s="15"/>
      <c r="L31" s="15"/>
      <c r="M31" s="15"/>
      <c r="N31" s="15"/>
      <c r="O31" s="15"/>
      <c r="P31" s="15"/>
      <c r="Q31" s="15"/>
      <c r="R31" s="15"/>
      <c r="S31" s="15"/>
    </row>
    <row r="32" spans="1:19" x14ac:dyDescent="0.2">
      <c r="A32" s="15"/>
      <c r="B32" s="15"/>
      <c r="C32" s="19" t="s">
        <v>101</v>
      </c>
      <c r="D32" s="18"/>
      <c r="E32" s="18"/>
      <c r="F32" s="18"/>
      <c r="G32" s="18"/>
      <c r="H32" s="18"/>
      <c r="I32" s="18"/>
      <c r="J32" s="18"/>
      <c r="K32" s="18"/>
      <c r="L32" s="18"/>
      <c r="M32" s="18"/>
      <c r="N32" s="18"/>
      <c r="O32" s="18"/>
      <c r="P32" s="18"/>
      <c r="Q32" s="18"/>
      <c r="R32" s="18"/>
      <c r="S32" s="18"/>
    </row>
    <row r="33" spans="1:19" x14ac:dyDescent="0.2">
      <c r="A33" s="15"/>
      <c r="B33" s="15"/>
      <c r="C33" s="7" t="s">
        <v>100</v>
      </c>
      <c r="D33" s="15"/>
      <c r="E33" s="15"/>
      <c r="F33" s="15"/>
      <c r="G33" s="15"/>
      <c r="H33" s="15"/>
      <c r="I33" s="78"/>
      <c r="J33" s="78"/>
      <c r="K33" s="78"/>
      <c r="L33" s="15"/>
      <c r="M33" s="15"/>
      <c r="N33" s="15"/>
      <c r="O33" s="15"/>
      <c r="P33" s="15"/>
      <c r="Q33" s="15"/>
      <c r="R33" s="15"/>
      <c r="S33" s="15"/>
    </row>
    <row r="34" spans="1:19" x14ac:dyDescent="0.2">
      <c r="A34" s="15"/>
      <c r="B34" s="83" t="s">
        <v>87</v>
      </c>
      <c r="C34" s="1" t="s">
        <v>99</v>
      </c>
      <c r="D34" s="12" t="s">
        <v>65</v>
      </c>
      <c r="E34" s="12" t="s">
        <v>98</v>
      </c>
      <c r="F34" s="73"/>
      <c r="G34" s="170">
        <f>Calculation!G12/G30</f>
        <v>0.49063897763578274</v>
      </c>
      <c r="H34" s="170">
        <f>G34*H18</f>
        <v>0.52694626198083072</v>
      </c>
      <c r="I34" s="170">
        <f t="shared" ref="I34:Q34" si="10">H34*I18</f>
        <v>0.552503155686901</v>
      </c>
      <c r="J34" s="170">
        <f t="shared" si="10"/>
        <v>0.5732772743407285</v>
      </c>
      <c r="K34" s="170">
        <f t="shared" si="10"/>
        <v>0.59288335712318141</v>
      </c>
      <c r="L34" s="170">
        <f t="shared" si="10"/>
        <v>0.61227064290110944</v>
      </c>
      <c r="M34" s="170">
        <f t="shared" si="10"/>
        <v>0.63210821173110543</v>
      </c>
      <c r="N34" s="170">
        <f t="shared" si="10"/>
        <v>0.6525885177911932</v>
      </c>
      <c r="O34" s="170">
        <f t="shared" si="10"/>
        <v>0.67373238576762784</v>
      </c>
      <c r="P34" s="170">
        <f t="shared" si="10"/>
        <v>0.69556131506649899</v>
      </c>
      <c r="Q34" s="170">
        <f t="shared" si="10"/>
        <v>0.71809750167465358</v>
      </c>
      <c r="R34" s="82"/>
      <c r="S34" s="82"/>
    </row>
    <row r="35" spans="1:19" x14ac:dyDescent="0.2">
      <c r="A35" s="15"/>
      <c r="B35" s="15"/>
      <c r="C35" s="1"/>
      <c r="D35" s="12"/>
      <c r="E35" s="12"/>
      <c r="F35" s="73"/>
      <c r="G35" s="82"/>
      <c r="H35" s="82"/>
      <c r="I35" s="82"/>
      <c r="J35" s="82"/>
      <c r="K35" s="82"/>
      <c r="L35" s="82"/>
      <c r="M35" s="82"/>
      <c r="N35" s="82"/>
      <c r="O35" s="82"/>
      <c r="P35" s="82"/>
      <c r="Q35" s="82"/>
      <c r="R35" s="82"/>
      <c r="S35" s="82"/>
    </row>
    <row r="36" spans="1:19" x14ac:dyDescent="0.2">
      <c r="A36" s="15"/>
      <c r="B36" s="15"/>
      <c r="C36" s="7" t="s">
        <v>97</v>
      </c>
      <c r="D36" s="12"/>
      <c r="E36" s="12"/>
      <c r="F36" s="73"/>
      <c r="G36" s="82"/>
      <c r="H36" s="82"/>
      <c r="I36" s="82"/>
      <c r="J36" s="82"/>
      <c r="K36" s="82"/>
      <c r="L36" s="82"/>
      <c r="M36" s="82"/>
      <c r="N36" s="82"/>
      <c r="O36" s="82"/>
      <c r="P36" s="82"/>
      <c r="Q36" s="82"/>
      <c r="R36" s="82"/>
      <c r="S36" s="82"/>
    </row>
    <row r="37" spans="1:19" x14ac:dyDescent="0.2">
      <c r="A37" s="15"/>
      <c r="B37" s="83" t="s">
        <v>87</v>
      </c>
      <c r="C37" s="15" t="s">
        <v>351</v>
      </c>
      <c r="D37" s="12" t="s">
        <v>65</v>
      </c>
      <c r="E37" s="12" t="s">
        <v>346</v>
      </c>
      <c r="F37" s="15"/>
      <c r="G37" s="171">
        <v>12144</v>
      </c>
      <c r="H37" s="171">
        <f>G37*H18</f>
        <v>13042.656000000001</v>
      </c>
      <c r="I37" s="171">
        <f t="shared" ref="I37:Q37" si="11">H37*I18</f>
        <v>13675.224816</v>
      </c>
      <c r="J37" s="171">
        <f t="shared" si="11"/>
        <v>14189.4132690816</v>
      </c>
      <c r="K37" s="171">
        <f t="shared" si="11"/>
        <v>14674.691202884191</v>
      </c>
      <c r="L37" s="171">
        <f t="shared" si="11"/>
        <v>15154.553605218503</v>
      </c>
      <c r="M37" s="171">
        <f t="shared" si="11"/>
        <v>15645.561142027582</v>
      </c>
      <c r="N37" s="171">
        <f t="shared" si="11"/>
        <v>16152.477323029276</v>
      </c>
      <c r="O37" s="171">
        <f t="shared" si="11"/>
        <v>16675.817588295424</v>
      </c>
      <c r="P37" s="171">
        <f t="shared" si="11"/>
        <v>17216.114078156195</v>
      </c>
      <c r="Q37" s="171">
        <f t="shared" si="11"/>
        <v>17773.916174288457</v>
      </c>
      <c r="R37" s="172"/>
      <c r="S37" s="172"/>
    </row>
    <row r="38" spans="1:19" x14ac:dyDescent="0.2">
      <c r="A38" s="15"/>
      <c r="B38" s="15"/>
      <c r="C38" s="15"/>
      <c r="D38" s="15"/>
      <c r="E38" s="15"/>
      <c r="F38" s="15"/>
      <c r="G38" s="15"/>
      <c r="H38" s="15"/>
      <c r="I38" s="15"/>
      <c r="J38" s="15"/>
      <c r="K38" s="15"/>
      <c r="L38" s="15"/>
      <c r="M38" s="15"/>
      <c r="N38" s="15"/>
      <c r="O38" s="15"/>
      <c r="P38" s="15"/>
      <c r="Q38" s="15"/>
      <c r="R38" s="15"/>
      <c r="S38" s="15"/>
    </row>
    <row r="39" spans="1:19" x14ac:dyDescent="0.2">
      <c r="A39" s="15"/>
      <c r="B39" s="15"/>
      <c r="C39" s="19" t="s">
        <v>96</v>
      </c>
      <c r="D39" s="18"/>
      <c r="E39" s="18"/>
      <c r="F39" s="18"/>
      <c r="G39" s="18"/>
      <c r="H39" s="18"/>
      <c r="I39" s="18"/>
      <c r="J39" s="18"/>
      <c r="K39" s="18"/>
      <c r="L39" s="18"/>
      <c r="M39" s="18"/>
      <c r="N39" s="18"/>
      <c r="O39" s="18"/>
      <c r="P39" s="18"/>
      <c r="Q39" s="18"/>
      <c r="R39" s="18"/>
      <c r="S39" s="18"/>
    </row>
    <row r="40" spans="1:19" x14ac:dyDescent="0.2">
      <c r="A40" s="15"/>
      <c r="B40" s="15"/>
      <c r="C40" s="79" t="s">
        <v>95</v>
      </c>
      <c r="D40" s="12"/>
      <c r="E40" s="12"/>
      <c r="F40" s="15"/>
      <c r="G40" s="15"/>
      <c r="H40" s="15"/>
      <c r="I40" s="15"/>
      <c r="J40" s="15"/>
      <c r="K40" s="15"/>
      <c r="L40" s="15"/>
      <c r="M40" s="15"/>
      <c r="N40" s="15"/>
      <c r="O40" s="15"/>
      <c r="P40" s="15"/>
      <c r="Q40" s="15"/>
      <c r="R40" s="15"/>
      <c r="S40" s="15"/>
    </row>
    <row r="41" spans="1:19" x14ac:dyDescent="0.2">
      <c r="A41" s="15"/>
      <c r="B41" s="15"/>
      <c r="C41" s="26" t="s">
        <v>94</v>
      </c>
      <c r="D41" s="12" t="s">
        <v>4</v>
      </c>
      <c r="E41" s="12" t="s">
        <v>1</v>
      </c>
      <c r="F41" s="15"/>
      <c r="G41" s="75">
        <f>Calculation!G22</f>
        <v>8.8319751649204498E-2</v>
      </c>
      <c r="H41" s="75">
        <f>Calculation!H22</f>
        <v>8.8319751649204498E-2</v>
      </c>
      <c r="I41" s="75">
        <f>Calculation!I22</f>
        <v>8.8319751649204498E-2</v>
      </c>
      <c r="J41" s="75">
        <f>Calculation!J22</f>
        <v>8.8319751649204498E-2</v>
      </c>
      <c r="K41" s="75">
        <f>Calculation!K22</f>
        <v>8.8319751649204498E-2</v>
      </c>
      <c r="L41" s="75">
        <f>Calculation!L22</f>
        <v>8.8319751649204498E-2</v>
      </c>
      <c r="M41" s="75">
        <f>Calculation!M22</f>
        <v>8.8319751649204498E-2</v>
      </c>
      <c r="N41" s="75">
        <f>Calculation!N22</f>
        <v>8.8319751649204498E-2</v>
      </c>
      <c r="O41" s="75">
        <f>Calculation!O22</f>
        <v>8.8319751649204498E-2</v>
      </c>
      <c r="P41" s="75">
        <f>Calculation!P22</f>
        <v>8.8319751649204498E-2</v>
      </c>
      <c r="Q41" s="75">
        <f>Calculation!Q22</f>
        <v>8.8319751649204498E-2</v>
      </c>
      <c r="R41" s="15"/>
      <c r="S41" s="15"/>
    </row>
    <row r="42" spans="1:19" x14ac:dyDescent="0.2">
      <c r="A42" s="15"/>
      <c r="B42" s="15"/>
      <c r="C42" s="26" t="s">
        <v>93</v>
      </c>
      <c r="D42" s="12" t="s">
        <v>4</v>
      </c>
      <c r="E42" s="12" t="s">
        <v>1</v>
      </c>
      <c r="F42" s="15"/>
      <c r="G42" s="75">
        <f>Calculation!G24</f>
        <v>9.0854999353253141E-2</v>
      </c>
      <c r="H42" s="75">
        <f>Calculation!H24</f>
        <v>9.0854999353253141E-2</v>
      </c>
      <c r="I42" s="75">
        <f>Calculation!I24</f>
        <v>9.0854999353253141E-2</v>
      </c>
      <c r="J42" s="75">
        <f>Calculation!J24</f>
        <v>9.0854999353253141E-2</v>
      </c>
      <c r="K42" s="75">
        <f>Calculation!K24</f>
        <v>9.0854999353253141E-2</v>
      </c>
      <c r="L42" s="75">
        <f>Calculation!L24</f>
        <v>9.0854999353253141E-2</v>
      </c>
      <c r="M42" s="75">
        <f>Calculation!M24</f>
        <v>9.0854999353253141E-2</v>
      </c>
      <c r="N42" s="75">
        <f>Calculation!N24</f>
        <v>9.0854999353253141E-2</v>
      </c>
      <c r="O42" s="75">
        <f>Calculation!O24</f>
        <v>9.0854999353253141E-2</v>
      </c>
      <c r="P42" s="75">
        <f>Calculation!P24</f>
        <v>9.0854999353253141E-2</v>
      </c>
      <c r="Q42" s="75">
        <f>Calculation!Q24</f>
        <v>9.0854999353253141E-2</v>
      </c>
      <c r="R42" s="15"/>
      <c r="S42" s="15"/>
    </row>
    <row r="43" spans="1:19" x14ac:dyDescent="0.2">
      <c r="A43" s="15"/>
      <c r="B43" s="15"/>
      <c r="C43" s="26" t="s">
        <v>92</v>
      </c>
      <c r="D43" s="12" t="s">
        <v>4</v>
      </c>
      <c r="E43" s="12" t="s">
        <v>1</v>
      </c>
      <c r="F43" s="15"/>
      <c r="G43" s="75">
        <f>Calculation!G26</f>
        <v>0.11905316259216142</v>
      </c>
      <c r="H43" s="75">
        <f>Calculation!H26</f>
        <v>0.11905316259216142</v>
      </c>
      <c r="I43" s="75">
        <f>Calculation!I26</f>
        <v>0.11905316259216142</v>
      </c>
      <c r="J43" s="75">
        <f>Calculation!J26</f>
        <v>0.11905316259216142</v>
      </c>
      <c r="K43" s="75">
        <f>Calculation!K26</f>
        <v>0.11905316259216142</v>
      </c>
      <c r="L43" s="75">
        <f>Calculation!L26</f>
        <v>0.11905316259216142</v>
      </c>
      <c r="M43" s="75">
        <f>Calculation!M26</f>
        <v>0.11905316259216142</v>
      </c>
      <c r="N43" s="75">
        <f>Calculation!N26</f>
        <v>0.11905316259216142</v>
      </c>
      <c r="O43" s="75">
        <f>Calculation!O26</f>
        <v>0.11905316259216142</v>
      </c>
      <c r="P43" s="75">
        <f>Calculation!P26</f>
        <v>0.11905316259216142</v>
      </c>
      <c r="Q43" s="75">
        <f>Calculation!Q26</f>
        <v>0.11905316259216142</v>
      </c>
      <c r="R43" s="15"/>
      <c r="S43" s="15"/>
    </row>
    <row r="44" spans="1:19" x14ac:dyDescent="0.2">
      <c r="A44" s="15"/>
      <c r="B44" s="15"/>
      <c r="C44" s="15"/>
      <c r="D44" s="12"/>
      <c r="E44" s="12"/>
      <c r="F44" s="77"/>
      <c r="G44" s="15"/>
      <c r="H44" s="15"/>
      <c r="I44" s="15"/>
      <c r="J44" s="15"/>
      <c r="K44" s="15"/>
      <c r="L44" s="15"/>
      <c r="M44" s="15"/>
      <c r="N44" s="15"/>
      <c r="O44" s="15"/>
      <c r="P44" s="15"/>
      <c r="Q44" s="15"/>
      <c r="R44" s="15"/>
      <c r="S44" s="15"/>
    </row>
    <row r="45" spans="1:19" x14ac:dyDescent="0.2">
      <c r="A45" s="15"/>
      <c r="B45" s="15"/>
      <c r="C45" s="19" t="s">
        <v>21</v>
      </c>
      <c r="D45" s="18"/>
      <c r="E45" s="18"/>
      <c r="F45" s="18"/>
      <c r="G45" s="18"/>
      <c r="H45" s="18"/>
      <c r="I45" s="18"/>
      <c r="J45" s="18"/>
      <c r="K45" s="18"/>
      <c r="L45" s="18"/>
      <c r="M45" s="18"/>
      <c r="N45" s="18"/>
      <c r="O45" s="18"/>
      <c r="P45" s="18"/>
      <c r="Q45" s="18"/>
      <c r="R45" s="18"/>
      <c r="S45" s="18"/>
    </row>
    <row r="46" spans="1:19" x14ac:dyDescent="0.2">
      <c r="A46" s="15"/>
      <c r="B46" s="15"/>
      <c r="C46" s="15" t="s">
        <v>18</v>
      </c>
      <c r="D46" s="12"/>
      <c r="E46" s="12"/>
      <c r="F46" s="77"/>
      <c r="G46" s="15"/>
      <c r="H46" s="15"/>
      <c r="I46" s="15"/>
      <c r="J46" s="15"/>
      <c r="K46" s="15"/>
      <c r="L46" s="15"/>
      <c r="M46" s="15"/>
      <c r="N46" s="15"/>
      <c r="O46" s="15"/>
      <c r="P46" s="15"/>
      <c r="Q46" s="15"/>
      <c r="R46" s="15"/>
      <c r="S46" s="15"/>
    </row>
    <row r="47" spans="1:19" x14ac:dyDescent="0.2">
      <c r="A47" s="15"/>
      <c r="B47" s="15"/>
      <c r="C47" s="26" t="s">
        <v>91</v>
      </c>
      <c r="D47" s="12" t="s">
        <v>68</v>
      </c>
      <c r="E47" s="12" t="s">
        <v>1</v>
      </c>
      <c r="F47" s="182">
        <v>6.5000000000000002E-2</v>
      </c>
      <c r="G47" s="217"/>
      <c r="H47" s="217"/>
      <c r="I47" s="217"/>
      <c r="J47" s="217"/>
      <c r="K47" s="217"/>
      <c r="L47" s="217"/>
      <c r="M47" s="217"/>
      <c r="N47" s="217"/>
      <c r="O47" s="12"/>
      <c r="P47" s="12"/>
      <c r="Q47" s="12"/>
      <c r="R47" s="12"/>
      <c r="S47" s="12"/>
    </row>
    <row r="48" spans="1:19" x14ac:dyDescent="0.2">
      <c r="A48" s="15"/>
      <c r="B48" s="15"/>
      <c r="C48" s="26" t="s">
        <v>90</v>
      </c>
      <c r="D48" s="12" t="s">
        <v>65</v>
      </c>
      <c r="E48" s="12" t="s">
        <v>346</v>
      </c>
      <c r="F48" s="218">
        <f>BS!G35</f>
        <v>38116</v>
      </c>
      <c r="G48" s="217"/>
      <c r="H48" s="217"/>
      <c r="I48" s="217"/>
      <c r="J48" s="217"/>
      <c r="K48" s="217"/>
      <c r="L48" s="217"/>
      <c r="M48" s="217"/>
      <c r="N48" s="217"/>
      <c r="O48" s="12"/>
      <c r="P48" s="12"/>
      <c r="Q48" s="15"/>
      <c r="R48" s="15"/>
      <c r="S48" s="15"/>
    </row>
    <row r="49" spans="1:19" x14ac:dyDescent="0.2">
      <c r="A49" s="15"/>
      <c r="B49" s="15"/>
      <c r="C49" s="15" t="s">
        <v>89</v>
      </c>
      <c r="D49" s="12" t="s">
        <v>68</v>
      </c>
      <c r="E49" s="12" t="s">
        <v>2</v>
      </c>
      <c r="F49" s="77" t="s">
        <v>410</v>
      </c>
      <c r="G49" s="15"/>
      <c r="H49" s="15"/>
      <c r="I49" s="15"/>
      <c r="J49" s="15"/>
      <c r="K49" s="15"/>
      <c r="L49" s="15"/>
      <c r="M49" s="15"/>
      <c r="N49" s="15"/>
      <c r="O49" s="15"/>
      <c r="P49" s="15"/>
      <c r="Q49" s="15"/>
      <c r="R49" s="15"/>
      <c r="S49" s="15"/>
    </row>
    <row r="50" spans="1:19" x14ac:dyDescent="0.2">
      <c r="A50" s="15"/>
      <c r="B50" s="15"/>
      <c r="C50" s="15"/>
      <c r="D50" s="12"/>
      <c r="E50" s="12"/>
      <c r="F50" s="77"/>
      <c r="G50" s="15"/>
      <c r="H50" s="15"/>
      <c r="I50" s="15"/>
      <c r="J50" s="15"/>
      <c r="K50" s="15"/>
      <c r="L50" s="15"/>
      <c r="M50" s="15"/>
      <c r="N50" s="15"/>
      <c r="O50" s="15"/>
      <c r="P50" s="15"/>
      <c r="Q50" s="15"/>
      <c r="R50" s="15"/>
      <c r="S50" s="15"/>
    </row>
    <row r="51" spans="1:19" x14ac:dyDescent="0.2">
      <c r="A51" s="15"/>
      <c r="B51" s="15"/>
      <c r="C51" s="19" t="s">
        <v>88</v>
      </c>
      <c r="D51" s="18"/>
      <c r="E51" s="18"/>
      <c r="F51" s="18"/>
      <c r="G51" s="18"/>
      <c r="H51" s="18"/>
      <c r="I51" s="18"/>
      <c r="J51" s="18"/>
      <c r="K51" s="18"/>
      <c r="L51" s="18"/>
      <c r="M51" s="18"/>
      <c r="N51" s="18"/>
      <c r="O51" s="18"/>
      <c r="P51" s="18"/>
      <c r="Q51" s="18"/>
      <c r="R51" s="18"/>
      <c r="S51" s="18"/>
    </row>
    <row r="52" spans="1:19" s="80" customFormat="1" ht="12" x14ac:dyDescent="0.25">
      <c r="A52" s="17"/>
      <c r="B52" s="83" t="s">
        <v>87</v>
      </c>
      <c r="C52" s="79" t="s">
        <v>86</v>
      </c>
      <c r="D52" s="12" t="s">
        <v>65</v>
      </c>
      <c r="E52" s="2" t="s">
        <v>346</v>
      </c>
      <c r="G52" s="196">
        <f>1400</f>
        <v>1400</v>
      </c>
      <c r="H52" s="196">
        <f>$G$52/Calculation!$G$8*Calculation!H8</f>
        <v>1586.298</v>
      </c>
      <c r="I52" s="196">
        <f>$G$52/Calculation!$G$8*Calculation!I8</f>
        <v>1754.7112929149998</v>
      </c>
      <c r="J52" s="196">
        <f>$G$52/Calculation!$G$8*Calculation!J8</f>
        <v>1920.8263015926771</v>
      </c>
      <c r="K52" s="196">
        <f>$G$52/Calculation!$G$8*Calculation!K8</f>
        <v>2095.7770819680395</v>
      </c>
      <c r="L52" s="196">
        <f>$G$52/Calculation!$G$8*Calculation!L8</f>
        <v>2283.3459871385562</v>
      </c>
      <c r="M52" s="196">
        <f>$G$52/Calculation!$G$8*Calculation!M8</f>
        <v>2486.9793489635467</v>
      </c>
      <c r="N52" s="196">
        <f>$G$52/Calculation!$G$8*Calculation!N8</f>
        <v>2708.7731412628136</v>
      </c>
      <c r="O52" s="196">
        <f>$G$52/Calculation!$G$8*Calculation!O8</f>
        <v>2950.3469475469133</v>
      </c>
      <c r="P52" s="196">
        <f>$G$52/Calculation!$G$8*Calculation!P8</f>
        <v>3213.4647890230422</v>
      </c>
      <c r="Q52" s="196">
        <f>$G$52/Calculation!$G$8*Calculation!Q8</f>
        <v>3500.0480058376947</v>
      </c>
      <c r="R52" s="82"/>
      <c r="S52" s="82"/>
    </row>
    <row r="53" spans="1:19" s="80" customFormat="1" ht="12" x14ac:dyDescent="0.25">
      <c r="A53" s="17"/>
      <c r="B53" s="17"/>
      <c r="C53" s="81"/>
      <c r="D53" s="17"/>
      <c r="E53" s="17"/>
      <c r="F53" s="17"/>
      <c r="G53" s="17"/>
      <c r="H53" s="17"/>
      <c r="I53" s="17"/>
      <c r="J53" s="17"/>
      <c r="K53" s="17"/>
      <c r="L53" s="17"/>
      <c r="M53" s="17"/>
      <c r="N53" s="17"/>
      <c r="O53" s="17"/>
      <c r="P53" s="17"/>
      <c r="Q53" s="17"/>
      <c r="R53" s="17"/>
      <c r="S53" s="17"/>
    </row>
    <row r="54" spans="1:19" x14ac:dyDescent="0.2">
      <c r="A54" s="15"/>
      <c r="B54" s="15"/>
      <c r="C54" s="19" t="s">
        <v>9</v>
      </c>
      <c r="D54" s="18"/>
      <c r="E54" s="18"/>
      <c r="F54" s="18"/>
      <c r="G54" s="195">
        <v>1452</v>
      </c>
      <c r="H54" s="195">
        <f>H55*Calculation!H8</f>
        <v>1645.2176400000001</v>
      </c>
      <c r="I54" s="195">
        <f>I55*Calculation!I8</f>
        <v>1819.8862837946999</v>
      </c>
      <c r="J54" s="195">
        <f>J55*Calculation!J8</f>
        <v>1992.1712785089765</v>
      </c>
      <c r="K54" s="195">
        <f>K55*Calculation!K8</f>
        <v>2173.6202307268522</v>
      </c>
      <c r="L54" s="195">
        <f>L55*Calculation!L8</f>
        <v>2368.1559809465598</v>
      </c>
      <c r="M54" s="195">
        <f>M55*Calculation!M8</f>
        <v>2579.3528676393357</v>
      </c>
      <c r="N54" s="195">
        <f>N55*Calculation!N8</f>
        <v>2809.3847150811466</v>
      </c>
      <c r="O54" s="195">
        <f>O55*Calculation!O8</f>
        <v>3059.9312627415129</v>
      </c>
      <c r="P54" s="195">
        <f>P55*Calculation!P8</f>
        <v>3332.8220526153268</v>
      </c>
      <c r="Q54" s="195">
        <f>Q55*Calculation!Q8</f>
        <v>3630.0497889116664</v>
      </c>
      <c r="R54" s="18"/>
      <c r="S54" s="18"/>
    </row>
    <row r="55" spans="1:19" x14ac:dyDescent="0.2">
      <c r="A55" s="15"/>
      <c r="B55" s="15"/>
      <c r="C55" s="15" t="s">
        <v>354</v>
      </c>
      <c r="D55" s="15"/>
      <c r="E55" s="15"/>
      <c r="F55" s="15"/>
      <c r="G55" s="194">
        <f>G54/Calculation!G8</f>
        <v>3.7563057819169576E-2</v>
      </c>
      <c r="H55" s="194">
        <f>G55</f>
        <v>3.7563057819169576E-2</v>
      </c>
      <c r="I55" s="194">
        <f t="shared" ref="I55:Q55" si="12">H55</f>
        <v>3.7563057819169576E-2</v>
      </c>
      <c r="J55" s="194">
        <f t="shared" si="12"/>
        <v>3.7563057819169576E-2</v>
      </c>
      <c r="K55" s="194">
        <f t="shared" si="12"/>
        <v>3.7563057819169576E-2</v>
      </c>
      <c r="L55" s="194">
        <f t="shared" si="12"/>
        <v>3.7563057819169576E-2</v>
      </c>
      <c r="M55" s="194">
        <f t="shared" si="12"/>
        <v>3.7563057819169576E-2</v>
      </c>
      <c r="N55" s="194">
        <f t="shared" si="12"/>
        <v>3.7563057819169576E-2</v>
      </c>
      <c r="O55" s="194">
        <f t="shared" si="12"/>
        <v>3.7563057819169576E-2</v>
      </c>
      <c r="P55" s="194">
        <f t="shared" si="12"/>
        <v>3.7563057819169576E-2</v>
      </c>
      <c r="Q55" s="194">
        <f t="shared" si="12"/>
        <v>3.7563057819169576E-2</v>
      </c>
      <c r="R55" s="15"/>
      <c r="S55" s="15"/>
    </row>
    <row r="56" spans="1:19" x14ac:dyDescent="0.2">
      <c r="A56" s="15"/>
      <c r="B56" s="15"/>
      <c r="C56" s="15"/>
      <c r="D56" s="12"/>
      <c r="E56" s="12"/>
      <c r="F56" s="77"/>
      <c r="G56" s="15"/>
      <c r="H56" s="15"/>
      <c r="I56" s="15"/>
      <c r="J56" s="15"/>
      <c r="K56" s="15"/>
      <c r="L56" s="15"/>
      <c r="M56" s="15"/>
      <c r="N56" s="15"/>
      <c r="O56" s="15"/>
      <c r="P56" s="15"/>
      <c r="Q56" s="15"/>
      <c r="R56" s="15"/>
      <c r="S56" s="15"/>
    </row>
    <row r="57" spans="1:19" x14ac:dyDescent="0.2">
      <c r="A57" s="15"/>
      <c r="B57" s="15"/>
      <c r="C57" s="19" t="s">
        <v>85</v>
      </c>
      <c r="D57" s="18"/>
      <c r="E57" s="18"/>
      <c r="F57" s="18"/>
      <c r="G57" s="18"/>
      <c r="H57" s="18"/>
      <c r="I57" s="18"/>
      <c r="J57" s="18"/>
      <c r="K57" s="18"/>
      <c r="L57" s="18"/>
      <c r="M57" s="18"/>
      <c r="N57" s="18"/>
      <c r="O57" s="18"/>
      <c r="P57" s="18"/>
      <c r="Q57" s="18"/>
      <c r="R57" s="18"/>
      <c r="S57" s="18"/>
    </row>
    <row r="58" spans="1:19" x14ac:dyDescent="0.2">
      <c r="A58" s="15"/>
      <c r="B58" s="15"/>
      <c r="C58" s="15" t="s">
        <v>84</v>
      </c>
      <c r="D58" s="12" t="s">
        <v>68</v>
      </c>
      <c r="E58" s="12" t="s">
        <v>1</v>
      </c>
      <c r="F58" s="233">
        <v>4.0500000000000001E-2</v>
      </c>
      <c r="G58" s="15"/>
      <c r="H58" s="15"/>
      <c r="I58" s="15"/>
      <c r="J58" s="15"/>
      <c r="K58" s="15"/>
      <c r="L58" s="15"/>
      <c r="M58" s="15"/>
      <c r="N58" s="15"/>
      <c r="O58" s="15"/>
      <c r="P58" s="15"/>
      <c r="Q58" s="15"/>
      <c r="R58" s="15"/>
      <c r="S58" s="15"/>
    </row>
    <row r="59" spans="1:19" x14ac:dyDescent="0.2">
      <c r="A59" s="15"/>
      <c r="B59" s="15"/>
      <c r="C59" s="15" t="s">
        <v>83</v>
      </c>
      <c r="D59" s="12" t="s">
        <v>68</v>
      </c>
      <c r="E59" s="12" t="s">
        <v>1</v>
      </c>
      <c r="F59" s="233">
        <v>4.3299999999999998E-2</v>
      </c>
      <c r="G59" s="15"/>
      <c r="H59" s="15"/>
      <c r="I59" s="15"/>
      <c r="J59" s="15"/>
      <c r="K59" s="15"/>
      <c r="L59" s="76"/>
      <c r="M59" s="76"/>
      <c r="N59" s="76"/>
      <c r="O59" s="76"/>
      <c r="P59" s="76"/>
      <c r="Q59" s="76"/>
      <c r="R59" s="76"/>
      <c r="S59" s="76"/>
    </row>
    <row r="60" spans="1:19" x14ac:dyDescent="0.2">
      <c r="A60" s="15"/>
      <c r="B60" s="15"/>
      <c r="C60" s="15" t="s">
        <v>82</v>
      </c>
      <c r="D60" s="12" t="s">
        <v>4</v>
      </c>
      <c r="E60" s="12" t="s">
        <v>2</v>
      </c>
      <c r="F60" s="234">
        <f>F61*(1+(1-F63)*F62)</f>
        <v>0.73029078118096868</v>
      </c>
      <c r="G60" s="15"/>
      <c r="H60" s="15"/>
      <c r="I60" s="15"/>
      <c r="J60" s="15"/>
      <c r="K60" s="15"/>
      <c r="L60" s="15"/>
      <c r="M60" s="15"/>
      <c r="N60" s="76"/>
      <c r="O60" s="76"/>
      <c r="P60" s="76"/>
      <c r="Q60" s="76"/>
      <c r="R60" s="76"/>
      <c r="S60" s="76"/>
    </row>
    <row r="61" spans="1:19" x14ac:dyDescent="0.2">
      <c r="A61" s="15"/>
      <c r="B61" s="15"/>
      <c r="C61" s="26" t="s">
        <v>81</v>
      </c>
      <c r="D61" s="12" t="s">
        <v>68</v>
      </c>
      <c r="E61" s="12" t="s">
        <v>2</v>
      </c>
      <c r="F61" s="234">
        <f>Damodaran!F18</f>
        <v>0.60793514405266413</v>
      </c>
      <c r="G61" s="15"/>
      <c r="H61" s="76"/>
      <c r="I61" s="76"/>
      <c r="J61" s="76"/>
      <c r="K61" s="76"/>
      <c r="L61" s="76"/>
      <c r="M61" s="76"/>
      <c r="N61" s="76"/>
      <c r="O61" s="76"/>
      <c r="P61" s="76"/>
      <c r="Q61" s="76"/>
      <c r="R61" s="76"/>
      <c r="S61" s="76"/>
    </row>
    <row r="62" spans="1:19" x14ac:dyDescent="0.2">
      <c r="A62" s="15"/>
      <c r="B62" s="15"/>
      <c r="C62" s="26" t="s">
        <v>80</v>
      </c>
      <c r="D62" s="12" t="s">
        <v>68</v>
      </c>
      <c r="E62" s="12" t="s">
        <v>2</v>
      </c>
      <c r="F62" s="234">
        <f>Damodaran!D18</f>
        <v>0.25507026152729584</v>
      </c>
      <c r="G62" s="15"/>
      <c r="H62" s="15"/>
      <c r="I62" s="15"/>
      <c r="J62" s="15"/>
      <c r="K62" s="15"/>
      <c r="L62" s="15"/>
      <c r="M62" s="15"/>
      <c r="N62" s="15"/>
      <c r="O62" s="15"/>
      <c r="Q62" s="15"/>
      <c r="R62" s="15"/>
      <c r="S62" s="15"/>
    </row>
    <row r="63" spans="1:19" x14ac:dyDescent="0.2">
      <c r="A63" s="15"/>
      <c r="B63" s="15"/>
      <c r="C63" s="15" t="s">
        <v>6</v>
      </c>
      <c r="D63" s="12" t="s">
        <v>68</v>
      </c>
      <c r="E63" s="12" t="s">
        <v>1</v>
      </c>
      <c r="F63" s="235">
        <f>2621/12425</f>
        <v>0.21094567404426559</v>
      </c>
      <c r="G63" s="15"/>
      <c r="H63" s="15"/>
      <c r="I63" s="15"/>
      <c r="J63" s="15"/>
      <c r="K63" s="15"/>
      <c r="L63" s="15"/>
      <c r="M63" s="15"/>
      <c r="N63" s="15"/>
      <c r="O63" s="15"/>
      <c r="P63" s="15"/>
      <c r="Q63" s="15"/>
      <c r="R63" s="15"/>
      <c r="S63" s="15"/>
    </row>
    <row r="64" spans="1:19" x14ac:dyDescent="0.2">
      <c r="A64" s="15"/>
      <c r="B64" s="15"/>
      <c r="C64" s="17" t="s">
        <v>79</v>
      </c>
      <c r="D64" s="20" t="s">
        <v>4</v>
      </c>
      <c r="E64" s="20" t="s">
        <v>1</v>
      </c>
      <c r="F64" s="236">
        <f>F58+F60*F59</f>
        <v>7.2121590825135945E-2</v>
      </c>
      <c r="G64" s="15"/>
      <c r="H64" s="15"/>
      <c r="I64" s="15"/>
      <c r="J64" s="15"/>
      <c r="K64" s="15"/>
      <c r="L64" s="15"/>
      <c r="M64" s="15"/>
      <c r="N64" s="15"/>
      <c r="O64" s="15"/>
      <c r="P64" s="15"/>
      <c r="Q64" s="15"/>
      <c r="R64" s="15"/>
      <c r="S64" s="15"/>
    </row>
    <row r="65" spans="1:19" x14ac:dyDescent="0.2">
      <c r="A65" s="15"/>
      <c r="B65" s="15"/>
      <c r="C65" s="15"/>
      <c r="D65" s="12"/>
      <c r="E65" s="12"/>
      <c r="F65" s="73"/>
      <c r="G65" s="15"/>
      <c r="H65" s="15"/>
      <c r="I65" s="15"/>
      <c r="J65" s="15"/>
      <c r="K65" s="15"/>
      <c r="L65" s="15"/>
      <c r="M65" s="15"/>
      <c r="N65" s="15"/>
      <c r="O65" s="15"/>
      <c r="P65" s="15"/>
      <c r="Q65" s="15"/>
      <c r="R65" s="15"/>
      <c r="S65" s="15"/>
    </row>
    <row r="66" spans="1:19" x14ac:dyDescent="0.2">
      <c r="A66" s="15"/>
      <c r="B66" s="15"/>
      <c r="C66" s="15" t="s">
        <v>78</v>
      </c>
      <c r="D66" s="12" t="s">
        <v>68</v>
      </c>
      <c r="E66" s="12" t="s">
        <v>1</v>
      </c>
      <c r="F66" s="233">
        <v>4.4999999999999998E-2</v>
      </c>
      <c r="G66" s="15"/>
      <c r="H66" s="15"/>
      <c r="I66" s="15"/>
      <c r="J66" s="15"/>
      <c r="K66" s="15"/>
      <c r="L66" s="15"/>
      <c r="M66" s="15"/>
      <c r="N66" s="15"/>
      <c r="O66" s="15"/>
      <c r="P66" s="15"/>
      <c r="Q66" s="15"/>
      <c r="R66" s="15"/>
      <c r="S66" s="15"/>
    </row>
    <row r="67" spans="1:19" x14ac:dyDescent="0.2">
      <c r="A67" s="15"/>
      <c r="B67" s="15"/>
      <c r="C67" s="15"/>
      <c r="D67" s="12"/>
      <c r="E67" s="12"/>
      <c r="F67" s="73"/>
      <c r="G67" s="74"/>
      <c r="H67" s="15"/>
      <c r="I67" s="15"/>
      <c r="J67" s="15"/>
      <c r="K67" s="15"/>
      <c r="L67" s="15"/>
      <c r="M67" s="15"/>
      <c r="N67" s="15"/>
      <c r="O67" s="15"/>
      <c r="P67" s="15"/>
      <c r="Q67" s="15"/>
      <c r="R67" s="15"/>
      <c r="S67" s="15"/>
    </row>
    <row r="68" spans="1:19" x14ac:dyDescent="0.2">
      <c r="A68" s="15"/>
      <c r="B68" s="15"/>
      <c r="C68" s="15" t="s">
        <v>77</v>
      </c>
      <c r="D68" s="12" t="s">
        <v>4</v>
      </c>
      <c r="E68" s="12" t="s">
        <v>1</v>
      </c>
      <c r="F68" s="237">
        <f>(1+(F62^(-1)))^(-1)</f>
        <v>0.20323185828409374</v>
      </c>
      <c r="G68" s="76"/>
      <c r="H68" s="15"/>
      <c r="I68" s="15"/>
      <c r="J68" s="15"/>
      <c r="K68" s="15"/>
      <c r="L68" s="15"/>
      <c r="M68" s="15"/>
      <c r="N68" s="15"/>
      <c r="O68" s="15"/>
      <c r="P68" s="15"/>
      <c r="Q68" s="15"/>
      <c r="R68" s="15"/>
      <c r="S68" s="15"/>
    </row>
    <row r="69" spans="1:19" x14ac:dyDescent="0.2">
      <c r="A69" s="15"/>
      <c r="B69" s="15"/>
      <c r="C69" s="15" t="s">
        <v>76</v>
      </c>
      <c r="D69" s="12" t="s">
        <v>4</v>
      </c>
      <c r="E69" s="12" t="s">
        <v>1</v>
      </c>
      <c r="F69" s="237">
        <f>1-F68</f>
        <v>0.79676814171590626</v>
      </c>
      <c r="G69" s="76"/>
      <c r="H69" s="15"/>
      <c r="I69" s="15"/>
      <c r="J69" s="15"/>
      <c r="K69" s="15"/>
      <c r="L69" s="15"/>
      <c r="M69" s="15"/>
      <c r="N69" s="15"/>
      <c r="O69" s="15"/>
      <c r="P69" s="15"/>
      <c r="Q69" s="15"/>
      <c r="R69" s="15"/>
      <c r="S69" s="15"/>
    </row>
    <row r="70" spans="1:19" x14ac:dyDescent="0.2">
      <c r="A70" s="15"/>
      <c r="B70" s="15"/>
      <c r="C70" s="5" t="s">
        <v>353</v>
      </c>
      <c r="D70" s="20" t="s">
        <v>4</v>
      </c>
      <c r="E70" s="20" t="s">
        <v>1</v>
      </c>
      <c r="F70" s="238">
        <f>F69*F64+F68*F66*(1-F63)</f>
        <v>6.4680429862137429E-2</v>
      </c>
      <c r="G70" s="74"/>
      <c r="H70" s="15"/>
      <c r="I70" s="15"/>
      <c r="J70" s="15"/>
      <c r="K70" s="15"/>
      <c r="L70" s="15"/>
      <c r="M70" s="15"/>
      <c r="N70" s="15"/>
      <c r="O70" s="15"/>
      <c r="P70" s="15"/>
    </row>
    <row r="71" spans="1:19" x14ac:dyDescent="0.2">
      <c r="A71" s="15"/>
      <c r="B71" s="15"/>
      <c r="C71" s="15"/>
      <c r="D71" s="12"/>
      <c r="E71" s="12"/>
      <c r="F71" s="73"/>
      <c r="G71" s="15"/>
      <c r="H71" s="15"/>
      <c r="I71" s="15"/>
      <c r="J71" s="15"/>
      <c r="K71" s="15"/>
      <c r="L71" s="15"/>
      <c r="M71" s="15"/>
      <c r="N71" s="15"/>
      <c r="O71" s="15"/>
      <c r="P71" s="15"/>
    </row>
    <row r="72" spans="1:19" x14ac:dyDescent="0.2">
      <c r="A72" s="15"/>
      <c r="B72" s="15"/>
      <c r="C72" s="15" t="s">
        <v>75</v>
      </c>
      <c r="D72" s="12" t="s">
        <v>4</v>
      </c>
      <c r="E72" s="12" t="s">
        <v>2</v>
      </c>
      <c r="F72" s="15"/>
      <c r="G72" s="72">
        <v>0</v>
      </c>
      <c r="H72" s="72">
        <v>0.5</v>
      </c>
      <c r="I72" s="72">
        <v>1.5</v>
      </c>
      <c r="J72" s="72">
        <v>2.5</v>
      </c>
      <c r="K72" s="72">
        <v>3.5</v>
      </c>
      <c r="L72" s="72">
        <v>4.5</v>
      </c>
      <c r="M72" s="72">
        <v>5.5</v>
      </c>
      <c r="N72" s="72">
        <v>6.5</v>
      </c>
      <c r="O72" s="72">
        <v>7.5</v>
      </c>
      <c r="P72" s="72">
        <v>8.5</v>
      </c>
      <c r="Q72" s="72">
        <v>9.5</v>
      </c>
    </row>
    <row r="73" spans="1:19" x14ac:dyDescent="0.2">
      <c r="A73" s="15"/>
      <c r="B73" s="15"/>
      <c r="C73" s="15" t="s">
        <v>74</v>
      </c>
      <c r="D73" s="12" t="s">
        <v>4</v>
      </c>
      <c r="E73" s="12" t="s">
        <v>2</v>
      </c>
      <c r="F73" s="15"/>
      <c r="G73" s="72"/>
      <c r="H73" s="72">
        <v>1</v>
      </c>
      <c r="I73" s="72">
        <v>2</v>
      </c>
      <c r="J73" s="72">
        <v>3</v>
      </c>
      <c r="K73" s="72">
        <v>4</v>
      </c>
      <c r="L73" s="72">
        <v>5</v>
      </c>
      <c r="M73" s="72">
        <v>6</v>
      </c>
      <c r="N73" s="72">
        <v>7</v>
      </c>
      <c r="O73" s="72">
        <v>8</v>
      </c>
      <c r="P73" s="72">
        <v>9</v>
      </c>
      <c r="Q73" s="72">
        <v>10</v>
      </c>
    </row>
    <row r="74" spans="1:19" x14ac:dyDescent="0.2">
      <c r="A74" s="15"/>
      <c r="B74" s="15"/>
      <c r="C74" s="17" t="s">
        <v>73</v>
      </c>
      <c r="F74" s="15"/>
      <c r="G74" s="15"/>
      <c r="H74" s="15"/>
      <c r="I74" s="15"/>
      <c r="J74" s="15"/>
      <c r="K74" s="15"/>
      <c r="L74" s="15"/>
      <c r="M74" s="15"/>
      <c r="N74" s="15"/>
      <c r="O74" s="15"/>
      <c r="P74" s="15"/>
    </row>
    <row r="75" spans="1:19" x14ac:dyDescent="0.2">
      <c r="A75" s="15"/>
      <c r="B75" s="15"/>
      <c r="C75" s="26" t="s">
        <v>72</v>
      </c>
      <c r="D75" s="12" t="s">
        <v>4</v>
      </c>
      <c r="E75" s="12" t="s">
        <v>2</v>
      </c>
      <c r="F75" s="15"/>
      <c r="G75" s="71">
        <f t="shared" ref="G75:Q75" si="13">1/((1+$F$64)^G72)</f>
        <v>1</v>
      </c>
      <c r="H75" s="183">
        <f t="shared" si="13"/>
        <v>0.9657794917404513</v>
      </c>
      <c r="I75" s="183">
        <f t="shared" si="13"/>
        <v>0.90081153108497636</v>
      </c>
      <c r="J75" s="183">
        <f t="shared" si="13"/>
        <v>0.84021396341033072</v>
      </c>
      <c r="K75" s="183">
        <f t="shared" si="13"/>
        <v>0.78369279249723667</v>
      </c>
      <c r="L75" s="183">
        <f t="shared" si="13"/>
        <v>0.73097379924424799</v>
      </c>
      <c r="M75" s="183">
        <f t="shared" si="13"/>
        <v>0.68180121126155957</v>
      </c>
      <c r="N75" s="183">
        <f t="shared" si="13"/>
        <v>0.63593646196120868</v>
      </c>
      <c r="O75" s="183">
        <f t="shared" si="13"/>
        <v>0.59315703312324242</v>
      </c>
      <c r="P75" s="183">
        <f t="shared" si="13"/>
        <v>0.55325537532243108</v>
      </c>
      <c r="Q75" s="183">
        <f t="shared" si="13"/>
        <v>0.51603790097784485</v>
      </c>
    </row>
    <row r="76" spans="1:19" x14ac:dyDescent="0.2">
      <c r="A76" s="15"/>
      <c r="B76" s="15"/>
      <c r="C76" s="26" t="s">
        <v>71</v>
      </c>
      <c r="D76" s="12"/>
      <c r="E76" s="12"/>
      <c r="F76" s="15"/>
      <c r="G76" s="71">
        <f t="shared" ref="G76:Q76" si="14">1/((1+$F$70)^G72)</f>
        <v>1</v>
      </c>
      <c r="H76" s="183">
        <f t="shared" si="14"/>
        <v>0.96914858133224491</v>
      </c>
      <c r="I76" s="183">
        <f t="shared" si="14"/>
        <v>0.9102718094083283</v>
      </c>
      <c r="J76" s="183">
        <f t="shared" si="14"/>
        <v>0.85497186186299756</v>
      </c>
      <c r="K76" s="183">
        <f t="shared" si="14"/>
        <v>0.80303144294077577</v>
      </c>
      <c r="L76" s="183">
        <f t="shared" si="14"/>
        <v>0.7542464578265593</v>
      </c>
      <c r="M76" s="183">
        <f t="shared" si="14"/>
        <v>0.70842521067492947</v>
      </c>
      <c r="N76" s="183">
        <f t="shared" si="14"/>
        <v>0.66538765136000633</v>
      </c>
      <c r="O76" s="183">
        <f t="shared" si="14"/>
        <v>0.62496466798602224</v>
      </c>
      <c r="P76" s="183">
        <f t="shared" si="14"/>
        <v>0.58699742237860719</v>
      </c>
      <c r="Q76" s="183">
        <f t="shared" si="14"/>
        <v>0.55133672594565863</v>
      </c>
    </row>
    <row r="78" spans="1:19" x14ac:dyDescent="0.2">
      <c r="A78" s="15"/>
      <c r="B78" s="15"/>
      <c r="C78" s="19" t="s">
        <v>70</v>
      </c>
      <c r="D78" s="18"/>
      <c r="E78" s="18"/>
      <c r="F78" s="18"/>
      <c r="G78" s="18"/>
      <c r="H78" s="18"/>
      <c r="I78" s="18"/>
      <c r="J78" s="18"/>
      <c r="K78" s="18"/>
      <c r="L78" s="18"/>
      <c r="M78" s="18"/>
      <c r="N78" s="18"/>
      <c r="O78" s="18"/>
      <c r="P78" s="18"/>
      <c r="Q78" s="18"/>
      <c r="R78" s="18"/>
      <c r="S78" s="18"/>
    </row>
    <row r="79" spans="1:19" x14ac:dyDescent="0.2">
      <c r="A79" s="15"/>
      <c r="B79" s="15"/>
      <c r="C79" s="15" t="s">
        <v>69</v>
      </c>
      <c r="D79" s="12" t="s">
        <v>68</v>
      </c>
      <c r="E79" s="12" t="s">
        <v>2</v>
      </c>
      <c r="F79" s="183">
        <f>Q18-1</f>
        <v>3.2399999999999984E-2</v>
      </c>
      <c r="G79" s="15"/>
      <c r="H79" s="15"/>
      <c r="I79" s="15"/>
      <c r="J79" s="15"/>
      <c r="K79" s="15"/>
      <c r="L79" s="15"/>
      <c r="M79" s="15"/>
      <c r="N79" s="15"/>
      <c r="O79" s="15"/>
      <c r="P79" s="15"/>
      <c r="Q79" s="15"/>
      <c r="R79" s="15"/>
      <c r="S79" s="15"/>
    </row>
    <row r="81" spans="1:19" x14ac:dyDescent="0.2">
      <c r="A81" s="15"/>
      <c r="B81" s="15"/>
      <c r="C81" s="19" t="s">
        <v>67</v>
      </c>
      <c r="D81" s="18"/>
      <c r="E81" s="18"/>
      <c r="F81" s="18"/>
      <c r="G81" s="18"/>
      <c r="H81" s="18"/>
      <c r="I81" s="18"/>
      <c r="J81" s="18"/>
      <c r="K81" s="18"/>
      <c r="L81" s="18"/>
      <c r="M81" s="18"/>
      <c r="N81" s="18"/>
      <c r="O81" s="18"/>
      <c r="P81" s="18"/>
    </row>
    <row r="82" spans="1:19" x14ac:dyDescent="0.2">
      <c r="C82" s="15" t="s">
        <v>66</v>
      </c>
      <c r="D82" s="12" t="s">
        <v>65</v>
      </c>
      <c r="E82" s="12" t="s">
        <v>1</v>
      </c>
      <c r="F82" s="213">
        <v>0.76319999999999999</v>
      </c>
      <c r="G82" s="214">
        <f>G83/IS!G24</f>
        <v>0.74219629515914443</v>
      </c>
      <c r="H82" s="74">
        <f>$F$82</f>
        <v>0.76319999999999999</v>
      </c>
      <c r="I82" s="74">
        <f t="shared" ref="I82:Q82" si="15">$F$82</f>
        <v>0.76319999999999999</v>
      </c>
      <c r="J82" s="74">
        <f t="shared" si="15"/>
        <v>0.76319999999999999</v>
      </c>
      <c r="K82" s="74">
        <f t="shared" si="15"/>
        <v>0.76319999999999999</v>
      </c>
      <c r="L82" s="74">
        <f t="shared" si="15"/>
        <v>0.76319999999999999</v>
      </c>
      <c r="M82" s="74">
        <f t="shared" si="15"/>
        <v>0.76319999999999999</v>
      </c>
      <c r="N82" s="74">
        <f t="shared" si="15"/>
        <v>0.76319999999999999</v>
      </c>
      <c r="O82" s="74">
        <f t="shared" si="15"/>
        <v>0.76319999999999999</v>
      </c>
      <c r="P82" s="74">
        <f t="shared" si="15"/>
        <v>0.76319999999999999</v>
      </c>
      <c r="Q82" s="74">
        <f t="shared" si="15"/>
        <v>0.76319999999999999</v>
      </c>
    </row>
    <row r="83" spans="1:19" x14ac:dyDescent="0.2">
      <c r="C83" s="210" t="s">
        <v>405</v>
      </c>
      <c r="D83" s="12" t="s">
        <v>4</v>
      </c>
      <c r="E83" s="12" t="s">
        <v>346</v>
      </c>
      <c r="F83" s="15"/>
      <c r="G83" s="215">
        <v>7252</v>
      </c>
      <c r="H83" s="15">
        <f>IS!H24*Inputs!H82</f>
        <v>8880.0966568713538</v>
      </c>
      <c r="I83" s="15">
        <f>IS!I24*Inputs!I82</f>
        <v>10274.29155937541</v>
      </c>
      <c r="J83" s="15">
        <f>IS!J24*Inputs!J82</f>
        <v>11715.328721653817</v>
      </c>
      <c r="K83" s="15">
        <f>IS!K24*Inputs!K82</f>
        <v>13266.782061975809</v>
      </c>
      <c r="L83" s="15">
        <f>IS!L24*Inputs!L82</f>
        <v>14954.388831534916</v>
      </c>
      <c r="M83" s="15">
        <f>IS!M24*Inputs!M82</f>
        <v>16804.508900970231</v>
      </c>
      <c r="N83" s="15">
        <f>IS!N24*Inputs!N82</f>
        <v>18836.359610012954</v>
      </c>
      <c r="O83" s="15">
        <f>IS!O24*Inputs!O82</f>
        <v>21066.690217267587</v>
      </c>
      <c r="P83" s="15">
        <f>IS!P24*Inputs!P82</f>
        <v>23513.761279596671</v>
      </c>
      <c r="Q83" s="15">
        <f>IS!Q24*Inputs!Q82</f>
        <v>26197.480001856453</v>
      </c>
    </row>
    <row r="89" spans="1:19" customFormat="1" ht="14.4" x14ac:dyDescent="0.3">
      <c r="A89" s="15"/>
      <c r="B89" s="15"/>
      <c r="C89" s="17"/>
      <c r="D89" s="20"/>
      <c r="E89" s="20"/>
      <c r="F89" s="15"/>
      <c r="G89" s="15"/>
      <c r="H89" s="15"/>
      <c r="I89" s="15"/>
      <c r="J89" s="15"/>
      <c r="K89" s="15"/>
      <c r="L89" s="15"/>
      <c r="M89" s="15"/>
      <c r="N89" s="15"/>
      <c r="O89" s="15"/>
      <c r="P89" s="15"/>
      <c r="Q89" s="15"/>
      <c r="R89" s="15"/>
      <c r="S89" s="15"/>
    </row>
    <row r="90" spans="1:19" customFormat="1" ht="14.4" x14ac:dyDescent="0.3">
      <c r="A90" s="15"/>
      <c r="B90" s="15"/>
      <c r="C90" s="17"/>
      <c r="D90" s="20"/>
      <c r="E90" s="20"/>
      <c r="F90" s="15"/>
      <c r="G90" s="15"/>
      <c r="H90" s="15"/>
      <c r="I90" s="15"/>
      <c r="J90" s="15"/>
      <c r="K90" s="15"/>
      <c r="L90" s="15"/>
      <c r="M90" s="15"/>
      <c r="N90" s="15"/>
      <c r="O90" s="15"/>
      <c r="P90" s="15"/>
      <c r="Q90" s="15"/>
      <c r="R90" s="15"/>
      <c r="S90" s="1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39997558519241921"/>
  </sheetPr>
  <dimension ref="A1:CA119"/>
  <sheetViews>
    <sheetView showGridLines="0" zoomScale="138" zoomScaleNormal="138" workbookViewId="0">
      <pane xSplit="5" ySplit="3" topLeftCell="F31" activePane="bottomRight" state="frozen"/>
      <selection activeCell="D19" sqref="D19"/>
      <selection pane="topRight" activeCell="D19" sqref="D19"/>
      <selection pane="bottomLeft" activeCell="D19" sqref="D19"/>
      <selection pane="bottomRight" activeCell="C50" sqref="C50"/>
    </sheetView>
  </sheetViews>
  <sheetFormatPr defaultColWidth="0" defaultRowHeight="14.4" zeroHeight="1" x14ac:dyDescent="0.3"/>
  <cols>
    <col min="1" max="1" width="3" customWidth="1"/>
    <col min="2" max="2" width="5.88671875" customWidth="1"/>
    <col min="3" max="3" width="37.88671875" customWidth="1"/>
    <col min="4" max="19" width="9.109375" customWidth="1"/>
    <col min="20" max="79" width="0" hidden="1" customWidth="1"/>
    <col min="80" max="16384" width="9.109375" hidden="1"/>
  </cols>
  <sheetData>
    <row r="1" spans="1:19" ht="15.6" x14ac:dyDescent="0.3">
      <c r="A1" s="33" t="s">
        <v>345</v>
      </c>
      <c r="B1" s="30"/>
      <c r="C1" s="30"/>
      <c r="D1" s="30"/>
      <c r="E1" s="30"/>
      <c r="F1" s="30"/>
      <c r="G1" s="30"/>
      <c r="H1" s="30"/>
      <c r="I1" s="30"/>
      <c r="J1" s="30"/>
      <c r="K1" s="30"/>
      <c r="L1" s="30"/>
      <c r="M1" s="30"/>
      <c r="N1" s="30"/>
      <c r="O1" s="30"/>
      <c r="P1" s="30"/>
      <c r="Q1" s="30"/>
      <c r="R1" s="30"/>
      <c r="S1" s="30"/>
    </row>
    <row r="2" spans="1:19" ht="15.6" x14ac:dyDescent="0.3">
      <c r="A2" s="32" t="s">
        <v>45</v>
      </c>
      <c r="B2" s="31"/>
      <c r="C2" s="31"/>
      <c r="D2" s="31"/>
      <c r="E2" s="31"/>
      <c r="F2" s="31"/>
      <c r="G2" s="31"/>
      <c r="H2" s="31"/>
      <c r="I2" s="31"/>
      <c r="J2" s="31"/>
      <c r="K2" s="31"/>
      <c r="L2" s="31"/>
      <c r="M2" s="31"/>
      <c r="N2" s="31"/>
      <c r="O2" s="31"/>
      <c r="P2" s="31"/>
      <c r="Q2" s="31"/>
      <c r="R2" s="31"/>
      <c r="S2" s="31"/>
    </row>
    <row r="3" spans="1:19" x14ac:dyDescent="0.3">
      <c r="A3" s="30"/>
      <c r="B3" s="29" t="s">
        <v>44</v>
      </c>
      <c r="C3" s="28" t="s">
        <v>43</v>
      </c>
      <c r="D3" s="27" t="s">
        <v>42</v>
      </c>
      <c r="E3" s="27" t="s">
        <v>41</v>
      </c>
      <c r="F3" s="27" t="s">
        <v>40</v>
      </c>
      <c r="G3" s="27" t="str">
        <f t="shared" ref="G3:Q3" si="0">Time</f>
        <v>2021A</v>
      </c>
      <c r="H3" s="27" t="str">
        <f t="shared" si="0"/>
        <v>2022F</v>
      </c>
      <c r="I3" s="27" t="str">
        <f t="shared" si="0"/>
        <v>2023F</v>
      </c>
      <c r="J3" s="27" t="str">
        <f t="shared" si="0"/>
        <v>2024F</v>
      </c>
      <c r="K3" s="27" t="str">
        <f t="shared" si="0"/>
        <v>2025F</v>
      </c>
      <c r="L3" s="27" t="str">
        <f t="shared" si="0"/>
        <v>2026F</v>
      </c>
      <c r="M3" s="27" t="str">
        <f t="shared" si="0"/>
        <v>2027F</v>
      </c>
      <c r="N3" s="27" t="str">
        <f t="shared" si="0"/>
        <v>2028F</v>
      </c>
      <c r="O3" s="27" t="str">
        <f t="shared" si="0"/>
        <v>2029F</v>
      </c>
      <c r="P3" s="27" t="str">
        <f t="shared" si="0"/>
        <v>2030F</v>
      </c>
      <c r="Q3" s="27" t="str">
        <f t="shared" si="0"/>
        <v>2031F</v>
      </c>
      <c r="R3" s="27"/>
      <c r="S3" s="27"/>
    </row>
    <row r="4" spans="1:19" x14ac:dyDescent="0.3">
      <c r="A4" s="15"/>
      <c r="B4" s="15"/>
      <c r="C4" s="15"/>
      <c r="D4" s="15"/>
      <c r="E4" s="1"/>
      <c r="F4" s="15"/>
      <c r="G4" s="15"/>
      <c r="H4" s="15"/>
      <c r="I4" s="15"/>
      <c r="J4" s="15"/>
      <c r="K4" s="15"/>
      <c r="L4" s="15"/>
      <c r="M4" s="15"/>
      <c r="N4" s="15"/>
      <c r="O4" s="15"/>
      <c r="P4" s="15"/>
      <c r="Q4" s="15"/>
      <c r="R4" s="15"/>
      <c r="S4" s="15"/>
    </row>
    <row r="5" spans="1:19" s="4" customFormat="1" ht="11.4" x14ac:dyDescent="0.2">
      <c r="A5" s="15"/>
      <c r="B5" s="15"/>
      <c r="C5" s="19" t="s">
        <v>39</v>
      </c>
      <c r="D5" s="18"/>
      <c r="E5" s="3"/>
      <c r="F5" s="18"/>
      <c r="G5" s="18"/>
      <c r="H5" s="18"/>
      <c r="I5" s="18"/>
      <c r="J5" s="18"/>
      <c r="K5" s="18"/>
      <c r="L5" s="18"/>
      <c r="M5" s="18"/>
      <c r="N5" s="18"/>
      <c r="O5" s="18"/>
      <c r="P5" s="18"/>
      <c r="Q5" s="18"/>
      <c r="R5" s="18"/>
      <c r="S5" s="18"/>
    </row>
    <row r="6" spans="1:19" x14ac:dyDescent="0.3">
      <c r="A6" s="15"/>
      <c r="B6" s="15"/>
      <c r="C6" s="26" t="s">
        <v>38</v>
      </c>
      <c r="D6" s="12" t="s">
        <v>10</v>
      </c>
      <c r="E6" s="2" t="s">
        <v>348</v>
      </c>
      <c r="F6" s="15"/>
      <c r="G6" s="173">
        <f>Inputs!G21</f>
        <v>1.2349840255591054</v>
      </c>
      <c r="H6" s="173">
        <f>Inputs!H21</f>
        <v>1.3263728434504793</v>
      </c>
      <c r="I6" s="173">
        <f>Inputs!I21</f>
        <v>1.3907019263578275</v>
      </c>
      <c r="J6" s="173">
        <f>Inputs!J21</f>
        <v>1.442992318788882</v>
      </c>
      <c r="K6" s="173">
        <f>Inputs!K21</f>
        <v>1.4923426560914619</v>
      </c>
      <c r="L6" s="173">
        <f>Inputs!L21</f>
        <v>1.5411422609456527</v>
      </c>
      <c r="M6" s="173">
        <f>Inputs!M21</f>
        <v>1.5910752702002917</v>
      </c>
      <c r="N6" s="173">
        <f>Inputs!N21</f>
        <v>1.6426261089547811</v>
      </c>
      <c r="O6" s="173">
        <f>Inputs!O21</f>
        <v>1.6958471948849161</v>
      </c>
      <c r="P6" s="173">
        <f>Inputs!P21</f>
        <v>1.7507926439991874</v>
      </c>
      <c r="Q6" s="173">
        <f>Inputs!Q21</f>
        <v>1.8075183256647611</v>
      </c>
      <c r="R6" s="15"/>
      <c r="S6" s="15"/>
    </row>
    <row r="7" spans="1:19" x14ac:dyDescent="0.3">
      <c r="A7" s="15"/>
      <c r="B7" s="15"/>
      <c r="C7" s="26" t="s">
        <v>37</v>
      </c>
      <c r="D7" s="12" t="s">
        <v>10</v>
      </c>
      <c r="E7" s="2" t="s">
        <v>347</v>
      </c>
      <c r="F7" s="15"/>
      <c r="G7" s="84">
        <v>31300</v>
      </c>
      <c r="H7" s="84">
        <f>Inputs!H30</f>
        <v>33021.5</v>
      </c>
      <c r="I7" s="84">
        <f>Inputs!I30</f>
        <v>34837.682499999995</v>
      </c>
      <c r="J7" s="84">
        <f>Inputs!J30</f>
        <v>36753.755037499992</v>
      </c>
      <c r="K7" s="84">
        <f>Inputs!K30</f>
        <v>38775.211564562487</v>
      </c>
      <c r="L7" s="84">
        <f>Inputs!L30</f>
        <v>40907.848200613422</v>
      </c>
      <c r="M7" s="84">
        <f>Inputs!M30</f>
        <v>43157.779851647159</v>
      </c>
      <c r="N7" s="84">
        <f>Inputs!N30</f>
        <v>45531.45774348775</v>
      </c>
      <c r="O7" s="84">
        <f>Inputs!O30</f>
        <v>48035.687919379576</v>
      </c>
      <c r="P7" s="84">
        <f>Inputs!P30</f>
        <v>50677.650754945447</v>
      </c>
      <c r="Q7" s="84">
        <f>Inputs!Q30</f>
        <v>53464.921546467442</v>
      </c>
      <c r="R7" s="15"/>
      <c r="S7" s="15"/>
    </row>
    <row r="8" spans="1:19" x14ac:dyDescent="0.3">
      <c r="A8" s="15"/>
      <c r="B8" s="15"/>
      <c r="C8" s="17" t="s">
        <v>36</v>
      </c>
      <c r="D8" s="20" t="s">
        <v>4</v>
      </c>
      <c r="E8" s="2" t="s">
        <v>346</v>
      </c>
      <c r="F8" s="15"/>
      <c r="G8" s="174">
        <v>38655</v>
      </c>
      <c r="H8" s="174">
        <f t="shared" ref="H8:Q8" si="1">H6*H7</f>
        <v>43798.820850000004</v>
      </c>
      <c r="I8" s="174">
        <f t="shared" si="1"/>
        <v>48448.832162592371</v>
      </c>
      <c r="J8" s="174">
        <f t="shared" si="1"/>
        <v>53035.386205760668</v>
      </c>
      <c r="K8" s="174">
        <f t="shared" si="1"/>
        <v>57865.90221676755</v>
      </c>
      <c r="L8" s="174">
        <f t="shared" si="1"/>
        <v>63044.81366631492</v>
      </c>
      <c r="M8" s="174">
        <f t="shared" si="1"/>
        <v>68667.276238704217</v>
      </c>
      <c r="N8" s="174">
        <f t="shared" si="1"/>
        <v>74791.161268224329</v>
      </c>
      <c r="O8" s="174">
        <f t="shared" si="1"/>
        <v>81461.186612447098</v>
      </c>
      <c r="P8" s="174">
        <f t="shared" si="1"/>
        <v>88726.058156918356</v>
      </c>
      <c r="Q8" s="174">
        <f t="shared" si="1"/>
        <v>96638.825475468635</v>
      </c>
      <c r="R8" s="15"/>
      <c r="S8" s="15"/>
    </row>
    <row r="9" spans="1:19" x14ac:dyDescent="0.3">
      <c r="A9" s="15"/>
      <c r="B9" s="15"/>
      <c r="C9" s="15"/>
      <c r="D9" s="15"/>
      <c r="E9" s="2"/>
      <c r="F9" s="15"/>
      <c r="G9" s="15"/>
      <c r="H9" s="15"/>
      <c r="I9" s="15"/>
      <c r="J9" s="15"/>
      <c r="K9" s="15"/>
      <c r="L9" s="15"/>
      <c r="M9" s="15"/>
      <c r="N9" s="15"/>
      <c r="O9" s="15"/>
      <c r="P9" s="15"/>
      <c r="Q9" s="15"/>
      <c r="R9" s="15"/>
      <c r="S9" s="15"/>
    </row>
    <row r="10" spans="1:19" s="4" customFormat="1" ht="11.4" x14ac:dyDescent="0.2">
      <c r="A10" s="15"/>
      <c r="B10" s="15"/>
      <c r="C10" s="19" t="s">
        <v>35</v>
      </c>
      <c r="D10" s="18"/>
      <c r="E10" s="18"/>
      <c r="F10" s="18"/>
      <c r="G10" s="18"/>
      <c r="H10" s="18"/>
      <c r="I10" s="18"/>
      <c r="J10" s="18"/>
      <c r="K10" s="18"/>
      <c r="L10" s="18"/>
      <c r="M10" s="18"/>
      <c r="N10" s="18"/>
      <c r="O10" s="18"/>
      <c r="P10" s="18"/>
      <c r="Q10" s="18"/>
      <c r="R10" s="18"/>
      <c r="S10" s="18"/>
    </row>
    <row r="11" spans="1:19" s="4" customFormat="1" ht="11.4" x14ac:dyDescent="0.2">
      <c r="A11" s="15"/>
      <c r="B11" s="15"/>
      <c r="C11" s="22" t="s">
        <v>34</v>
      </c>
      <c r="D11" s="15"/>
      <c r="E11" s="2"/>
      <c r="F11" s="15"/>
      <c r="G11" s="15"/>
      <c r="H11" s="15"/>
      <c r="I11" s="15"/>
      <c r="J11" s="15"/>
      <c r="K11" s="15"/>
      <c r="L11" s="15"/>
      <c r="M11" s="15"/>
      <c r="N11" s="15"/>
      <c r="O11" s="15"/>
      <c r="P11" s="15"/>
      <c r="Q11" s="15"/>
      <c r="R11" s="15"/>
      <c r="S11" s="15"/>
    </row>
    <row r="12" spans="1:19" s="4" customFormat="1" ht="11.4" x14ac:dyDescent="0.2">
      <c r="A12" s="15"/>
      <c r="B12" s="15"/>
      <c r="C12" s="26" t="s">
        <v>352</v>
      </c>
      <c r="D12" s="2" t="s">
        <v>4</v>
      </c>
      <c r="E12" s="2" t="s">
        <v>346</v>
      </c>
      <c r="F12" s="15"/>
      <c r="G12" s="181">
        <v>15357</v>
      </c>
      <c r="H12" s="181">
        <f>H13*H14</f>
        <v>17400.555990000001</v>
      </c>
      <c r="I12" s="181">
        <f t="shared" ref="I12:Q12" si="2">I13*I14</f>
        <v>19247.929518068326</v>
      </c>
      <c r="J12" s="181">
        <f t="shared" si="2"/>
        <v>21070.092509684815</v>
      </c>
      <c r="K12" s="181">
        <f t="shared" si="2"/>
        <v>22989.177605559416</v>
      </c>
      <c r="L12" s="181">
        <f t="shared" si="2"/>
        <v>25046.674517490574</v>
      </c>
      <c r="M12" s="181">
        <f t="shared" si="2"/>
        <v>27280.38704430942</v>
      </c>
      <c r="N12" s="181">
        <f t="shared" si="2"/>
        <v>29713.306521695016</v>
      </c>
      <c r="O12" s="181">
        <f t="shared" si="2"/>
        <v>32363.19862391282</v>
      </c>
      <c r="P12" s="181">
        <f t="shared" si="2"/>
        <v>35249.41340359061</v>
      </c>
      <c r="Q12" s="181">
        <f t="shared" si="2"/>
        <v>38393.026589749628</v>
      </c>
      <c r="R12" s="15"/>
      <c r="S12" s="15"/>
    </row>
    <row r="13" spans="1:19" x14ac:dyDescent="0.3">
      <c r="A13" s="15"/>
      <c r="B13" s="15"/>
      <c r="C13" s="13" t="s">
        <v>32</v>
      </c>
      <c r="D13" s="12" t="s">
        <v>10</v>
      </c>
      <c r="E13" s="2" t="s">
        <v>348</v>
      </c>
      <c r="F13" s="15"/>
      <c r="G13" s="184">
        <f>Inputs!G34</f>
        <v>0.49063897763578274</v>
      </c>
      <c r="H13" s="184">
        <f>Inputs!H34</f>
        <v>0.52694626198083072</v>
      </c>
      <c r="I13" s="184">
        <f>Inputs!I34</f>
        <v>0.552503155686901</v>
      </c>
      <c r="J13" s="184">
        <f>Inputs!J34</f>
        <v>0.5732772743407285</v>
      </c>
      <c r="K13" s="184">
        <f>Inputs!K34</f>
        <v>0.59288335712318141</v>
      </c>
      <c r="L13" s="184">
        <f>Inputs!L34</f>
        <v>0.61227064290110944</v>
      </c>
      <c r="M13" s="184">
        <f>Inputs!M34</f>
        <v>0.63210821173110543</v>
      </c>
      <c r="N13" s="184">
        <f>Inputs!N34</f>
        <v>0.6525885177911932</v>
      </c>
      <c r="O13" s="184">
        <f>Inputs!O34</f>
        <v>0.67373238576762784</v>
      </c>
      <c r="P13" s="184">
        <f>Inputs!P34</f>
        <v>0.69556131506649899</v>
      </c>
      <c r="Q13" s="184">
        <f>Inputs!Q34</f>
        <v>0.71809750167465358</v>
      </c>
      <c r="R13" s="15"/>
      <c r="S13" s="15"/>
    </row>
    <row r="14" spans="1:19" x14ac:dyDescent="0.3">
      <c r="A14" s="15"/>
      <c r="B14" s="15"/>
      <c r="C14" s="13" t="s">
        <v>31</v>
      </c>
      <c r="D14" s="12" t="s">
        <v>10</v>
      </c>
      <c r="E14" s="2" t="s">
        <v>347</v>
      </c>
      <c r="F14" s="15"/>
      <c r="G14" s="84">
        <f>Inputs!G30</f>
        <v>31300</v>
      </c>
      <c r="H14" s="84">
        <f>Inputs!H30</f>
        <v>33021.5</v>
      </c>
      <c r="I14" s="84">
        <f>Inputs!I30</f>
        <v>34837.682499999995</v>
      </c>
      <c r="J14" s="84">
        <f>Inputs!J30</f>
        <v>36753.755037499992</v>
      </c>
      <c r="K14" s="84">
        <f>Inputs!K30</f>
        <v>38775.211564562487</v>
      </c>
      <c r="L14" s="84">
        <f>Inputs!L30</f>
        <v>40907.848200613422</v>
      </c>
      <c r="M14" s="84">
        <f>Inputs!M30</f>
        <v>43157.779851647159</v>
      </c>
      <c r="N14" s="84">
        <f>Inputs!N30</f>
        <v>45531.45774348775</v>
      </c>
      <c r="O14" s="84">
        <f>Inputs!O30</f>
        <v>48035.687919379576</v>
      </c>
      <c r="P14" s="84">
        <f>Inputs!P30</f>
        <v>50677.650754945447</v>
      </c>
      <c r="Q14" s="84">
        <f>Inputs!Q30</f>
        <v>53464.921546467442</v>
      </c>
      <c r="R14" s="15"/>
      <c r="S14" s="15"/>
    </row>
    <row r="15" spans="1:19" x14ac:dyDescent="0.3">
      <c r="A15" s="15"/>
      <c r="B15" s="15"/>
      <c r="C15" s="26"/>
      <c r="D15" s="12"/>
      <c r="E15" s="2"/>
      <c r="F15" s="15"/>
      <c r="G15" s="15"/>
      <c r="H15" s="15"/>
      <c r="I15" s="15"/>
      <c r="J15" s="15"/>
      <c r="K15" s="15"/>
      <c r="L15" s="15"/>
      <c r="M15" s="15"/>
      <c r="N15" s="15"/>
      <c r="O15" s="15"/>
      <c r="P15" s="15"/>
      <c r="Q15" s="15"/>
      <c r="R15" s="15"/>
      <c r="S15" s="15"/>
    </row>
    <row r="16" spans="1:19" x14ac:dyDescent="0.3">
      <c r="A16" s="15"/>
      <c r="B16" s="15"/>
      <c r="C16" s="22" t="s">
        <v>30</v>
      </c>
      <c r="D16" s="15"/>
      <c r="E16" s="2"/>
      <c r="F16" s="15"/>
      <c r="G16" s="15"/>
      <c r="H16" s="15"/>
      <c r="I16" s="15"/>
      <c r="J16" s="15"/>
      <c r="K16" s="15"/>
      <c r="L16" s="15"/>
      <c r="M16" s="15"/>
      <c r="N16" s="15"/>
      <c r="O16" s="15"/>
      <c r="P16" s="15"/>
      <c r="Q16" s="15"/>
      <c r="R16" s="15"/>
      <c r="S16" s="15"/>
    </row>
    <row r="17" spans="1:19" x14ac:dyDescent="0.3">
      <c r="A17" s="15"/>
      <c r="B17" s="15"/>
      <c r="C17" s="6" t="str">
        <f>Inputs!C37</f>
        <v>SG&amp;A</v>
      </c>
      <c r="D17" s="12" t="s">
        <v>10</v>
      </c>
      <c r="E17" s="2" t="s">
        <v>346</v>
      </c>
      <c r="F17" s="15"/>
      <c r="G17" s="175">
        <f>Inputs!G37</f>
        <v>12144</v>
      </c>
      <c r="H17" s="175">
        <f>Inputs!H37</f>
        <v>13042.656000000001</v>
      </c>
      <c r="I17" s="175">
        <f>Inputs!I37</f>
        <v>13675.224816</v>
      </c>
      <c r="J17" s="175">
        <f>Inputs!J37</f>
        <v>14189.4132690816</v>
      </c>
      <c r="K17" s="175">
        <f>Inputs!K37</f>
        <v>14674.691202884191</v>
      </c>
      <c r="L17" s="175">
        <f>Inputs!L37</f>
        <v>15154.553605218503</v>
      </c>
      <c r="M17" s="175">
        <f>Inputs!M37</f>
        <v>15645.561142027582</v>
      </c>
      <c r="N17" s="175">
        <f>Inputs!N37</f>
        <v>16152.477323029276</v>
      </c>
      <c r="O17" s="175">
        <f>Inputs!O37</f>
        <v>16675.817588295424</v>
      </c>
      <c r="P17" s="175">
        <f>Inputs!P37</f>
        <v>17216.114078156195</v>
      </c>
      <c r="Q17" s="175">
        <f>Inputs!Q37</f>
        <v>17773.916174288457</v>
      </c>
      <c r="R17" s="15"/>
      <c r="S17" s="15"/>
    </row>
    <row r="18" spans="1:19" x14ac:dyDescent="0.3">
      <c r="A18" s="15"/>
      <c r="B18" s="15"/>
      <c r="C18" s="17" t="s">
        <v>29</v>
      </c>
      <c r="D18" s="10" t="s">
        <v>4</v>
      </c>
      <c r="E18" s="2" t="s">
        <v>346</v>
      </c>
      <c r="F18" s="5"/>
      <c r="G18" s="176">
        <f>G17+G12</f>
        <v>27501</v>
      </c>
      <c r="H18" s="176">
        <f t="shared" ref="H18:Q18" si="3">H17+H12</f>
        <v>30443.211990000003</v>
      </c>
      <c r="I18" s="176">
        <f t="shared" si="3"/>
        <v>32923.154334068327</v>
      </c>
      <c r="J18" s="176">
        <f t="shared" si="3"/>
        <v>35259.505778766412</v>
      </c>
      <c r="K18" s="176">
        <f t="shared" si="3"/>
        <v>37663.868808443607</v>
      </c>
      <c r="L18" s="176">
        <f t="shared" si="3"/>
        <v>40201.228122709079</v>
      </c>
      <c r="M18" s="176">
        <f t="shared" si="3"/>
        <v>42925.948186337002</v>
      </c>
      <c r="N18" s="176">
        <f t="shared" si="3"/>
        <v>45865.78384472429</v>
      </c>
      <c r="O18" s="176">
        <f t="shared" si="3"/>
        <v>49039.01621220824</v>
      </c>
      <c r="P18" s="176">
        <f t="shared" si="3"/>
        <v>52465.527481746802</v>
      </c>
      <c r="Q18" s="176">
        <f t="shared" si="3"/>
        <v>56166.942764038089</v>
      </c>
      <c r="R18" s="15"/>
      <c r="S18" s="15"/>
    </row>
    <row r="19" spans="1:19" x14ac:dyDescent="0.3">
      <c r="A19" s="15"/>
      <c r="B19" s="15"/>
      <c r="C19" s="15"/>
      <c r="D19" s="15"/>
      <c r="E19" s="2"/>
      <c r="F19" s="15"/>
      <c r="G19" s="180"/>
      <c r="H19" s="15"/>
      <c r="I19" s="15"/>
      <c r="J19" s="15"/>
      <c r="K19" s="15"/>
      <c r="L19" s="15"/>
      <c r="M19" s="15"/>
      <c r="N19" s="15"/>
      <c r="O19" s="15"/>
      <c r="P19" s="15"/>
      <c r="Q19" s="15"/>
      <c r="R19" s="15"/>
      <c r="S19" s="15"/>
    </row>
    <row r="20" spans="1:19" s="4" customFormat="1" ht="11.4" x14ac:dyDescent="0.2">
      <c r="A20" s="15"/>
      <c r="B20" s="15"/>
      <c r="C20" s="19" t="s">
        <v>28</v>
      </c>
      <c r="D20" s="18"/>
      <c r="E20" s="18"/>
      <c r="F20" s="18"/>
      <c r="G20" s="18"/>
      <c r="H20" s="18"/>
      <c r="I20" s="18"/>
      <c r="J20" s="18"/>
      <c r="K20" s="18"/>
      <c r="L20" s="18"/>
      <c r="M20" s="18"/>
      <c r="N20" s="18"/>
      <c r="O20" s="18"/>
      <c r="P20" s="18"/>
      <c r="Q20" s="18"/>
      <c r="R20" s="18"/>
      <c r="S20" s="18"/>
    </row>
    <row r="21" spans="1:19" s="4" customFormat="1" ht="11.4" x14ac:dyDescent="0.2">
      <c r="A21" s="15"/>
      <c r="B21" s="15"/>
      <c r="C21" s="6" t="s">
        <v>27</v>
      </c>
      <c r="D21" s="12" t="s">
        <v>4</v>
      </c>
      <c r="E21" s="2" t="s">
        <v>346</v>
      </c>
      <c r="F21" s="15"/>
      <c r="G21" s="175">
        <f>3414</f>
        <v>3414</v>
      </c>
      <c r="H21" s="175">
        <f>H22*H8</f>
        <v>3868.30098</v>
      </c>
      <c r="I21" s="175">
        <f t="shared" ref="I21:Q21" si="4">I22*I8</f>
        <v>4278.9888242941497</v>
      </c>
      <c r="J21" s="175">
        <f t="shared" si="4"/>
        <v>4684.0721383124283</v>
      </c>
      <c r="K21" s="175">
        <f t="shared" si="4"/>
        <v>5110.7021127420621</v>
      </c>
      <c r="L21" s="175">
        <f t="shared" si="4"/>
        <v>5568.1022857793077</v>
      </c>
      <c r="M21" s="175">
        <f t="shared" si="4"/>
        <v>6064.6767838296773</v>
      </c>
      <c r="N21" s="175">
        <f t="shared" si="4"/>
        <v>6605.5367887651755</v>
      </c>
      <c r="O21" s="175">
        <f t="shared" si="4"/>
        <v>7194.6317706608297</v>
      </c>
      <c r="P21" s="175">
        <f t="shared" si="4"/>
        <v>7836.2634212319044</v>
      </c>
      <c r="Q21" s="175">
        <f t="shared" si="4"/>
        <v>8535.1170656642062</v>
      </c>
      <c r="R21" s="15"/>
      <c r="S21" s="15"/>
    </row>
    <row r="22" spans="1:19" s="4" customFormat="1" ht="11.4" x14ac:dyDescent="0.2">
      <c r="A22" s="15"/>
      <c r="B22" s="15"/>
      <c r="C22" s="25" t="s">
        <v>24</v>
      </c>
      <c r="D22" s="12" t="s">
        <v>10</v>
      </c>
      <c r="E22" s="24" t="s">
        <v>1</v>
      </c>
      <c r="F22" s="74"/>
      <c r="G22" s="177">
        <f>G21/G8</f>
        <v>8.8319751649204498E-2</v>
      </c>
      <c r="H22" s="177">
        <f>G22</f>
        <v>8.8319751649204498E-2</v>
      </c>
      <c r="I22" s="177">
        <f t="shared" ref="I22:Q22" si="5">H22</f>
        <v>8.8319751649204498E-2</v>
      </c>
      <c r="J22" s="177">
        <f t="shared" si="5"/>
        <v>8.8319751649204498E-2</v>
      </c>
      <c r="K22" s="177">
        <f t="shared" si="5"/>
        <v>8.8319751649204498E-2</v>
      </c>
      <c r="L22" s="177">
        <f t="shared" si="5"/>
        <v>8.8319751649204498E-2</v>
      </c>
      <c r="M22" s="177">
        <f t="shared" si="5"/>
        <v>8.8319751649204498E-2</v>
      </c>
      <c r="N22" s="177">
        <f t="shared" si="5"/>
        <v>8.8319751649204498E-2</v>
      </c>
      <c r="O22" s="177">
        <f t="shared" si="5"/>
        <v>8.8319751649204498E-2</v>
      </c>
      <c r="P22" s="177">
        <f t="shared" si="5"/>
        <v>8.8319751649204498E-2</v>
      </c>
      <c r="Q22" s="177">
        <f t="shared" si="5"/>
        <v>8.8319751649204498E-2</v>
      </c>
      <c r="R22" s="15"/>
      <c r="S22" s="15"/>
    </row>
    <row r="23" spans="1:19" s="4" customFormat="1" ht="11.4" x14ac:dyDescent="0.2">
      <c r="A23" s="15"/>
      <c r="B23" s="15"/>
      <c r="C23" s="6" t="s">
        <v>26</v>
      </c>
      <c r="D23" s="12" t="s">
        <v>4</v>
      </c>
      <c r="E23" s="2" t="s">
        <v>346</v>
      </c>
      <c r="F23" s="15"/>
      <c r="G23" s="175">
        <f>3512</f>
        <v>3512</v>
      </c>
      <c r="H23" s="175">
        <f t="shared" ref="H23:Q23" si="6">H24*H8</f>
        <v>3979.3418400000005</v>
      </c>
      <c r="I23" s="175">
        <f t="shared" si="6"/>
        <v>4401.8186147981996</v>
      </c>
      <c r="J23" s="175">
        <f t="shared" si="6"/>
        <v>4818.5299794239163</v>
      </c>
      <c r="K23" s="175">
        <f t="shared" si="6"/>
        <v>5257.4065084798249</v>
      </c>
      <c r="L23" s="175">
        <f t="shared" si="6"/>
        <v>5727.9365048790069</v>
      </c>
      <c r="M23" s="175">
        <f t="shared" si="6"/>
        <v>6238.7653382571261</v>
      </c>
      <c r="N23" s="175">
        <f t="shared" si="6"/>
        <v>6795.1509086535725</v>
      </c>
      <c r="O23" s="175">
        <f t="shared" si="6"/>
        <v>7401.1560569891144</v>
      </c>
      <c r="P23" s="175">
        <f t="shared" si="6"/>
        <v>8061.2059564635174</v>
      </c>
      <c r="Q23" s="175">
        <f t="shared" si="6"/>
        <v>8780.1204260728464</v>
      </c>
      <c r="R23" s="15"/>
      <c r="S23" s="15"/>
    </row>
    <row r="24" spans="1:19" s="4" customFormat="1" ht="11.4" x14ac:dyDescent="0.2">
      <c r="A24" s="15"/>
      <c r="B24" s="15"/>
      <c r="C24" s="25" t="s">
        <v>24</v>
      </c>
      <c r="D24" s="12" t="s">
        <v>10</v>
      </c>
      <c r="E24" s="24" t="s">
        <v>1</v>
      </c>
      <c r="F24" s="15"/>
      <c r="G24" s="177">
        <f>G23/G8</f>
        <v>9.0854999353253141E-2</v>
      </c>
      <c r="H24" s="177">
        <f>G24</f>
        <v>9.0854999353253141E-2</v>
      </c>
      <c r="I24" s="177">
        <f t="shared" ref="I24:Q24" si="7">H24</f>
        <v>9.0854999353253141E-2</v>
      </c>
      <c r="J24" s="177">
        <f t="shared" si="7"/>
        <v>9.0854999353253141E-2</v>
      </c>
      <c r="K24" s="177">
        <f t="shared" si="7"/>
        <v>9.0854999353253141E-2</v>
      </c>
      <c r="L24" s="177">
        <f t="shared" si="7"/>
        <v>9.0854999353253141E-2</v>
      </c>
      <c r="M24" s="177">
        <f t="shared" si="7"/>
        <v>9.0854999353253141E-2</v>
      </c>
      <c r="N24" s="177">
        <f t="shared" si="7"/>
        <v>9.0854999353253141E-2</v>
      </c>
      <c r="O24" s="177">
        <f t="shared" si="7"/>
        <v>9.0854999353253141E-2</v>
      </c>
      <c r="P24" s="177">
        <f t="shared" si="7"/>
        <v>9.0854999353253141E-2</v>
      </c>
      <c r="Q24" s="177">
        <f t="shared" si="7"/>
        <v>9.0854999353253141E-2</v>
      </c>
      <c r="R24" s="15"/>
      <c r="S24" s="15"/>
    </row>
    <row r="25" spans="1:19" s="4" customFormat="1" ht="11.4" x14ac:dyDescent="0.2">
      <c r="A25" s="15"/>
      <c r="B25" s="15"/>
      <c r="C25" s="6" t="s">
        <v>25</v>
      </c>
      <c r="D25" s="12" t="s">
        <v>4</v>
      </c>
      <c r="E25" s="2" t="s">
        <v>346</v>
      </c>
      <c r="F25" s="15"/>
      <c r="G25" s="175">
        <v>4602</v>
      </c>
      <c r="H25" s="175">
        <f>H8*H26</f>
        <v>5214.38814</v>
      </c>
      <c r="I25" s="175">
        <f t="shared" ref="I25:Q25" si="8">I8*I26</f>
        <v>5767.9866928534493</v>
      </c>
      <c r="J25" s="175">
        <f t="shared" si="8"/>
        <v>6314.0304570925</v>
      </c>
      <c r="K25" s="175">
        <f t="shared" si="8"/>
        <v>6889.1186651549415</v>
      </c>
      <c r="L25" s="175">
        <f t="shared" si="8"/>
        <v>7505.6844520083105</v>
      </c>
      <c r="M25" s="175">
        <f t="shared" si="8"/>
        <v>8175.0564028073159</v>
      </c>
      <c r="N25" s="175">
        <f t="shared" si="8"/>
        <v>8904.1242829224775</v>
      </c>
      <c r="O25" s="175">
        <f t="shared" si="8"/>
        <v>9698.2118947220679</v>
      </c>
      <c r="P25" s="175">
        <f t="shared" si="8"/>
        <v>10563.117827917171</v>
      </c>
      <c r="Q25" s="175">
        <f t="shared" si="8"/>
        <v>11505.157802046479</v>
      </c>
      <c r="R25" s="15"/>
      <c r="S25" s="15"/>
    </row>
    <row r="26" spans="1:19" s="4" customFormat="1" ht="11.4" x14ac:dyDescent="0.2">
      <c r="A26" s="15"/>
      <c r="B26" s="15"/>
      <c r="C26" s="25" t="s">
        <v>24</v>
      </c>
      <c r="D26" s="12" t="s">
        <v>10</v>
      </c>
      <c r="E26" s="24" t="s">
        <v>1</v>
      </c>
      <c r="F26" s="15"/>
      <c r="G26" s="177">
        <f>G25/G8</f>
        <v>0.11905316259216142</v>
      </c>
      <c r="H26" s="177">
        <f>G26</f>
        <v>0.11905316259216142</v>
      </c>
      <c r="I26" s="177">
        <f t="shared" ref="I26:Q26" si="9">H26</f>
        <v>0.11905316259216142</v>
      </c>
      <c r="J26" s="177">
        <f t="shared" si="9"/>
        <v>0.11905316259216142</v>
      </c>
      <c r="K26" s="177">
        <f t="shared" si="9"/>
        <v>0.11905316259216142</v>
      </c>
      <c r="L26" s="177">
        <f t="shared" si="9"/>
        <v>0.11905316259216142</v>
      </c>
      <c r="M26" s="177">
        <f t="shared" si="9"/>
        <v>0.11905316259216142</v>
      </c>
      <c r="N26" s="177">
        <f t="shared" si="9"/>
        <v>0.11905316259216142</v>
      </c>
      <c r="O26" s="177">
        <f t="shared" si="9"/>
        <v>0.11905316259216142</v>
      </c>
      <c r="P26" s="177">
        <f t="shared" si="9"/>
        <v>0.11905316259216142</v>
      </c>
      <c r="Q26" s="177">
        <f t="shared" si="9"/>
        <v>0.11905316259216142</v>
      </c>
      <c r="R26" s="15"/>
      <c r="S26" s="15"/>
    </row>
    <row r="27" spans="1:19" x14ac:dyDescent="0.3">
      <c r="A27" s="15"/>
      <c r="B27" s="15"/>
      <c r="C27" s="14" t="s">
        <v>23</v>
      </c>
      <c r="D27" s="2" t="s">
        <v>4</v>
      </c>
      <c r="E27" s="2" t="s">
        <v>346</v>
      </c>
      <c r="F27" s="9"/>
      <c r="G27" s="178">
        <f>G21+G23-G25</f>
        <v>2324</v>
      </c>
      <c r="H27" s="178">
        <f t="shared" ref="H27:Q27" si="10">H21+H23-H25</f>
        <v>2633.2546800000009</v>
      </c>
      <c r="I27" s="178">
        <f t="shared" si="10"/>
        <v>2912.8207462389009</v>
      </c>
      <c r="J27" s="178">
        <f t="shared" si="10"/>
        <v>3188.5716606438436</v>
      </c>
      <c r="K27" s="178">
        <f t="shared" si="10"/>
        <v>3478.9899560669455</v>
      </c>
      <c r="L27" s="178">
        <f t="shared" si="10"/>
        <v>3790.3543386500041</v>
      </c>
      <c r="M27" s="178">
        <f t="shared" si="10"/>
        <v>4128.3857192794867</v>
      </c>
      <c r="N27" s="178">
        <f t="shared" si="10"/>
        <v>4496.5634144962696</v>
      </c>
      <c r="O27" s="178">
        <f t="shared" si="10"/>
        <v>4897.5759329278753</v>
      </c>
      <c r="P27" s="178">
        <f t="shared" si="10"/>
        <v>5334.3515497782519</v>
      </c>
      <c r="Q27" s="178">
        <f t="shared" si="10"/>
        <v>5810.0796896905758</v>
      </c>
      <c r="R27" s="15"/>
      <c r="S27" s="15"/>
    </row>
    <row r="28" spans="1:19" x14ac:dyDescent="0.3">
      <c r="A28" s="15"/>
      <c r="B28" s="15"/>
      <c r="C28" s="23" t="s">
        <v>22</v>
      </c>
      <c r="D28" s="10" t="s">
        <v>4</v>
      </c>
      <c r="E28" s="2" t="s">
        <v>346</v>
      </c>
      <c r="F28" s="9"/>
      <c r="G28" s="179">
        <f>G27-3144-3266+3517</f>
        <v>-569</v>
      </c>
      <c r="H28" s="179">
        <f>H27-G27</f>
        <v>309.25468000000092</v>
      </c>
      <c r="I28" s="179">
        <f t="shared" ref="I28:Q28" si="11">I27-H27</f>
        <v>279.56606623890002</v>
      </c>
      <c r="J28" s="179">
        <f t="shared" si="11"/>
        <v>275.75091440494271</v>
      </c>
      <c r="K28" s="179">
        <f t="shared" si="11"/>
        <v>290.41829542310188</v>
      </c>
      <c r="L28" s="179">
        <f t="shared" si="11"/>
        <v>311.36438258305861</v>
      </c>
      <c r="M28" s="179">
        <f t="shared" si="11"/>
        <v>338.03138062948256</v>
      </c>
      <c r="N28" s="179">
        <f t="shared" si="11"/>
        <v>368.17769521678292</v>
      </c>
      <c r="O28" s="179">
        <f t="shared" si="11"/>
        <v>401.01251843160571</v>
      </c>
      <c r="P28" s="179">
        <f t="shared" si="11"/>
        <v>436.77561685037654</v>
      </c>
      <c r="Q28" s="179">
        <f t="shared" si="11"/>
        <v>475.72813991232397</v>
      </c>
      <c r="R28" s="15"/>
      <c r="S28" s="15"/>
    </row>
    <row r="29" spans="1:19" x14ac:dyDescent="0.3">
      <c r="A29" s="15"/>
      <c r="B29" s="15"/>
      <c r="C29" s="17"/>
      <c r="D29" s="20"/>
      <c r="E29" s="10"/>
      <c r="F29" s="15"/>
      <c r="G29" s="15"/>
      <c r="H29" s="15"/>
      <c r="I29" s="15"/>
      <c r="J29" s="15"/>
      <c r="K29" s="15"/>
      <c r="L29" s="15"/>
      <c r="M29" s="15"/>
      <c r="N29" s="15"/>
      <c r="O29" s="15"/>
      <c r="P29" s="15"/>
      <c r="Q29" s="15"/>
      <c r="R29" s="15"/>
      <c r="S29" s="15"/>
    </row>
    <row r="30" spans="1:19" s="4" customFormat="1" ht="11.4" x14ac:dyDescent="0.2">
      <c r="A30" s="15"/>
      <c r="B30" s="15"/>
      <c r="C30" s="19" t="s">
        <v>21</v>
      </c>
      <c r="D30" s="18"/>
      <c r="E30" s="18"/>
      <c r="F30" s="18"/>
      <c r="G30" s="18"/>
      <c r="H30" s="18"/>
      <c r="I30" s="18"/>
      <c r="J30" s="18"/>
      <c r="K30" s="18"/>
      <c r="L30" s="18"/>
      <c r="M30" s="18"/>
      <c r="N30" s="18"/>
      <c r="O30" s="18"/>
      <c r="P30" s="18"/>
      <c r="Q30" s="18"/>
      <c r="R30" s="18"/>
      <c r="S30" s="18"/>
    </row>
    <row r="31" spans="1:19" s="4" customFormat="1" ht="11.4" x14ac:dyDescent="0.2">
      <c r="A31" s="15"/>
      <c r="B31" s="15"/>
      <c r="C31" s="1" t="s">
        <v>20</v>
      </c>
      <c r="D31" s="2" t="s">
        <v>4</v>
      </c>
      <c r="E31" s="2" t="s">
        <v>346</v>
      </c>
      <c r="F31" s="15"/>
      <c r="G31" s="219">
        <f>G38</f>
        <v>2477.54</v>
      </c>
      <c r="H31" s="219">
        <f t="shared" ref="H31:Q31" si="12">H38</f>
        <v>2059.395</v>
      </c>
      <c r="I31" s="219">
        <f t="shared" si="12"/>
        <v>1223.105</v>
      </c>
      <c r="J31" s="219">
        <f t="shared" si="12"/>
        <v>402.48</v>
      </c>
      <c r="K31" s="219">
        <f t="shared" si="12"/>
        <v>0</v>
      </c>
      <c r="L31" s="219">
        <f t="shared" si="12"/>
        <v>0</v>
      </c>
      <c r="M31" s="219">
        <f t="shared" si="12"/>
        <v>0</v>
      </c>
      <c r="N31" s="219">
        <f t="shared" si="12"/>
        <v>0</v>
      </c>
      <c r="O31" s="219">
        <f t="shared" si="12"/>
        <v>0</v>
      </c>
      <c r="P31" s="219">
        <f t="shared" si="12"/>
        <v>0</v>
      </c>
      <c r="Q31" s="219">
        <f t="shared" si="12"/>
        <v>0</v>
      </c>
      <c r="R31" s="15"/>
      <c r="S31" s="15"/>
    </row>
    <row r="32" spans="1:19" s="4" customFormat="1" ht="11.4" x14ac:dyDescent="0.2">
      <c r="A32" s="15"/>
      <c r="B32" s="15"/>
      <c r="C32" s="1" t="s">
        <v>19</v>
      </c>
      <c r="D32" s="2" t="s">
        <v>4</v>
      </c>
      <c r="E32" s="2" t="s">
        <v>346</v>
      </c>
      <c r="F32" s="15"/>
      <c r="G32" s="219">
        <f>CFS!H20</f>
        <v>-12866</v>
      </c>
      <c r="H32" s="219">
        <f>CFS!I20</f>
        <v>-12866</v>
      </c>
      <c r="I32" s="219">
        <f>CFS!J20</f>
        <v>-12866</v>
      </c>
      <c r="J32" s="219">
        <f>CFS!K20</f>
        <v>0</v>
      </c>
      <c r="K32" s="219">
        <f>CFS!L20</f>
        <v>0</v>
      </c>
      <c r="L32" s="219">
        <f>CFS!M20</f>
        <v>0</v>
      </c>
      <c r="M32" s="219">
        <f>CFS!N20</f>
        <v>0</v>
      </c>
      <c r="N32" s="219">
        <f>CFS!O20</f>
        <v>0</v>
      </c>
      <c r="O32" s="219">
        <f>CFS!P20</f>
        <v>0</v>
      </c>
      <c r="P32" s="219">
        <f>CFS!Q20</f>
        <v>0</v>
      </c>
      <c r="Q32" s="219">
        <f>CFS!R20</f>
        <v>0</v>
      </c>
      <c r="R32" s="15"/>
      <c r="S32" s="15"/>
    </row>
    <row r="33" spans="1:19" s="4" customFormat="1" ht="11.4" x14ac:dyDescent="0.2">
      <c r="A33" s="15"/>
      <c r="B33" s="15"/>
      <c r="C33" s="17"/>
      <c r="D33" s="15"/>
      <c r="E33" s="2"/>
      <c r="F33" s="15"/>
      <c r="G33" s="15"/>
      <c r="H33" s="15"/>
      <c r="I33" s="15"/>
      <c r="J33" s="15"/>
      <c r="K33" s="15"/>
      <c r="L33" s="15"/>
      <c r="M33" s="15"/>
      <c r="N33" s="15"/>
      <c r="O33" s="15"/>
      <c r="P33" s="15"/>
      <c r="Q33" s="15"/>
      <c r="R33" s="15"/>
      <c r="S33" s="15"/>
    </row>
    <row r="34" spans="1:19" x14ac:dyDescent="0.3">
      <c r="A34" s="15"/>
      <c r="B34" s="15"/>
      <c r="C34" s="22" t="s">
        <v>18</v>
      </c>
      <c r="D34" s="20"/>
      <c r="E34" s="2"/>
      <c r="F34" s="15"/>
      <c r="G34" s="15"/>
      <c r="H34" s="15"/>
      <c r="I34" s="15"/>
      <c r="J34" s="15"/>
      <c r="K34" s="15"/>
      <c r="L34" s="15"/>
      <c r="M34" s="15"/>
      <c r="N34" s="15"/>
      <c r="O34" s="15"/>
      <c r="P34" s="15"/>
      <c r="Q34" s="15"/>
      <c r="R34" s="15"/>
      <c r="S34" s="15"/>
    </row>
    <row r="35" spans="1:19" x14ac:dyDescent="0.3">
      <c r="A35" s="15"/>
      <c r="B35" s="15"/>
      <c r="C35" s="21" t="s">
        <v>17</v>
      </c>
      <c r="D35" s="2" t="s">
        <v>4</v>
      </c>
      <c r="E35" s="2" t="s">
        <v>346</v>
      </c>
      <c r="F35" s="15"/>
      <c r="G35" s="220">
        <f>Inputs!$F$48</f>
        <v>38116</v>
      </c>
      <c r="H35" s="219">
        <f t="shared" ref="H35:Q35" si="13">G36</f>
        <v>38116</v>
      </c>
      <c r="I35" s="219">
        <f t="shared" si="13"/>
        <v>25250</v>
      </c>
      <c r="J35" s="219">
        <f t="shared" si="13"/>
        <v>12384</v>
      </c>
      <c r="K35" s="219">
        <f t="shared" si="13"/>
        <v>0</v>
      </c>
      <c r="L35" s="219">
        <f t="shared" si="13"/>
        <v>0</v>
      </c>
      <c r="M35" s="219">
        <f t="shared" si="13"/>
        <v>0</v>
      </c>
      <c r="N35" s="219">
        <f t="shared" si="13"/>
        <v>0</v>
      </c>
      <c r="O35" s="219">
        <f t="shared" si="13"/>
        <v>0</v>
      </c>
      <c r="P35" s="219">
        <f t="shared" si="13"/>
        <v>0</v>
      </c>
      <c r="Q35" s="219">
        <f t="shared" si="13"/>
        <v>0</v>
      </c>
      <c r="R35" s="15"/>
      <c r="S35" s="15"/>
    </row>
    <row r="36" spans="1:19" x14ac:dyDescent="0.3">
      <c r="A36" s="15"/>
      <c r="B36" s="15"/>
      <c r="C36" s="21" t="s">
        <v>16</v>
      </c>
      <c r="D36" s="2" t="s">
        <v>4</v>
      </c>
      <c r="E36" s="2" t="s">
        <v>346</v>
      </c>
      <c r="F36" s="15"/>
      <c r="G36" s="220">
        <f>Inputs!$F$48</f>
        <v>38116</v>
      </c>
      <c r="H36" s="219">
        <f>G36-H37</f>
        <v>25250</v>
      </c>
      <c r="I36" s="219">
        <f t="shared" ref="I36:Q36" si="14">H36-I37</f>
        <v>12384</v>
      </c>
      <c r="J36" s="219">
        <f t="shared" si="14"/>
        <v>0</v>
      </c>
      <c r="K36" s="219">
        <f t="shared" si="14"/>
        <v>0</v>
      </c>
      <c r="L36" s="219">
        <f t="shared" si="14"/>
        <v>0</v>
      </c>
      <c r="M36" s="219">
        <f t="shared" si="14"/>
        <v>0</v>
      </c>
      <c r="N36" s="219">
        <f t="shared" si="14"/>
        <v>0</v>
      </c>
      <c r="O36" s="219">
        <f t="shared" si="14"/>
        <v>0</v>
      </c>
      <c r="P36" s="219">
        <f t="shared" si="14"/>
        <v>0</v>
      </c>
      <c r="Q36" s="219">
        <f t="shared" si="14"/>
        <v>0</v>
      </c>
      <c r="R36" s="15"/>
      <c r="S36" s="15"/>
    </row>
    <row r="37" spans="1:19" x14ac:dyDescent="0.3">
      <c r="A37" s="15"/>
      <c r="B37" s="15"/>
      <c r="C37" s="21" t="s">
        <v>15</v>
      </c>
      <c r="D37" s="2" t="s">
        <v>4</v>
      </c>
      <c r="E37" s="2" t="s">
        <v>346</v>
      </c>
      <c r="F37" s="221">
        <f>H37/G35</f>
        <v>0.3375485360478539</v>
      </c>
      <c r="G37" s="222"/>
      <c r="H37" s="219">
        <f>-CFS!H20</f>
        <v>12866</v>
      </c>
      <c r="I37" s="219">
        <f>-CFS!I20</f>
        <v>12866</v>
      </c>
      <c r="J37" s="219">
        <f>J35</f>
        <v>12384</v>
      </c>
      <c r="K37" s="219">
        <v>0</v>
      </c>
      <c r="L37" s="219">
        <v>0</v>
      </c>
      <c r="M37" s="219">
        <v>0</v>
      </c>
      <c r="N37" s="219">
        <v>0</v>
      </c>
      <c r="O37" s="219">
        <v>0</v>
      </c>
      <c r="P37" s="219">
        <v>0</v>
      </c>
      <c r="Q37" s="219">
        <v>0</v>
      </c>
      <c r="R37" s="15"/>
      <c r="S37" s="15"/>
    </row>
    <row r="38" spans="1:19" x14ac:dyDescent="0.3">
      <c r="A38" s="15"/>
      <c r="B38" s="15"/>
      <c r="C38" s="21" t="s">
        <v>14</v>
      </c>
      <c r="D38" s="2" t="s">
        <v>4</v>
      </c>
      <c r="E38" s="2" t="s">
        <v>346</v>
      </c>
      <c r="F38" s="223">
        <f>Inputs!F47</f>
        <v>6.5000000000000002E-2</v>
      </c>
      <c r="G38" s="219">
        <f>$F$38*AVERAGE(G35:G36)</f>
        <v>2477.54</v>
      </c>
      <c r="H38" s="219">
        <f>$F$38*AVERAGE(H35:H36)</f>
        <v>2059.395</v>
      </c>
      <c r="I38" s="219">
        <f t="shared" ref="I38:Q38" si="15">$F$38*AVERAGE(I35:I36)</f>
        <v>1223.105</v>
      </c>
      <c r="J38" s="219">
        <f t="shared" si="15"/>
        <v>402.48</v>
      </c>
      <c r="K38" s="219">
        <f t="shared" si="15"/>
        <v>0</v>
      </c>
      <c r="L38" s="219">
        <f t="shared" si="15"/>
        <v>0</v>
      </c>
      <c r="M38" s="219">
        <f t="shared" si="15"/>
        <v>0</v>
      </c>
      <c r="N38" s="219">
        <f t="shared" si="15"/>
        <v>0</v>
      </c>
      <c r="O38" s="219">
        <f t="shared" si="15"/>
        <v>0</v>
      </c>
      <c r="P38" s="219">
        <f t="shared" si="15"/>
        <v>0</v>
      </c>
      <c r="Q38" s="219">
        <f t="shared" si="15"/>
        <v>0</v>
      </c>
      <c r="R38" s="15"/>
      <c r="S38" s="15"/>
    </row>
    <row r="39" spans="1:19" x14ac:dyDescent="0.3">
      <c r="A39" s="15"/>
      <c r="B39" s="15"/>
      <c r="C39" s="1" t="s">
        <v>13</v>
      </c>
      <c r="D39" s="2" t="s">
        <v>4</v>
      </c>
      <c r="E39" s="2" t="s">
        <v>346</v>
      </c>
      <c r="F39" s="15"/>
      <c r="G39" s="219">
        <f>+Inputs!G82*IS!G24</f>
        <v>7252</v>
      </c>
      <c r="H39" s="219">
        <f>+Inputs!H82*IS!H24</f>
        <v>8880.0966568713538</v>
      </c>
      <c r="I39" s="219">
        <f>+Inputs!I82*IS!I24</f>
        <v>10274.29155937541</v>
      </c>
      <c r="J39" s="219">
        <f>+Inputs!J82*IS!J24</f>
        <v>11715.328721653817</v>
      </c>
      <c r="K39" s="219">
        <f>+Inputs!K82*IS!K24</f>
        <v>13266.782061975809</v>
      </c>
      <c r="L39" s="219">
        <f>+Inputs!L82*IS!L24</f>
        <v>14954.388831534916</v>
      </c>
      <c r="M39" s="219">
        <f>+Inputs!M82*IS!M24</f>
        <v>16804.508900970231</v>
      </c>
      <c r="N39" s="219">
        <f>+Inputs!N82*IS!N24</f>
        <v>18836.359610012954</v>
      </c>
      <c r="O39" s="219">
        <f>+Inputs!O82*IS!O24</f>
        <v>21066.690217267587</v>
      </c>
      <c r="P39" s="219">
        <f>+Inputs!P82*IS!P24</f>
        <v>23513.761279596671</v>
      </c>
      <c r="Q39" s="219" t="e">
        <f>+Inputs!#REF!*IS!Q24</f>
        <v>#REF!</v>
      </c>
      <c r="R39" s="15"/>
      <c r="S39" s="15"/>
    </row>
    <row r="40" spans="1:19" x14ac:dyDescent="0.3">
      <c r="A40" s="15"/>
      <c r="B40" s="15"/>
      <c r="C40" s="17"/>
      <c r="D40" s="20"/>
      <c r="E40" s="2"/>
      <c r="F40" s="15"/>
      <c r="G40" s="15"/>
      <c r="H40" s="15"/>
      <c r="I40" s="15"/>
      <c r="J40" s="15"/>
      <c r="K40" s="15"/>
      <c r="L40" s="15"/>
      <c r="M40" s="15"/>
      <c r="N40" s="15"/>
      <c r="O40" s="15"/>
      <c r="P40" s="15"/>
      <c r="Q40" s="15"/>
      <c r="R40" s="15"/>
      <c r="S40" s="15"/>
    </row>
    <row r="41" spans="1:19" s="4" customFormat="1" ht="11.4" x14ac:dyDescent="0.2">
      <c r="A41" s="15"/>
      <c r="B41" s="15"/>
      <c r="C41" s="19" t="s">
        <v>12</v>
      </c>
      <c r="D41" s="18"/>
      <c r="E41" s="18"/>
      <c r="F41" s="18"/>
      <c r="G41" s="18"/>
      <c r="H41" s="18"/>
      <c r="I41" s="18"/>
      <c r="J41" s="18"/>
      <c r="K41" s="18"/>
      <c r="L41" s="18"/>
      <c r="M41" s="18"/>
      <c r="N41" s="18"/>
      <c r="O41" s="18"/>
      <c r="P41" s="18"/>
      <c r="Q41" s="18"/>
      <c r="R41" s="18"/>
      <c r="S41" s="18"/>
    </row>
    <row r="42" spans="1:19" s="4" customFormat="1" ht="11.4" x14ac:dyDescent="0.2">
      <c r="A42" s="15"/>
      <c r="B42" s="15"/>
      <c r="C42" s="1" t="s">
        <v>11</v>
      </c>
      <c r="D42" s="2" t="s">
        <v>4</v>
      </c>
      <c r="E42" s="2" t="s">
        <v>346</v>
      </c>
      <c r="F42" s="192"/>
      <c r="G42" s="193">
        <f>Inputs!G52</f>
        <v>1400</v>
      </c>
      <c r="H42" s="193">
        <f>Inputs!H52</f>
        <v>1586.298</v>
      </c>
      <c r="I42" s="193">
        <f>Inputs!I52</f>
        <v>1754.7112929149998</v>
      </c>
      <c r="J42" s="193">
        <f>Inputs!J52</f>
        <v>1920.8263015926771</v>
      </c>
      <c r="K42" s="193">
        <f>Inputs!K52</f>
        <v>2095.7770819680395</v>
      </c>
      <c r="L42" s="193">
        <f>Inputs!L52</f>
        <v>2283.3459871385562</v>
      </c>
      <c r="M42" s="193">
        <f>Inputs!M52</f>
        <v>2486.9793489635467</v>
      </c>
      <c r="N42" s="193">
        <f>Inputs!N52</f>
        <v>2708.7731412628136</v>
      </c>
      <c r="O42" s="193">
        <f>Inputs!O52</f>
        <v>2950.3469475469133</v>
      </c>
      <c r="P42" s="193">
        <f>Inputs!P52</f>
        <v>3213.4647890230422</v>
      </c>
      <c r="Q42" s="193">
        <f>Inputs!Q52</f>
        <v>3500.0480058376947</v>
      </c>
      <c r="R42" s="15"/>
      <c r="S42" s="15"/>
    </row>
    <row r="43" spans="1:19" s="4" customFormat="1" ht="11.4" x14ac:dyDescent="0.2">
      <c r="A43" s="15"/>
      <c r="B43" s="15"/>
      <c r="C43" s="16" t="s">
        <v>355</v>
      </c>
      <c r="D43" s="2"/>
      <c r="E43" s="2"/>
      <c r="F43" s="15"/>
      <c r="G43" s="191">
        <f>G42/G8</f>
        <v>3.6217824343551933E-2</v>
      </c>
      <c r="H43" s="191">
        <f>G43</f>
        <v>3.6217824343551933E-2</v>
      </c>
      <c r="I43" s="191">
        <f t="shared" ref="I43:Q43" si="16">H43</f>
        <v>3.6217824343551933E-2</v>
      </c>
      <c r="J43" s="191">
        <f t="shared" si="16"/>
        <v>3.6217824343551933E-2</v>
      </c>
      <c r="K43" s="191">
        <f t="shared" si="16"/>
        <v>3.6217824343551933E-2</v>
      </c>
      <c r="L43" s="191">
        <f t="shared" si="16"/>
        <v>3.6217824343551933E-2</v>
      </c>
      <c r="M43" s="191">
        <f t="shared" si="16"/>
        <v>3.6217824343551933E-2</v>
      </c>
      <c r="N43" s="191">
        <f t="shared" si="16"/>
        <v>3.6217824343551933E-2</v>
      </c>
      <c r="O43" s="191">
        <f t="shared" si="16"/>
        <v>3.6217824343551933E-2</v>
      </c>
      <c r="P43" s="191">
        <f t="shared" si="16"/>
        <v>3.6217824343551933E-2</v>
      </c>
      <c r="Q43" s="191">
        <f t="shared" si="16"/>
        <v>3.6217824343551933E-2</v>
      </c>
      <c r="R43" s="15"/>
      <c r="S43" s="15"/>
    </row>
    <row r="44" spans="1:19" s="4" customFormat="1" ht="11.4" x14ac:dyDescent="0.2">
      <c r="A44" s="15"/>
      <c r="B44" s="15"/>
      <c r="C44" s="1" t="s">
        <v>9</v>
      </c>
      <c r="D44" s="2" t="s">
        <v>68</v>
      </c>
      <c r="E44" s="2" t="s">
        <v>346</v>
      </c>
      <c r="F44" s="15"/>
      <c r="G44" s="175">
        <f>Inputs!G54</f>
        <v>1452</v>
      </c>
      <c r="H44" s="175">
        <f>Inputs!H54</f>
        <v>1645.2176400000001</v>
      </c>
      <c r="I44" s="175">
        <f>Inputs!I54</f>
        <v>1819.8862837946999</v>
      </c>
      <c r="J44" s="175">
        <f>Inputs!J54</f>
        <v>1992.1712785089765</v>
      </c>
      <c r="K44" s="175">
        <f>Inputs!K54</f>
        <v>2173.6202307268522</v>
      </c>
      <c r="L44" s="175">
        <f>Inputs!L54</f>
        <v>2368.1559809465598</v>
      </c>
      <c r="M44" s="175">
        <f>Inputs!M54</f>
        <v>2579.3528676393357</v>
      </c>
      <c r="N44" s="175">
        <f>Inputs!N54</f>
        <v>2809.3847150811466</v>
      </c>
      <c r="O44" s="175">
        <f>Inputs!O54</f>
        <v>3059.9312627415129</v>
      </c>
      <c r="P44" s="175">
        <f>Inputs!P54</f>
        <v>3332.8220526153268</v>
      </c>
      <c r="Q44" s="175">
        <f>Inputs!Q54</f>
        <v>3630.0497889116664</v>
      </c>
      <c r="R44" s="15"/>
      <c r="S44" s="15"/>
    </row>
    <row r="45" spans="1:19" s="4" customFormat="1" ht="11.4" x14ac:dyDescent="0.2">
      <c r="A45" s="15"/>
      <c r="B45" s="15"/>
      <c r="C45" s="16" t="s">
        <v>356</v>
      </c>
      <c r="D45" s="2" t="s">
        <v>4</v>
      </c>
      <c r="E45" s="2" t="s">
        <v>1</v>
      </c>
      <c r="F45" s="15"/>
      <c r="G45" s="191">
        <f>G44/G8</f>
        <v>3.7563057819169576E-2</v>
      </c>
      <c r="H45" s="191">
        <f>G45</f>
        <v>3.7563057819169576E-2</v>
      </c>
      <c r="I45" s="191">
        <f t="shared" ref="I45:Q45" si="17">H45</f>
        <v>3.7563057819169576E-2</v>
      </c>
      <c r="J45" s="191">
        <f t="shared" si="17"/>
        <v>3.7563057819169576E-2</v>
      </c>
      <c r="K45" s="191">
        <f t="shared" si="17"/>
        <v>3.7563057819169576E-2</v>
      </c>
      <c r="L45" s="191">
        <f t="shared" si="17"/>
        <v>3.7563057819169576E-2</v>
      </c>
      <c r="M45" s="191">
        <f t="shared" si="17"/>
        <v>3.7563057819169576E-2</v>
      </c>
      <c r="N45" s="191">
        <f t="shared" si="17"/>
        <v>3.7563057819169576E-2</v>
      </c>
      <c r="O45" s="191">
        <f t="shared" si="17"/>
        <v>3.7563057819169576E-2</v>
      </c>
      <c r="P45" s="191">
        <f t="shared" si="17"/>
        <v>3.7563057819169576E-2</v>
      </c>
      <c r="Q45" s="191">
        <f t="shared" si="17"/>
        <v>3.7563057819169576E-2</v>
      </c>
      <c r="R45" s="15"/>
      <c r="S45" s="15"/>
    </row>
    <row r="46" spans="1:19" x14ac:dyDescent="0.3">
      <c r="A46" s="1"/>
      <c r="B46" s="1"/>
      <c r="C46" s="1"/>
      <c r="D46" s="1"/>
      <c r="E46" s="2"/>
      <c r="F46" s="1"/>
      <c r="G46" s="1"/>
      <c r="H46" s="1"/>
      <c r="I46" s="1"/>
      <c r="J46" s="1"/>
      <c r="K46" s="1"/>
      <c r="L46" s="1"/>
      <c r="M46" s="1"/>
      <c r="N46" s="1"/>
      <c r="O46" s="1"/>
      <c r="P46" s="1"/>
      <c r="Q46" s="1"/>
      <c r="R46" s="1"/>
      <c r="S46" s="1"/>
    </row>
    <row r="47" spans="1:19" s="4" customFormat="1" ht="11.4" x14ac:dyDescent="0.2">
      <c r="A47" s="1"/>
      <c r="B47" s="1"/>
      <c r="C47" s="8" t="s">
        <v>6</v>
      </c>
      <c r="D47" s="3"/>
      <c r="E47" s="3"/>
      <c r="F47" s="3"/>
      <c r="G47" s="3"/>
      <c r="H47" s="3"/>
      <c r="I47" s="3"/>
      <c r="J47" s="3"/>
      <c r="K47" s="3"/>
      <c r="L47" s="3"/>
      <c r="M47" s="3"/>
      <c r="N47" s="3"/>
      <c r="O47" s="3"/>
      <c r="P47" s="3"/>
      <c r="Q47" s="3"/>
      <c r="R47" s="3"/>
      <c r="S47" s="3"/>
    </row>
    <row r="48" spans="1:19" s="4" customFormat="1" ht="11.4" x14ac:dyDescent="0.2">
      <c r="A48" s="1"/>
      <c r="B48" s="1"/>
      <c r="C48" s="7" t="s">
        <v>8</v>
      </c>
      <c r="D48" s="1"/>
      <c r="E48" s="2" t="s">
        <v>346</v>
      </c>
      <c r="F48" s="1"/>
      <c r="G48" s="1"/>
      <c r="H48" s="1"/>
      <c r="I48" s="1"/>
      <c r="J48" s="1"/>
      <c r="K48" s="1"/>
      <c r="L48" s="1"/>
      <c r="M48" s="1"/>
      <c r="N48" s="1"/>
      <c r="O48" s="1"/>
      <c r="P48" s="1"/>
      <c r="Q48" s="1"/>
      <c r="R48" s="1"/>
      <c r="S48" s="1"/>
    </row>
    <row r="49" spans="1:19" s="4" customFormat="1" ht="11.4" x14ac:dyDescent="0.2">
      <c r="A49" s="1"/>
      <c r="B49" s="1"/>
      <c r="C49" s="1" t="s">
        <v>6</v>
      </c>
      <c r="D49" s="2" t="s">
        <v>4</v>
      </c>
      <c r="E49" s="2" t="s">
        <v>1</v>
      </c>
      <c r="F49" s="197">
        <f>Inputs!F63</f>
        <v>0.21094567404426559</v>
      </c>
      <c r="G49" s="198">
        <f>IF(G50&gt;0,G50*$F$49,0)</f>
        <v>2174.4280080482895</v>
      </c>
      <c r="H49" s="198">
        <f t="shared" ref="H49:P49" si="18">IF(H50&gt;0,H50*$F$49,0)</f>
        <v>2615.1001954478875</v>
      </c>
      <c r="I49" s="198">
        <f t="shared" si="18"/>
        <v>3051.3989688565889</v>
      </c>
      <c r="J49" s="198">
        <f t="shared" si="18"/>
        <v>3504.8945504889543</v>
      </c>
      <c r="K49" s="198">
        <f t="shared" si="18"/>
        <v>3994.3797955371501</v>
      </c>
      <c r="L49" s="198">
        <f t="shared" si="18"/>
        <v>4527.6941095481343</v>
      </c>
      <c r="M49" s="198">
        <f t="shared" si="18"/>
        <v>5113.0029148756739</v>
      </c>
      <c r="N49" s="198">
        <f t="shared" si="18"/>
        <v>5756.3919777316269</v>
      </c>
      <c r="O49" s="198">
        <f t="shared" si="18"/>
        <v>6463.2315640668094</v>
      </c>
      <c r="P49" s="198">
        <f t="shared" si="18"/>
        <v>7239.3770447885963</v>
      </c>
      <c r="Q49" s="198">
        <f t="shared" ref="Q49" si="19">IF(Q50&gt;0,Q50*$F$49,0)</f>
        <v>8091.2123584254632</v>
      </c>
      <c r="R49" s="1"/>
      <c r="S49" s="1"/>
    </row>
    <row r="50" spans="1:19" s="4" customFormat="1" ht="11.4" x14ac:dyDescent="0.2">
      <c r="A50" s="1"/>
      <c r="B50" s="1"/>
      <c r="C50" s="6" t="s">
        <v>5</v>
      </c>
      <c r="D50" s="2" t="s">
        <v>4</v>
      </c>
      <c r="E50" s="2" t="s">
        <v>346</v>
      </c>
      <c r="F50" s="1"/>
      <c r="G50" s="198">
        <f>Valuation!G12</f>
        <v>10308</v>
      </c>
      <c r="H50" s="198">
        <f>Valuation!H12</f>
        <v>12397.031640000001</v>
      </c>
      <c r="I50" s="198">
        <f>Valuation!I12</f>
        <v>14465.330861519695</v>
      </c>
      <c r="J50" s="198">
        <f>Valuation!J12</f>
        <v>16615.152533317534</v>
      </c>
      <c r="K50" s="198">
        <f>Valuation!K12</f>
        <v>18935.585257363255</v>
      </c>
      <c r="L50" s="198">
        <f>Valuation!L12</f>
        <v>21463.792182806399</v>
      </c>
      <c r="M50" s="198">
        <f>Valuation!M12</f>
        <v>24238.481960064957</v>
      </c>
      <c r="N50" s="198">
        <f>Valuation!N12</f>
        <v>27288.504510994073</v>
      </c>
      <c r="O50" s="198">
        <f>Valuation!O12</f>
        <v>30639.317887649795</v>
      </c>
      <c r="P50" s="198">
        <f>Valuation!P12</f>
        <v>34318.679809804773</v>
      </c>
      <c r="Q50" s="198">
        <f>Valuation!Q12</f>
        <v>38356.853702188622</v>
      </c>
      <c r="R50" s="1"/>
      <c r="S50" s="1"/>
    </row>
    <row r="51" spans="1:19" s="4" customFormat="1" ht="11.4" x14ac:dyDescent="0.2">
      <c r="A51" s="1"/>
      <c r="B51" s="1"/>
      <c r="C51" s="1"/>
      <c r="D51" s="2"/>
      <c r="E51" s="2"/>
      <c r="F51" s="1"/>
      <c r="G51" s="198"/>
      <c r="H51" s="198"/>
      <c r="I51" s="198"/>
      <c r="J51" s="198"/>
      <c r="K51" s="198"/>
      <c r="L51" s="198"/>
      <c r="M51" s="198"/>
      <c r="N51" s="198"/>
      <c r="O51" s="198"/>
      <c r="P51" s="198"/>
      <c r="Q51" s="198"/>
      <c r="R51" s="1"/>
      <c r="S51" s="1"/>
    </row>
    <row r="52" spans="1:19" s="4" customFormat="1" ht="11.4" x14ac:dyDescent="0.2">
      <c r="A52" s="1"/>
      <c r="B52" s="1"/>
      <c r="C52" s="7" t="s">
        <v>7</v>
      </c>
      <c r="D52" s="1"/>
      <c r="E52" s="2"/>
      <c r="F52" s="1"/>
      <c r="G52" s="1"/>
      <c r="H52" s="1"/>
      <c r="I52" s="1"/>
      <c r="J52" s="1"/>
      <c r="K52" s="1"/>
      <c r="L52" s="1"/>
      <c r="M52" s="1"/>
      <c r="N52" s="1"/>
      <c r="O52" s="1"/>
      <c r="P52" s="1"/>
      <c r="Q52" s="1"/>
      <c r="R52" s="1"/>
      <c r="S52" s="1"/>
    </row>
    <row r="53" spans="1:19" s="4" customFormat="1" ht="11.4" x14ac:dyDescent="0.2">
      <c r="A53" s="1"/>
      <c r="B53" s="1"/>
      <c r="C53" s="1" t="s">
        <v>6</v>
      </c>
      <c r="D53" s="2" t="s">
        <v>4</v>
      </c>
      <c r="E53" s="2" t="s">
        <v>346</v>
      </c>
      <c r="F53" s="1"/>
      <c r="G53" s="198">
        <f>IF(G54&gt;0,G54*$F$49,0)</f>
        <v>2621</v>
      </c>
      <c r="H53" s="198">
        <f t="shared" ref="H53:Q53" si="20">IF(H54&gt;0,H54*$F$49,0)</f>
        <v>3121.0975223686119</v>
      </c>
      <c r="I53" s="198">
        <f t="shared" si="20"/>
        <v>3611.1167669831693</v>
      </c>
      <c r="J53" s="198">
        <f t="shared" si="20"/>
        <v>4117.5997131285812</v>
      </c>
      <c r="K53" s="198">
        <f t="shared" si="20"/>
        <v>4662.8907570951569</v>
      </c>
      <c r="L53" s="198">
        <f t="shared" si="20"/>
        <v>5256.0357993991402</v>
      </c>
      <c r="M53" s="198">
        <f t="shared" si="20"/>
        <v>5906.2995733109728</v>
      </c>
      <c r="N53" s="198">
        <f t="shared" si="20"/>
        <v>6620.4364187595029</v>
      </c>
      <c r="O53" s="198">
        <f t="shared" si="20"/>
        <v>7404.3332164344329</v>
      </c>
      <c r="P53" s="198">
        <f t="shared" si="20"/>
        <v>8264.408024717668</v>
      </c>
      <c r="Q53" s="198">
        <f t="shared" si="20"/>
        <v>9207.6576512065712</v>
      </c>
      <c r="R53" s="1"/>
      <c r="S53" s="1"/>
    </row>
    <row r="54" spans="1:19" s="4" customFormat="1" ht="11.4" x14ac:dyDescent="0.2">
      <c r="A54" s="1"/>
      <c r="B54" s="1"/>
      <c r="C54" s="6" t="s">
        <v>5</v>
      </c>
      <c r="D54" s="2" t="s">
        <v>4</v>
      </c>
      <c r="E54" s="2" t="s">
        <v>346</v>
      </c>
      <c r="F54" s="1"/>
      <c r="G54" s="198">
        <f>Valuation!G18</f>
        <v>12425</v>
      </c>
      <c r="H54" s="198">
        <f>Valuation!H18</f>
        <v>14795.740830000001</v>
      </c>
      <c r="I54" s="198">
        <f>Valuation!I18</f>
        <v>17118.705009449019</v>
      </c>
      <c r="J54" s="198">
        <f>Valuation!J18</f>
        <v>19519.716305083031</v>
      </c>
      <c r="K54" s="198">
        <f>Valuation!K18</f>
        <v>22104.699602024924</v>
      </c>
      <c r="L54" s="198">
        <f>Valuation!L18</f>
        <v>24916.53750764377</v>
      </c>
      <c r="M54" s="198">
        <f>Valuation!M18</f>
        <v>27999.150018461976</v>
      </c>
      <c r="N54" s="198">
        <f>Valuation!N18</f>
        <v>31384.556468175058</v>
      </c>
      <c r="O54" s="198">
        <f>Valuation!O18</f>
        <v>35100.66395047609</v>
      </c>
      <c r="P54" s="198">
        <f>Valuation!P18</f>
        <v>39177.897637206042</v>
      </c>
      <c r="Q54" s="198">
        <f>Valuation!Q18</f>
        <v>43649.426293873199</v>
      </c>
      <c r="R54" s="1"/>
      <c r="S54" s="1"/>
    </row>
    <row r="55" spans="1:19" s="4" customFormat="1" ht="11.4" x14ac:dyDescent="0.2">
      <c r="A55" s="1"/>
      <c r="B55" s="1"/>
      <c r="C55" s="5"/>
      <c r="D55" s="1"/>
      <c r="E55" s="2" t="s">
        <v>2</v>
      </c>
      <c r="F55" s="1"/>
      <c r="G55" s="1"/>
      <c r="H55" s="1"/>
      <c r="I55" s="1"/>
      <c r="J55" s="1"/>
      <c r="K55" s="1"/>
      <c r="L55" s="1"/>
      <c r="M55" s="1"/>
      <c r="N55" s="1"/>
      <c r="O55" s="1"/>
      <c r="P55" s="1"/>
      <c r="Q55" s="1"/>
      <c r="R55" s="1"/>
      <c r="S55" s="1"/>
    </row>
    <row r="56" spans="1:19" hidden="1" x14ac:dyDescent="0.3">
      <c r="E56" s="1"/>
    </row>
    <row r="57" spans="1:19" hidden="1" x14ac:dyDescent="0.3">
      <c r="E57" s="3"/>
    </row>
    <row r="58" spans="1:19" hidden="1" x14ac:dyDescent="0.3">
      <c r="E58" s="1"/>
    </row>
    <row r="59" spans="1:19" hidden="1" x14ac:dyDescent="0.3">
      <c r="E59" s="2" t="s">
        <v>1</v>
      </c>
    </row>
    <row r="60" spans="1:19" hidden="1" x14ac:dyDescent="0.3">
      <c r="E60" s="2" t="s">
        <v>1</v>
      </c>
    </row>
    <row r="61" spans="1:19" hidden="1" x14ac:dyDescent="0.3">
      <c r="E61" s="2" t="s">
        <v>1</v>
      </c>
    </row>
    <row r="62" spans="1:19" hidden="1" x14ac:dyDescent="0.3">
      <c r="E62" s="2"/>
    </row>
    <row r="63" spans="1:19" hidden="1" x14ac:dyDescent="0.3">
      <c r="E63" s="2" t="s">
        <v>1</v>
      </c>
    </row>
    <row r="64" spans="1:19" hidden="1" x14ac:dyDescent="0.3">
      <c r="E64" s="2" t="s">
        <v>1</v>
      </c>
    </row>
    <row r="65" spans="5:5" hidden="1" x14ac:dyDescent="0.3">
      <c r="E65" s="2" t="s">
        <v>1</v>
      </c>
    </row>
    <row r="66" spans="5:5" x14ac:dyDescent="0.3"/>
    <row r="67" spans="5:5" hidden="1" x14ac:dyDescent="0.3">
      <c r="E67" s="2" t="s">
        <v>0</v>
      </c>
    </row>
    <row r="68" spans="5:5" hidden="1" x14ac:dyDescent="0.3">
      <c r="E68" s="2" t="s">
        <v>0</v>
      </c>
    </row>
    <row r="69" spans="5:5" x14ac:dyDescent="0.3"/>
    <row r="70" spans="5:5" hidden="1" x14ac:dyDescent="0.3">
      <c r="E70" s="1"/>
    </row>
    <row r="71" spans="5:5" hidden="1" x14ac:dyDescent="0.3">
      <c r="E71" s="1"/>
    </row>
    <row r="72" spans="5:5" hidden="1" x14ac:dyDescent="0.3">
      <c r="E72" s="1"/>
    </row>
    <row r="73" spans="5:5" hidden="1" x14ac:dyDescent="0.3">
      <c r="E73" s="1"/>
    </row>
    <row r="74" spans="5:5" hidden="1" x14ac:dyDescent="0.3">
      <c r="E74" s="1"/>
    </row>
    <row r="75" spans="5:5" hidden="1" x14ac:dyDescent="0.3">
      <c r="E75" s="1"/>
    </row>
    <row r="76" spans="5:5" hidden="1" x14ac:dyDescent="0.3">
      <c r="E76" s="1"/>
    </row>
    <row r="77" spans="5:5" hidden="1" x14ac:dyDescent="0.3">
      <c r="E77" s="1"/>
    </row>
    <row r="78" spans="5:5" hidden="1" x14ac:dyDescent="0.3">
      <c r="E78" s="1"/>
    </row>
    <row r="79" spans="5:5" hidden="1" x14ac:dyDescent="0.3">
      <c r="E79" s="1"/>
    </row>
    <row r="80" spans="5:5" hidden="1" x14ac:dyDescent="0.3">
      <c r="E80" s="1"/>
    </row>
    <row r="81" spans="5:5" hidden="1" x14ac:dyDescent="0.3">
      <c r="E81" s="1"/>
    </row>
    <row r="82" spans="5:5" hidden="1" x14ac:dyDescent="0.3">
      <c r="E82" s="1"/>
    </row>
    <row r="83" spans="5:5" hidden="1" x14ac:dyDescent="0.3">
      <c r="E83" s="1"/>
    </row>
    <row r="84" spans="5:5" hidden="1" x14ac:dyDescent="0.3">
      <c r="E84" s="1"/>
    </row>
    <row r="85" spans="5:5" hidden="1" x14ac:dyDescent="0.3">
      <c r="E85" s="1"/>
    </row>
    <row r="86" spans="5:5" hidden="1" x14ac:dyDescent="0.3">
      <c r="E86" s="1"/>
    </row>
    <row r="87" spans="5:5" hidden="1" x14ac:dyDescent="0.3">
      <c r="E87" s="1"/>
    </row>
    <row r="88" spans="5:5" hidden="1" x14ac:dyDescent="0.3">
      <c r="E88" s="1"/>
    </row>
    <row r="89" spans="5:5" hidden="1" x14ac:dyDescent="0.3">
      <c r="E89" s="1"/>
    </row>
    <row r="90" spans="5:5" hidden="1" x14ac:dyDescent="0.3">
      <c r="E90" s="1"/>
    </row>
    <row r="91" spans="5:5" hidden="1" x14ac:dyDescent="0.3">
      <c r="E91" s="1"/>
    </row>
    <row r="92" spans="5:5" hidden="1" x14ac:dyDescent="0.3">
      <c r="E92" s="1"/>
    </row>
    <row r="93" spans="5:5" hidden="1" x14ac:dyDescent="0.3">
      <c r="E93" s="1"/>
    </row>
    <row r="94" spans="5:5" x14ac:dyDescent="0.3"/>
    <row r="95" spans="5:5" x14ac:dyDescent="0.3"/>
    <row r="96" spans="5:5" x14ac:dyDescent="0.3"/>
    <row r="97" x14ac:dyDescent="0.3"/>
    <row r="98" x14ac:dyDescent="0.3"/>
    <row r="99" x14ac:dyDescent="0.3"/>
    <row r="100" x14ac:dyDescent="0.3"/>
    <row r="101" x14ac:dyDescent="0.3"/>
    <row r="102" x14ac:dyDescent="0.3"/>
    <row r="103" x14ac:dyDescent="0.3"/>
    <row r="104" x14ac:dyDescent="0.3"/>
    <row r="105" x14ac:dyDescent="0.3"/>
    <row r="106" x14ac:dyDescent="0.3"/>
    <row r="107" x14ac:dyDescent="0.3"/>
    <row r="108" x14ac:dyDescent="0.3"/>
    <row r="109" x14ac:dyDescent="0.3"/>
    <row r="110" x14ac:dyDescent="0.3"/>
    <row r="111" x14ac:dyDescent="0.3"/>
    <row r="112" x14ac:dyDescent="0.3"/>
    <row r="113" x14ac:dyDescent="0.3"/>
    <row r="114" x14ac:dyDescent="0.3"/>
    <row r="115" x14ac:dyDescent="0.3"/>
    <row r="116" x14ac:dyDescent="0.3"/>
    <row r="117" x14ac:dyDescent="0.3"/>
    <row r="118" x14ac:dyDescent="0.3"/>
    <row r="119" x14ac:dyDescent="0.3"/>
  </sheetData>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5" tint="0.39997558519241921"/>
  </sheetPr>
  <dimension ref="A1:CC137"/>
  <sheetViews>
    <sheetView showGridLines="0" zoomScale="131" zoomScaleNormal="131" workbookViewId="0">
      <selection activeCell="G48" sqref="G48"/>
    </sheetView>
  </sheetViews>
  <sheetFormatPr defaultColWidth="0" defaultRowHeight="14.4" x14ac:dyDescent="0.3"/>
  <cols>
    <col min="1" max="1" width="3" customWidth="1"/>
    <col min="2" max="2" width="5.88671875" customWidth="1"/>
    <col min="3" max="3" width="40.5546875" customWidth="1"/>
    <col min="4" max="6" width="9.109375" customWidth="1"/>
    <col min="7" max="7" width="10.33203125" customWidth="1"/>
    <col min="8" max="19" width="9.109375" customWidth="1"/>
    <col min="20" max="81" width="0" hidden="1" customWidth="1"/>
    <col min="82" max="16384" width="9.109375" hidden="1"/>
  </cols>
  <sheetData>
    <row r="1" spans="1:19" ht="15.6" x14ac:dyDescent="0.3">
      <c r="A1" s="33" t="s">
        <v>345</v>
      </c>
      <c r="B1" s="30"/>
      <c r="C1" s="30"/>
      <c r="D1" s="30"/>
      <c r="E1" s="30"/>
      <c r="F1" s="30"/>
      <c r="G1" s="30"/>
      <c r="H1" s="30"/>
      <c r="I1" s="30"/>
      <c r="J1" s="30"/>
      <c r="K1" s="30"/>
      <c r="L1" s="30"/>
      <c r="M1" s="30"/>
      <c r="N1" s="30"/>
      <c r="O1" s="30"/>
      <c r="P1" s="30"/>
      <c r="Q1" s="30"/>
      <c r="R1" s="30"/>
      <c r="S1" s="30"/>
    </row>
    <row r="2" spans="1:19" ht="15.6" x14ac:dyDescent="0.3">
      <c r="A2" s="32" t="s">
        <v>45</v>
      </c>
      <c r="B2" s="31"/>
      <c r="C2" s="31"/>
      <c r="D2" s="31"/>
      <c r="E2" s="31"/>
      <c r="F2" s="31"/>
      <c r="G2" s="31"/>
      <c r="H2" s="31"/>
      <c r="I2" s="31"/>
      <c r="J2" s="31"/>
      <c r="K2" s="31"/>
      <c r="L2" s="31"/>
      <c r="M2" s="31"/>
      <c r="N2" s="31"/>
      <c r="O2" s="31"/>
      <c r="P2" s="31"/>
      <c r="Q2" s="31"/>
      <c r="R2" s="31"/>
      <c r="S2" s="31"/>
    </row>
    <row r="3" spans="1:19" x14ac:dyDescent="0.3">
      <c r="A3" s="30"/>
      <c r="B3" s="29" t="s">
        <v>44</v>
      </c>
      <c r="C3" s="28" t="s">
        <v>43</v>
      </c>
      <c r="D3" s="27" t="s">
        <v>42</v>
      </c>
      <c r="E3" s="27" t="s">
        <v>41</v>
      </c>
      <c r="F3" s="27" t="s">
        <v>40</v>
      </c>
      <c r="G3" s="27" t="str">
        <f t="shared" ref="G3:Q3" si="0">Time</f>
        <v>2021A</v>
      </c>
      <c r="H3" s="27" t="str">
        <f t="shared" si="0"/>
        <v>2022F</v>
      </c>
      <c r="I3" s="27" t="str">
        <f t="shared" si="0"/>
        <v>2023F</v>
      </c>
      <c r="J3" s="27" t="str">
        <f t="shared" si="0"/>
        <v>2024F</v>
      </c>
      <c r="K3" s="27" t="str">
        <f t="shared" si="0"/>
        <v>2025F</v>
      </c>
      <c r="L3" s="27" t="str">
        <f t="shared" si="0"/>
        <v>2026F</v>
      </c>
      <c r="M3" s="27" t="str">
        <f t="shared" si="0"/>
        <v>2027F</v>
      </c>
      <c r="N3" s="27" t="str">
        <f t="shared" si="0"/>
        <v>2028F</v>
      </c>
      <c r="O3" s="27" t="str">
        <f t="shared" si="0"/>
        <v>2029F</v>
      </c>
      <c r="P3" s="27" t="str">
        <f t="shared" si="0"/>
        <v>2030F</v>
      </c>
      <c r="Q3" s="27" t="str">
        <f t="shared" si="0"/>
        <v>2031F</v>
      </c>
      <c r="R3" s="27"/>
      <c r="S3" s="27"/>
    </row>
    <row r="4" spans="1:19" x14ac:dyDescent="0.3">
      <c r="A4" s="1"/>
      <c r="B4" s="1"/>
      <c r="C4" s="1"/>
      <c r="D4" s="1"/>
      <c r="E4" s="1"/>
      <c r="F4" s="1"/>
      <c r="G4" s="1"/>
      <c r="H4" s="1"/>
      <c r="I4" s="1"/>
      <c r="J4" s="1"/>
      <c r="K4" s="1"/>
      <c r="L4" s="1"/>
      <c r="M4" s="1"/>
      <c r="N4" s="1"/>
      <c r="O4" s="1"/>
      <c r="P4" s="1"/>
      <c r="Q4" s="1"/>
      <c r="R4" s="1"/>
      <c r="S4" s="1"/>
    </row>
    <row r="5" spans="1:19" s="4" customFormat="1" ht="11.4" x14ac:dyDescent="0.2">
      <c r="A5" s="1"/>
      <c r="B5" s="1"/>
      <c r="C5" s="8" t="s">
        <v>166</v>
      </c>
      <c r="D5" s="3"/>
      <c r="E5" s="3"/>
      <c r="F5" s="3"/>
      <c r="G5" s="3"/>
      <c r="H5" s="3"/>
      <c r="I5" s="3"/>
      <c r="J5" s="3"/>
      <c r="K5" s="3"/>
      <c r="L5" s="3"/>
      <c r="M5" s="3"/>
      <c r="N5" s="3"/>
      <c r="O5" s="3"/>
      <c r="P5" s="3"/>
      <c r="Q5" s="3"/>
      <c r="R5" s="3"/>
      <c r="S5" s="3"/>
    </row>
    <row r="6" spans="1:19" x14ac:dyDescent="0.3">
      <c r="A6" s="1"/>
      <c r="B6" s="1"/>
      <c r="C6" s="1" t="s">
        <v>39</v>
      </c>
      <c r="D6" s="2" t="s">
        <v>10</v>
      </c>
      <c r="E6" s="2" t="s">
        <v>346</v>
      </c>
      <c r="F6" s="1"/>
      <c r="G6" s="84">
        <f>Inputs!G21*Inputs!G30</f>
        <v>38655</v>
      </c>
      <c r="H6" s="84">
        <f>Inputs!H21*Inputs!H30</f>
        <v>43798.820850000004</v>
      </c>
      <c r="I6" s="84">
        <f>Inputs!I21*Inputs!I30</f>
        <v>48448.832162592371</v>
      </c>
      <c r="J6" s="84">
        <f>Inputs!J21*Inputs!J30</f>
        <v>53035.386205760668</v>
      </c>
      <c r="K6" s="84">
        <f>Inputs!K21*Inputs!K30</f>
        <v>57865.90221676755</v>
      </c>
      <c r="L6" s="84">
        <f>Inputs!L21*Inputs!L30</f>
        <v>63044.81366631492</v>
      </c>
      <c r="M6" s="84">
        <f>Inputs!M21*Inputs!M30</f>
        <v>68667.276238704217</v>
      </c>
      <c r="N6" s="84">
        <f>Inputs!N21*Inputs!N30</f>
        <v>74791.161268224329</v>
      </c>
      <c r="O6" s="84">
        <f>Inputs!O21*Inputs!O30</f>
        <v>81461.186612447098</v>
      </c>
      <c r="P6" s="84">
        <f>Inputs!P21*Inputs!P30</f>
        <v>88726.058156918356</v>
      </c>
      <c r="Q6" s="84">
        <f>Inputs!Q21*Inputs!Q30</f>
        <v>96638.825475468635</v>
      </c>
      <c r="R6" s="84"/>
      <c r="S6" s="84"/>
    </row>
    <row r="7" spans="1:19" x14ac:dyDescent="0.3">
      <c r="A7" s="1"/>
      <c r="B7" s="1"/>
      <c r="C7" s="6" t="s">
        <v>165</v>
      </c>
      <c r="D7" s="2" t="s">
        <v>10</v>
      </c>
      <c r="E7" s="2" t="s">
        <v>346</v>
      </c>
      <c r="F7" s="1"/>
      <c r="G7" s="84">
        <f>Inputs!G34*Inputs!G30</f>
        <v>15357</v>
      </c>
      <c r="H7" s="84">
        <f>Inputs!H34*Inputs!H30</f>
        <v>17400.555990000001</v>
      </c>
      <c r="I7" s="84">
        <f>Inputs!I34*Inputs!I30</f>
        <v>19247.929518068326</v>
      </c>
      <c r="J7" s="84">
        <f>Inputs!J34*Inputs!J30</f>
        <v>21070.092509684815</v>
      </c>
      <c r="K7" s="84">
        <f>Inputs!K34*Inputs!K30</f>
        <v>22989.177605559416</v>
      </c>
      <c r="L7" s="84">
        <f>Inputs!L34*Inputs!L30</f>
        <v>25046.674517490574</v>
      </c>
      <c r="M7" s="84">
        <f>Inputs!M34*Inputs!M30</f>
        <v>27280.38704430942</v>
      </c>
      <c r="N7" s="84">
        <f>Inputs!N34*Inputs!N30</f>
        <v>29713.306521695016</v>
      </c>
      <c r="O7" s="84">
        <f>Inputs!O34*Inputs!O30</f>
        <v>32363.19862391282</v>
      </c>
      <c r="P7" s="84">
        <f>Inputs!P34*Inputs!P30</f>
        <v>35249.41340359061</v>
      </c>
      <c r="Q7" s="84">
        <f>Inputs!Q34*Inputs!Q30</f>
        <v>38393.026589749628</v>
      </c>
      <c r="R7" s="84"/>
      <c r="S7" s="84"/>
    </row>
    <row r="8" spans="1:19" x14ac:dyDescent="0.3">
      <c r="A8" s="1"/>
      <c r="B8" s="1"/>
      <c r="C8" s="6"/>
      <c r="D8" s="2"/>
      <c r="E8" s="2"/>
      <c r="F8" s="1"/>
      <c r="G8" s="84"/>
      <c r="H8" s="84"/>
      <c r="I8" s="84"/>
      <c r="J8" s="84"/>
      <c r="K8" s="84"/>
      <c r="L8" s="84"/>
      <c r="M8" s="84"/>
      <c r="N8" s="84"/>
      <c r="O8" s="84"/>
      <c r="P8" s="84"/>
      <c r="Q8" s="84"/>
      <c r="R8" s="84"/>
      <c r="S8" s="84"/>
    </row>
    <row r="9" spans="1:19" x14ac:dyDescent="0.3">
      <c r="A9" s="1"/>
      <c r="B9" s="1"/>
      <c r="C9" s="14" t="s">
        <v>357</v>
      </c>
      <c r="D9" s="2" t="s">
        <v>4</v>
      </c>
      <c r="E9" s="2" t="s">
        <v>346</v>
      </c>
      <c r="F9" s="1"/>
      <c r="G9" s="84">
        <f>G6-G7</f>
        <v>23298</v>
      </c>
      <c r="H9" s="84">
        <f t="shared" ref="H9:Q9" si="1">H6-H7</f>
        <v>26398.264860000003</v>
      </c>
      <c r="I9" s="84">
        <f t="shared" si="1"/>
        <v>29200.902644524045</v>
      </c>
      <c r="J9" s="84">
        <f t="shared" si="1"/>
        <v>31965.293696075852</v>
      </c>
      <c r="K9" s="84">
        <f t="shared" si="1"/>
        <v>34876.724611208134</v>
      </c>
      <c r="L9" s="84">
        <f t="shared" si="1"/>
        <v>37998.139148824346</v>
      </c>
      <c r="M9" s="84">
        <f t="shared" si="1"/>
        <v>41386.889194394797</v>
      </c>
      <c r="N9" s="84">
        <f t="shared" si="1"/>
        <v>45077.854746529309</v>
      </c>
      <c r="O9" s="84">
        <f t="shared" si="1"/>
        <v>49097.987988534282</v>
      </c>
      <c r="P9" s="84">
        <f t="shared" si="1"/>
        <v>53476.644753327746</v>
      </c>
      <c r="Q9" s="84">
        <f t="shared" si="1"/>
        <v>58245.798885719007</v>
      </c>
      <c r="R9" s="84"/>
      <c r="S9" s="84"/>
    </row>
    <row r="10" spans="1:19" x14ac:dyDescent="0.3">
      <c r="A10" s="1"/>
      <c r="B10" s="1"/>
      <c r="C10" s="14" t="s">
        <v>358</v>
      </c>
      <c r="D10" s="2" t="s">
        <v>4</v>
      </c>
      <c r="E10" s="2" t="s">
        <v>1</v>
      </c>
      <c r="F10" s="1"/>
      <c r="G10" s="188">
        <f>G9/G6</f>
        <v>0.60271633682576642</v>
      </c>
      <c r="H10" s="188">
        <f t="shared" ref="H10:Q10" si="2">H9/H6</f>
        <v>0.60271633682576642</v>
      </c>
      <c r="I10" s="188">
        <f t="shared" si="2"/>
        <v>0.60271633682576631</v>
      </c>
      <c r="J10" s="188">
        <f t="shared" si="2"/>
        <v>0.60271633682576642</v>
      </c>
      <c r="K10" s="188">
        <f t="shared" si="2"/>
        <v>0.60271633682576642</v>
      </c>
      <c r="L10" s="188">
        <f t="shared" si="2"/>
        <v>0.60271633682576642</v>
      </c>
      <c r="M10" s="188">
        <f t="shared" si="2"/>
        <v>0.60271633682576642</v>
      </c>
      <c r="N10" s="188">
        <f t="shared" si="2"/>
        <v>0.60271633682576642</v>
      </c>
      <c r="O10" s="188">
        <f t="shared" si="2"/>
        <v>0.60271633682576642</v>
      </c>
      <c r="P10" s="188">
        <f t="shared" si="2"/>
        <v>0.60271633682576642</v>
      </c>
      <c r="Q10" s="188">
        <f t="shared" si="2"/>
        <v>0.60271633682576642</v>
      </c>
      <c r="R10" s="84"/>
      <c r="S10" s="84"/>
    </row>
    <row r="11" spans="1:19" x14ac:dyDescent="0.3">
      <c r="A11" s="1"/>
      <c r="B11" s="1"/>
      <c r="C11" s="14"/>
      <c r="D11" s="2"/>
      <c r="E11" s="2"/>
      <c r="F11" s="1"/>
      <c r="G11" s="188"/>
      <c r="H11" s="188"/>
      <c r="I11" s="188"/>
      <c r="J11" s="188"/>
      <c r="K11" s="188"/>
      <c r="L11" s="188"/>
      <c r="M11" s="188"/>
      <c r="N11" s="188"/>
      <c r="O11" s="188"/>
      <c r="P11" s="188"/>
      <c r="Q11" s="188"/>
      <c r="R11" s="84"/>
      <c r="S11" s="84"/>
    </row>
    <row r="12" spans="1:19" x14ac:dyDescent="0.3">
      <c r="A12" s="1"/>
      <c r="B12" s="1"/>
      <c r="C12" s="14" t="s">
        <v>359</v>
      </c>
      <c r="D12" s="2"/>
      <c r="E12" s="2"/>
      <c r="F12" s="1"/>
      <c r="G12" s="189">
        <f>G9-G13-G14</f>
        <v>10308</v>
      </c>
      <c r="H12" s="189">
        <f t="shared" ref="H12:Q12" si="3">H9-H13-H14</f>
        <v>12397.031640000001</v>
      </c>
      <c r="I12" s="189">
        <f t="shared" si="3"/>
        <v>14465.330861519695</v>
      </c>
      <c r="J12" s="189">
        <f t="shared" si="3"/>
        <v>16615.152533317534</v>
      </c>
      <c r="K12" s="189">
        <f t="shared" si="3"/>
        <v>18935.585257363255</v>
      </c>
      <c r="L12" s="189">
        <f t="shared" si="3"/>
        <v>21463.792182806399</v>
      </c>
      <c r="M12" s="189">
        <f t="shared" si="3"/>
        <v>24238.481960064957</v>
      </c>
      <c r="N12" s="189">
        <f t="shared" si="3"/>
        <v>27288.504510994073</v>
      </c>
      <c r="O12" s="189">
        <f t="shared" si="3"/>
        <v>30639.317887649795</v>
      </c>
      <c r="P12" s="189">
        <f t="shared" si="3"/>
        <v>34318.679809804773</v>
      </c>
      <c r="Q12" s="189">
        <f t="shared" si="3"/>
        <v>38356.853702188622</v>
      </c>
      <c r="R12" s="84"/>
      <c r="S12" s="84"/>
    </row>
    <row r="13" spans="1:19" x14ac:dyDescent="0.3">
      <c r="A13" s="1"/>
      <c r="B13" s="1"/>
      <c r="C13" s="6" t="s">
        <v>164</v>
      </c>
      <c r="D13" s="2" t="s">
        <v>10</v>
      </c>
      <c r="E13" s="2" t="s">
        <v>346</v>
      </c>
      <c r="F13" s="1"/>
      <c r="G13" s="84">
        <f>Inputs!G37</f>
        <v>12144</v>
      </c>
      <c r="H13" s="84">
        <f>Inputs!H37</f>
        <v>13042.656000000001</v>
      </c>
      <c r="I13" s="84">
        <f>Inputs!I37</f>
        <v>13675.224816</v>
      </c>
      <c r="J13" s="84">
        <f>Inputs!J37</f>
        <v>14189.4132690816</v>
      </c>
      <c r="K13" s="84">
        <f>Inputs!K37</f>
        <v>14674.691202884191</v>
      </c>
      <c r="L13" s="84">
        <f>Inputs!L37</f>
        <v>15154.553605218503</v>
      </c>
      <c r="M13" s="84">
        <f>Inputs!M37</f>
        <v>15645.561142027582</v>
      </c>
      <c r="N13" s="84">
        <f>Inputs!N37</f>
        <v>16152.477323029276</v>
      </c>
      <c r="O13" s="84">
        <f>Inputs!O37</f>
        <v>16675.817588295424</v>
      </c>
      <c r="P13" s="84">
        <f>Inputs!P37</f>
        <v>17216.114078156195</v>
      </c>
      <c r="Q13" s="84">
        <f>Inputs!Q37</f>
        <v>17773.916174288457</v>
      </c>
      <c r="R13" s="84"/>
      <c r="S13" s="84"/>
    </row>
    <row r="14" spans="1:19" x14ac:dyDescent="0.3">
      <c r="A14" s="1"/>
      <c r="B14" s="1"/>
      <c r="C14" s="6" t="s">
        <v>360</v>
      </c>
      <c r="D14" s="2" t="s">
        <v>10</v>
      </c>
      <c r="E14" s="2" t="s">
        <v>346</v>
      </c>
      <c r="F14" s="1"/>
      <c r="G14" s="84">
        <v>846</v>
      </c>
      <c r="H14" s="84">
        <f>H15*H6</f>
        <v>958.57722000000012</v>
      </c>
      <c r="I14" s="84">
        <f t="shared" ref="I14:Q14" si="4">I15*I6</f>
        <v>1060.3469670043498</v>
      </c>
      <c r="J14" s="84">
        <f t="shared" si="4"/>
        <v>1160.7278936767177</v>
      </c>
      <c r="K14" s="84">
        <f t="shared" si="4"/>
        <v>1266.4481509606869</v>
      </c>
      <c r="L14" s="84">
        <f t="shared" si="4"/>
        <v>1379.7933607994419</v>
      </c>
      <c r="M14" s="84">
        <f t="shared" si="4"/>
        <v>1502.8460923022576</v>
      </c>
      <c r="N14" s="84">
        <f t="shared" si="4"/>
        <v>1636.8729125059574</v>
      </c>
      <c r="O14" s="84">
        <f t="shared" si="4"/>
        <v>1782.8525125890635</v>
      </c>
      <c r="P14" s="84">
        <f t="shared" si="4"/>
        <v>1941.8508653667814</v>
      </c>
      <c r="Q14" s="84">
        <f t="shared" si="4"/>
        <v>2115.0290092419214</v>
      </c>
      <c r="R14" s="84"/>
      <c r="S14" s="84"/>
    </row>
    <row r="15" spans="1:19" x14ac:dyDescent="0.3">
      <c r="A15" s="1"/>
      <c r="B15" s="1"/>
      <c r="C15" s="6" t="s">
        <v>24</v>
      </c>
      <c r="D15" s="2" t="s">
        <v>4</v>
      </c>
      <c r="E15" s="2" t="s">
        <v>1</v>
      </c>
      <c r="F15" s="1"/>
      <c r="G15" s="188">
        <f>G14/G6</f>
        <v>2.1885913853317812E-2</v>
      </c>
      <c r="H15" s="188">
        <f>G15</f>
        <v>2.1885913853317812E-2</v>
      </c>
      <c r="I15" s="188">
        <f t="shared" ref="I15:Q15" si="5">H15</f>
        <v>2.1885913853317812E-2</v>
      </c>
      <c r="J15" s="188">
        <f t="shared" si="5"/>
        <v>2.1885913853317812E-2</v>
      </c>
      <c r="K15" s="188">
        <f t="shared" si="5"/>
        <v>2.1885913853317812E-2</v>
      </c>
      <c r="L15" s="188">
        <f t="shared" si="5"/>
        <v>2.1885913853317812E-2</v>
      </c>
      <c r="M15" s="188">
        <f t="shared" si="5"/>
        <v>2.1885913853317812E-2</v>
      </c>
      <c r="N15" s="188">
        <f t="shared" si="5"/>
        <v>2.1885913853317812E-2</v>
      </c>
      <c r="O15" s="188">
        <f t="shared" si="5"/>
        <v>2.1885913853317812E-2</v>
      </c>
      <c r="P15" s="188">
        <f t="shared" si="5"/>
        <v>2.1885913853317812E-2</v>
      </c>
      <c r="Q15" s="188">
        <f t="shared" si="5"/>
        <v>2.1885913853317812E-2</v>
      </c>
      <c r="R15" s="84"/>
      <c r="S15" s="84"/>
    </row>
    <row r="16" spans="1:19" x14ac:dyDescent="0.3">
      <c r="A16" s="1"/>
      <c r="B16" s="1"/>
      <c r="C16" s="1"/>
      <c r="D16" s="2"/>
      <c r="E16" s="2"/>
      <c r="F16" s="1"/>
      <c r="G16" s="1"/>
      <c r="H16" s="1"/>
      <c r="I16" s="1"/>
      <c r="J16" s="1"/>
      <c r="K16" s="1"/>
      <c r="L16" s="1"/>
      <c r="M16" s="1"/>
      <c r="N16" s="1"/>
      <c r="O16" s="1"/>
      <c r="P16" s="1"/>
      <c r="Q16" s="1"/>
      <c r="R16" s="1"/>
      <c r="S16" s="1"/>
    </row>
    <row r="17" spans="1:19" x14ac:dyDescent="0.3">
      <c r="A17" s="1"/>
      <c r="B17" s="1"/>
      <c r="C17" s="1"/>
      <c r="D17" s="2"/>
      <c r="E17" s="2"/>
      <c r="F17" s="1"/>
      <c r="G17" s="1"/>
      <c r="H17" s="1"/>
      <c r="I17" s="1"/>
      <c r="J17" s="1"/>
      <c r="K17" s="1"/>
      <c r="L17" s="1"/>
      <c r="M17" s="1"/>
      <c r="N17" s="1"/>
      <c r="O17" s="1"/>
      <c r="P17" s="1"/>
      <c r="Q17" s="1"/>
      <c r="R17" s="1"/>
      <c r="S17" s="1"/>
    </row>
    <row r="18" spans="1:19" x14ac:dyDescent="0.3">
      <c r="A18" s="1"/>
      <c r="B18" s="1"/>
      <c r="C18" s="1" t="s">
        <v>361</v>
      </c>
      <c r="D18" s="2" t="s">
        <v>4</v>
      </c>
      <c r="E18" s="2" t="s">
        <v>346</v>
      </c>
      <c r="F18" s="1"/>
      <c r="G18" s="84">
        <f>G12+G19-G20+G21+G22</f>
        <v>12425</v>
      </c>
      <c r="H18" s="84">
        <f>H12+H19-H20+H21+H22</f>
        <v>14795.740830000001</v>
      </c>
      <c r="I18" s="84">
        <f t="shared" ref="I18:Q18" si="6">I12+I19-I20+I21+I22</f>
        <v>17118.705009449019</v>
      </c>
      <c r="J18" s="84">
        <f t="shared" si="6"/>
        <v>19519.716305083031</v>
      </c>
      <c r="K18" s="84">
        <f t="shared" si="6"/>
        <v>22104.699602024924</v>
      </c>
      <c r="L18" s="84">
        <f t="shared" si="6"/>
        <v>24916.53750764377</v>
      </c>
      <c r="M18" s="84">
        <f t="shared" si="6"/>
        <v>27999.150018461976</v>
      </c>
      <c r="N18" s="84">
        <f t="shared" si="6"/>
        <v>31384.556468175058</v>
      </c>
      <c r="O18" s="84">
        <f t="shared" si="6"/>
        <v>35100.66395047609</v>
      </c>
      <c r="P18" s="84">
        <f t="shared" si="6"/>
        <v>39177.897637206042</v>
      </c>
      <c r="Q18" s="84">
        <f t="shared" si="6"/>
        <v>43649.426293873199</v>
      </c>
      <c r="R18" s="84"/>
      <c r="S18" s="84"/>
    </row>
    <row r="19" spans="1:19" x14ac:dyDescent="0.3">
      <c r="A19" s="1"/>
      <c r="B19" s="1"/>
      <c r="C19" s="1" t="s">
        <v>362</v>
      </c>
      <c r="D19" s="2" t="s">
        <v>4</v>
      </c>
      <c r="E19" s="2" t="s">
        <v>346</v>
      </c>
      <c r="F19" s="1"/>
      <c r="G19" s="84">
        <v>276</v>
      </c>
      <c r="H19" s="84">
        <f>$G$19/$G$6*H6</f>
        <v>312.72732000000002</v>
      </c>
      <c r="I19" s="84">
        <f t="shared" ref="I19:Q19" si="7">$G$19/$G$6*I6</f>
        <v>345.92879774609997</v>
      </c>
      <c r="J19" s="84">
        <f t="shared" si="7"/>
        <v>378.67718517112775</v>
      </c>
      <c r="K19" s="84">
        <f t="shared" si="7"/>
        <v>413.16748187369922</v>
      </c>
      <c r="L19" s="84">
        <f t="shared" si="7"/>
        <v>450.14535175017249</v>
      </c>
      <c r="M19" s="84">
        <f t="shared" si="7"/>
        <v>490.2902145099564</v>
      </c>
      <c r="N19" s="84">
        <f t="shared" si="7"/>
        <v>534.0152764203832</v>
      </c>
      <c r="O19" s="84">
        <f t="shared" si="7"/>
        <v>581.63982680210574</v>
      </c>
      <c r="P19" s="84">
        <f t="shared" si="7"/>
        <v>633.51162983597123</v>
      </c>
      <c r="Q19" s="84">
        <f t="shared" si="7"/>
        <v>690.00946400800262</v>
      </c>
      <c r="R19" s="84"/>
      <c r="S19" s="84"/>
    </row>
    <row r="20" spans="1:19" x14ac:dyDescent="0.3">
      <c r="A20" s="1"/>
      <c r="B20" s="1"/>
      <c r="C20" s="1" t="s">
        <v>363</v>
      </c>
      <c r="D20" s="2" t="s">
        <v>4</v>
      </c>
      <c r="E20" s="2" t="s">
        <v>346</v>
      </c>
      <c r="F20" s="1"/>
      <c r="G20" s="84">
        <v>1597</v>
      </c>
      <c r="H20" s="84">
        <f>$G$20/$G$6*H6</f>
        <v>1809.51279</v>
      </c>
      <c r="I20" s="84">
        <f t="shared" ref="I20:Q20" si="8">$G$20/$G$6*I6</f>
        <v>2001.6242391323246</v>
      </c>
      <c r="J20" s="84">
        <f t="shared" si="8"/>
        <v>2191.1140026025037</v>
      </c>
      <c r="K20" s="84">
        <f t="shared" si="8"/>
        <v>2390.682857073542</v>
      </c>
      <c r="L20" s="84">
        <f t="shared" si="8"/>
        <v>2604.6453867573387</v>
      </c>
      <c r="M20" s="84">
        <f t="shared" si="8"/>
        <v>2836.9328716391315</v>
      </c>
      <c r="N20" s="84">
        <f t="shared" si="8"/>
        <v>3089.9362189976523</v>
      </c>
      <c r="O20" s="84">
        <f t="shared" si="8"/>
        <v>3365.5029108803001</v>
      </c>
      <c r="P20" s="84">
        <f t="shared" si="8"/>
        <v>3665.645191478427</v>
      </c>
      <c r="Q20" s="84">
        <f t="shared" si="8"/>
        <v>3992.5547609448558</v>
      </c>
      <c r="R20" s="84"/>
      <c r="S20" s="84"/>
    </row>
    <row r="21" spans="1:19" x14ac:dyDescent="0.3">
      <c r="A21" s="1"/>
      <c r="B21" s="1"/>
      <c r="C21" s="1" t="s">
        <v>364</v>
      </c>
      <c r="D21" s="2" t="s">
        <v>4</v>
      </c>
      <c r="E21" s="2" t="s">
        <v>346</v>
      </c>
      <c r="F21" s="1"/>
      <c r="G21" s="84">
        <v>1438</v>
      </c>
      <c r="H21" s="84">
        <f>$G$21/$G$6*H6</f>
        <v>1629.3546600000002</v>
      </c>
      <c r="I21" s="84">
        <f t="shared" ref="I21:Q21" si="9">$G$21/$G$6*I6</f>
        <v>1802.3391708655497</v>
      </c>
      <c r="J21" s="84">
        <f t="shared" si="9"/>
        <v>1972.9630154930499</v>
      </c>
      <c r="K21" s="84">
        <f t="shared" si="9"/>
        <v>2152.662459907172</v>
      </c>
      <c r="L21" s="84">
        <f t="shared" si="9"/>
        <v>2345.3225210751739</v>
      </c>
      <c r="M21" s="84">
        <f t="shared" si="9"/>
        <v>2554.4830741497003</v>
      </c>
      <c r="N21" s="84">
        <f t="shared" si="9"/>
        <v>2782.2969836685184</v>
      </c>
      <c r="O21" s="84">
        <f t="shared" si="9"/>
        <v>3030.4277932660439</v>
      </c>
      <c r="P21" s="84">
        <f t="shared" si="9"/>
        <v>3300.6874047250963</v>
      </c>
      <c r="Q21" s="84">
        <f t="shared" si="9"/>
        <v>3595.0493088532894</v>
      </c>
      <c r="R21" s="84"/>
      <c r="S21" s="84"/>
    </row>
    <row r="22" spans="1:19" x14ac:dyDescent="0.3">
      <c r="A22" s="1"/>
      <c r="B22" s="1"/>
      <c r="C22" s="1" t="s">
        <v>365</v>
      </c>
      <c r="D22" s="2" t="s">
        <v>4</v>
      </c>
      <c r="E22" s="2" t="s">
        <v>346</v>
      </c>
      <c r="F22" s="1"/>
      <c r="G22" s="84">
        <v>2000</v>
      </c>
      <c r="H22" s="84">
        <f>$G$22/$G$6*H6</f>
        <v>2266.14</v>
      </c>
      <c r="I22" s="84">
        <f t="shared" ref="I22:Q22" si="10">$G$22/$G$6*I6</f>
        <v>2506.7304184499994</v>
      </c>
      <c r="J22" s="84">
        <f t="shared" si="10"/>
        <v>2744.0375737038244</v>
      </c>
      <c r="K22" s="84">
        <f t="shared" si="10"/>
        <v>2993.9672599543419</v>
      </c>
      <c r="L22" s="84">
        <f t="shared" si="10"/>
        <v>3261.9228387693656</v>
      </c>
      <c r="M22" s="84">
        <f t="shared" si="10"/>
        <v>3552.8276413764952</v>
      </c>
      <c r="N22" s="84">
        <f t="shared" si="10"/>
        <v>3869.6759160897336</v>
      </c>
      <c r="O22" s="84">
        <f t="shared" si="10"/>
        <v>4214.7813536384474</v>
      </c>
      <c r="P22" s="84">
        <f t="shared" si="10"/>
        <v>4590.6639843186313</v>
      </c>
      <c r="Q22" s="84">
        <f t="shared" si="10"/>
        <v>5000.0685797681354</v>
      </c>
      <c r="R22" s="84"/>
      <c r="S22" s="84"/>
    </row>
    <row r="23" spans="1:19" x14ac:dyDescent="0.3">
      <c r="A23" s="1"/>
      <c r="B23" s="1"/>
      <c r="C23" s="1"/>
      <c r="D23" s="2"/>
      <c r="E23" s="2"/>
      <c r="F23" s="1"/>
      <c r="G23" s="84"/>
      <c r="H23" s="84"/>
      <c r="I23" s="84"/>
      <c r="J23" s="84"/>
      <c r="K23" s="84"/>
      <c r="L23" s="84"/>
      <c r="M23" s="84"/>
      <c r="N23" s="84"/>
      <c r="O23" s="84"/>
      <c r="P23" s="84"/>
      <c r="Q23" s="84"/>
      <c r="R23" s="84"/>
      <c r="S23" s="84"/>
    </row>
    <row r="24" spans="1:19" x14ac:dyDescent="0.3">
      <c r="A24" s="1"/>
      <c r="B24" s="1"/>
      <c r="C24" s="7" t="s">
        <v>168</v>
      </c>
      <c r="D24" s="24" t="s">
        <v>4</v>
      </c>
      <c r="E24" s="24" t="s">
        <v>1</v>
      </c>
      <c r="F24" s="7"/>
      <c r="G24" s="186">
        <f t="shared" ref="G24:Q24" si="11">IF(G18&gt;0,G18/G6,0)</f>
        <v>0.3214331910490234</v>
      </c>
      <c r="H24" s="186">
        <f t="shared" si="11"/>
        <v>0.33781139635406415</v>
      </c>
      <c r="I24" s="186">
        <f t="shared" si="11"/>
        <v>0.35333576157211222</v>
      </c>
      <c r="J24" s="186">
        <f t="shared" si="11"/>
        <v>0.36805079969348492</v>
      </c>
      <c r="K24" s="186">
        <f t="shared" si="11"/>
        <v>0.38199870312606554</v>
      </c>
      <c r="L24" s="186">
        <f t="shared" si="11"/>
        <v>0.39521946467353536</v>
      </c>
      <c r="M24" s="186">
        <f t="shared" si="11"/>
        <v>0.40775099220668221</v>
      </c>
      <c r="N24" s="186">
        <f t="shared" si="11"/>
        <v>0.41962921735658432</v>
      </c>
      <c r="O24" s="186">
        <f t="shared" si="11"/>
        <v>0.43088819854132571</v>
      </c>
      <c r="P24" s="186">
        <f t="shared" si="11"/>
        <v>0.44156021862164935</v>
      </c>
      <c r="Q24" s="186">
        <f t="shared" si="11"/>
        <v>0.45167587746555782</v>
      </c>
      <c r="R24" s="186"/>
      <c r="S24" s="186"/>
    </row>
    <row r="25" spans="1:19" x14ac:dyDescent="0.3">
      <c r="A25" s="1"/>
      <c r="B25" s="1"/>
      <c r="C25" s="1"/>
      <c r="D25" s="2"/>
      <c r="E25" s="2"/>
      <c r="F25" s="1"/>
      <c r="G25" s="1"/>
      <c r="H25" s="1"/>
      <c r="I25" s="1"/>
      <c r="J25" s="1"/>
      <c r="K25" s="1"/>
      <c r="L25" s="1"/>
      <c r="M25" s="1"/>
      <c r="N25" s="1"/>
      <c r="O25" s="1"/>
      <c r="P25" s="1"/>
      <c r="Q25" s="1"/>
      <c r="R25" s="1"/>
      <c r="S25" s="1"/>
    </row>
    <row r="26" spans="1:19" x14ac:dyDescent="0.3">
      <c r="A26" s="1"/>
      <c r="B26" s="1"/>
      <c r="C26" s="1" t="s">
        <v>366</v>
      </c>
      <c r="D26" s="2" t="s">
        <v>4</v>
      </c>
      <c r="E26" s="2" t="s">
        <v>346</v>
      </c>
      <c r="F26" s="1"/>
      <c r="G26" s="84">
        <f t="shared" ref="G26:Q26" si="12">G18-G27</f>
        <v>9804</v>
      </c>
      <c r="H26" s="84">
        <f t="shared" si="12"/>
        <v>11674.643307631388</v>
      </c>
      <c r="I26" s="84">
        <f t="shared" si="12"/>
        <v>13507.588242465848</v>
      </c>
      <c r="J26" s="84">
        <f t="shared" si="12"/>
        <v>15402.116591954451</v>
      </c>
      <c r="K26" s="84">
        <f t="shared" si="12"/>
        <v>17441.808844929768</v>
      </c>
      <c r="L26" s="84">
        <f t="shared" si="12"/>
        <v>19660.501708244628</v>
      </c>
      <c r="M26" s="84">
        <f t="shared" si="12"/>
        <v>22092.850445151002</v>
      </c>
      <c r="N26" s="84">
        <f t="shared" si="12"/>
        <v>24764.120049415556</v>
      </c>
      <c r="O26" s="84">
        <f t="shared" si="12"/>
        <v>27696.330734041658</v>
      </c>
      <c r="P26" s="84">
        <f t="shared" si="12"/>
        <v>30913.489612488374</v>
      </c>
      <c r="Q26" s="84">
        <f t="shared" si="12"/>
        <v>34441.768642666626</v>
      </c>
      <c r="R26" s="84"/>
      <c r="S26" s="84"/>
    </row>
    <row r="27" spans="1:19" x14ac:dyDescent="0.3">
      <c r="A27" s="1"/>
      <c r="B27" s="1"/>
      <c r="C27" s="6" t="s">
        <v>368</v>
      </c>
      <c r="D27" s="2" t="s">
        <v>4</v>
      </c>
      <c r="E27" s="2" t="s">
        <v>346</v>
      </c>
      <c r="F27" s="7"/>
      <c r="G27" s="190">
        <f>IF(G18&gt;0,G18*Inputs!$F$63,0)</f>
        <v>2621</v>
      </c>
      <c r="H27" s="190">
        <f>IF(H18&gt;0,H18*Inputs!$F$63,0)</f>
        <v>3121.0975223686119</v>
      </c>
      <c r="I27" s="190">
        <f>IF(I18&gt;0,I18*Inputs!$F$63,0)</f>
        <v>3611.1167669831693</v>
      </c>
      <c r="J27" s="190">
        <f>IF(J18&gt;0,J18*Inputs!$F$63,0)</f>
        <v>4117.5997131285812</v>
      </c>
      <c r="K27" s="190">
        <f>IF(K18&gt;0,K18*Inputs!$F$63,0)</f>
        <v>4662.8907570951569</v>
      </c>
      <c r="L27" s="190">
        <f>IF(L18&gt;0,L18*Inputs!$F$63,0)</f>
        <v>5256.0357993991402</v>
      </c>
      <c r="M27" s="190">
        <f>IF(M18&gt;0,M18*Inputs!$F$63,0)</f>
        <v>5906.2995733109728</v>
      </c>
      <c r="N27" s="190">
        <f>IF(N18&gt;0,N18*Inputs!$F$63,0)</f>
        <v>6620.4364187595029</v>
      </c>
      <c r="O27" s="190">
        <f>IF(O18&gt;0,O18*Inputs!$F$63,0)</f>
        <v>7404.3332164344329</v>
      </c>
      <c r="P27" s="190">
        <f>IF(P18&gt;0,P18*Inputs!$F$63,0)</f>
        <v>8264.408024717668</v>
      </c>
      <c r="Q27" s="190">
        <f>IF(Q18&gt;0,Q18*Inputs!$F$63,0)</f>
        <v>9207.6576512065712</v>
      </c>
      <c r="R27" s="186"/>
      <c r="S27" s="186"/>
    </row>
    <row r="28" spans="1:19" x14ac:dyDescent="0.3">
      <c r="A28" s="1"/>
      <c r="B28" s="1"/>
      <c r="C28" s="6"/>
      <c r="D28" s="2"/>
      <c r="E28" s="2"/>
      <c r="F28" s="7"/>
      <c r="G28" s="190"/>
      <c r="H28" s="190"/>
      <c r="I28" s="190"/>
      <c r="J28" s="190"/>
      <c r="K28" s="190"/>
      <c r="L28" s="190"/>
      <c r="M28" s="190"/>
      <c r="N28" s="190"/>
      <c r="O28" s="190"/>
      <c r="P28" s="190"/>
      <c r="Q28" s="190"/>
      <c r="R28" s="186"/>
      <c r="S28" s="186"/>
    </row>
    <row r="29" spans="1:19" x14ac:dyDescent="0.3">
      <c r="A29" s="1"/>
      <c r="B29" s="1"/>
      <c r="C29" s="14" t="s">
        <v>367</v>
      </c>
      <c r="D29" s="2" t="s">
        <v>4</v>
      </c>
      <c r="E29" s="2" t="s">
        <v>346</v>
      </c>
      <c r="F29" s="7"/>
      <c r="G29" s="190">
        <f>G26-G30</f>
        <v>9771</v>
      </c>
      <c r="H29" s="190">
        <f t="shared" ref="H29:Q29" si="13">H26-H30</f>
        <v>11635.346772630181</v>
      </c>
      <c r="I29" s="190">
        <f t="shared" si="13"/>
        <v>13462.122064171135</v>
      </c>
      <c r="J29" s="190">
        <f t="shared" si="13"/>
        <v>15350.27348225081</v>
      </c>
      <c r="K29" s="190">
        <f t="shared" si="13"/>
        <v>17383.100186027004</v>
      </c>
      <c r="L29" s="190">
        <f t="shared" si="13"/>
        <v>19594.324988908433</v>
      </c>
      <c r="M29" s="190">
        <f t="shared" si="13"/>
        <v>22018.486505464141</v>
      </c>
      <c r="N29" s="190">
        <f t="shared" si="13"/>
        <v>24680.764688172112</v>
      </c>
      <c r="O29" s="190">
        <f t="shared" si="13"/>
        <v>27603.105630591701</v>
      </c>
      <c r="P29" s="190">
        <f t="shared" si="13"/>
        <v>30809.435638884526</v>
      </c>
      <c r="Q29" s="190">
        <f t="shared" si="13"/>
        <v>34325.838576855938</v>
      </c>
      <c r="R29" s="186"/>
      <c r="S29" s="186"/>
    </row>
    <row r="30" spans="1:19" x14ac:dyDescent="0.3">
      <c r="A30" s="1"/>
      <c r="B30" s="1"/>
      <c r="C30" s="6" t="s">
        <v>369</v>
      </c>
      <c r="D30" s="2" t="s">
        <v>4</v>
      </c>
      <c r="E30" s="2" t="s">
        <v>346</v>
      </c>
      <c r="F30" s="7"/>
      <c r="G30" s="190">
        <v>33</v>
      </c>
      <c r="H30" s="190">
        <f>$G$30/$G$26*H26</f>
        <v>39.296535001207246</v>
      </c>
      <c r="I30" s="190">
        <f t="shared" ref="I30:Q30" si="14">$G$30/$G$26*I26</f>
        <v>45.466178294713693</v>
      </c>
      <c r="J30" s="190">
        <f t="shared" si="14"/>
        <v>51.843109703641055</v>
      </c>
      <c r="K30" s="190">
        <f t="shared" si="14"/>
        <v>58.70865890276238</v>
      </c>
      <c r="L30" s="190">
        <f t="shared" si="14"/>
        <v>66.176719336196726</v>
      </c>
      <c r="M30" s="190">
        <f t="shared" si="14"/>
        <v>74.363939686860775</v>
      </c>
      <c r="N30" s="190">
        <f t="shared" si="14"/>
        <v>83.355361243442815</v>
      </c>
      <c r="O30" s="190">
        <f t="shared" si="14"/>
        <v>93.22510344995662</v>
      </c>
      <c r="P30" s="190">
        <f t="shared" si="14"/>
        <v>104.05397360384704</v>
      </c>
      <c r="Q30" s="190">
        <f t="shared" si="14"/>
        <v>115.93006581068938</v>
      </c>
      <c r="R30" s="186"/>
      <c r="S30" s="186"/>
    </row>
    <row r="31" spans="1:19" x14ac:dyDescent="0.3">
      <c r="A31" s="1"/>
      <c r="B31" s="1"/>
      <c r="C31" s="1"/>
      <c r="D31" s="2"/>
      <c r="E31" s="2"/>
      <c r="F31" s="1"/>
      <c r="G31" s="1"/>
      <c r="H31" s="1"/>
      <c r="I31" s="1"/>
      <c r="J31" s="1"/>
      <c r="K31" s="1"/>
      <c r="L31" s="1"/>
      <c r="M31" s="1"/>
      <c r="N31" s="1"/>
      <c r="O31" s="1"/>
      <c r="P31" s="1"/>
      <c r="Q31" s="1"/>
      <c r="R31" s="1"/>
      <c r="S31" s="1"/>
    </row>
    <row r="32" spans="1:19" x14ac:dyDescent="0.3">
      <c r="A32" s="1"/>
      <c r="B32" s="1"/>
      <c r="C32" s="6" t="s">
        <v>162</v>
      </c>
      <c r="D32" s="2" t="s">
        <v>10</v>
      </c>
      <c r="E32" s="2" t="s">
        <v>346</v>
      </c>
      <c r="F32" s="1"/>
      <c r="G32" s="84">
        <f>Inputs!G52</f>
        <v>1400</v>
      </c>
      <c r="H32" s="84">
        <f>Inputs!H52</f>
        <v>1586.298</v>
      </c>
      <c r="I32" s="84">
        <f>Inputs!I52</f>
        <v>1754.7112929149998</v>
      </c>
      <c r="J32" s="84">
        <f>Inputs!J52</f>
        <v>1920.8263015926771</v>
      </c>
      <c r="K32" s="84">
        <f>Inputs!K52</f>
        <v>2095.7770819680395</v>
      </c>
      <c r="L32" s="84">
        <f>Inputs!L52</f>
        <v>2283.3459871385562</v>
      </c>
      <c r="M32" s="84">
        <f>Inputs!M52</f>
        <v>2486.9793489635467</v>
      </c>
      <c r="N32" s="84">
        <f>Inputs!N52</f>
        <v>2708.7731412628136</v>
      </c>
      <c r="O32" s="84">
        <f>Inputs!O52</f>
        <v>2950.3469475469133</v>
      </c>
      <c r="P32" s="84">
        <f>Inputs!P52</f>
        <v>3213.4647890230422</v>
      </c>
      <c r="Q32" s="84">
        <f>Inputs!Q52</f>
        <v>3500.0480058376947</v>
      </c>
      <c r="R32" s="84"/>
      <c r="S32" s="84"/>
    </row>
    <row r="33" spans="1:19" x14ac:dyDescent="0.3">
      <c r="A33" s="1"/>
      <c r="B33" s="1"/>
      <c r="C33" s="6" t="s">
        <v>161</v>
      </c>
      <c r="D33" s="2" t="s">
        <v>10</v>
      </c>
      <c r="E33" s="2" t="s">
        <v>346</v>
      </c>
      <c r="F33" s="1"/>
      <c r="G33" s="84">
        <f>Calculation!G28</f>
        <v>-569</v>
      </c>
      <c r="H33" s="84">
        <f>Calculation!H28</f>
        <v>309.25468000000092</v>
      </c>
      <c r="I33" s="84">
        <f>Calculation!I28</f>
        <v>279.56606623890002</v>
      </c>
      <c r="J33" s="84">
        <f>Calculation!J28</f>
        <v>275.75091440494271</v>
      </c>
      <c r="K33" s="84">
        <f>Calculation!K28</f>
        <v>290.41829542310188</v>
      </c>
      <c r="L33" s="84">
        <f>Calculation!L28</f>
        <v>311.36438258305861</v>
      </c>
      <c r="M33" s="84">
        <f>Calculation!M28</f>
        <v>338.03138062948256</v>
      </c>
      <c r="N33" s="84">
        <f>Calculation!N28</f>
        <v>368.17769521678292</v>
      </c>
      <c r="O33" s="84">
        <f>Calculation!O28</f>
        <v>401.01251843160571</v>
      </c>
      <c r="P33" s="84">
        <f>Calculation!P28</f>
        <v>436.77561685037654</v>
      </c>
      <c r="Q33" s="84">
        <f>Calculation!Q28</f>
        <v>475.72813991232397</v>
      </c>
      <c r="R33" s="84"/>
      <c r="S33" s="84"/>
    </row>
    <row r="34" spans="1:19" x14ac:dyDescent="0.3">
      <c r="A34" s="1"/>
      <c r="B34" s="1"/>
      <c r="C34" s="6" t="s">
        <v>160</v>
      </c>
      <c r="D34" s="2" t="s">
        <v>10</v>
      </c>
      <c r="E34" s="2" t="s">
        <v>346</v>
      </c>
      <c r="F34" s="1"/>
      <c r="G34" s="84">
        <f>Inputs!G54</f>
        <v>1452</v>
      </c>
      <c r="H34" s="84">
        <f>Inputs!H54</f>
        <v>1645.2176400000001</v>
      </c>
      <c r="I34" s="84">
        <f>Inputs!I54</f>
        <v>1819.8862837946999</v>
      </c>
      <c r="J34" s="84">
        <f>Inputs!J54</f>
        <v>1992.1712785089765</v>
      </c>
      <c r="K34" s="84">
        <f>Inputs!K54</f>
        <v>2173.6202307268522</v>
      </c>
      <c r="L34" s="84">
        <f>Inputs!L54</f>
        <v>2368.1559809465598</v>
      </c>
      <c r="M34" s="84">
        <f>Inputs!M54</f>
        <v>2579.3528676393357</v>
      </c>
      <c r="N34" s="84">
        <f>Inputs!N54</f>
        <v>2809.3847150811466</v>
      </c>
      <c r="O34" s="84">
        <f>Inputs!O54</f>
        <v>3059.9312627415129</v>
      </c>
      <c r="P34" s="84">
        <f>Inputs!P54</f>
        <v>3332.8220526153268</v>
      </c>
      <c r="Q34" s="84">
        <f>Inputs!Q54</f>
        <v>3630.0497889116664</v>
      </c>
      <c r="R34" s="84"/>
      <c r="S34" s="84"/>
    </row>
    <row r="35" spans="1:19" x14ac:dyDescent="0.3">
      <c r="A35" s="1"/>
      <c r="B35" s="1"/>
      <c r="C35" s="6" t="s">
        <v>159</v>
      </c>
      <c r="D35" s="2" t="s">
        <v>10</v>
      </c>
      <c r="E35" s="2" t="s">
        <v>346</v>
      </c>
      <c r="F35" s="1"/>
      <c r="G35" s="84">
        <f>Calculation!G37</f>
        <v>0</v>
      </c>
      <c r="H35" s="84">
        <f>Calculation!H37</f>
        <v>12866</v>
      </c>
      <c r="I35" s="84">
        <f>Calculation!I37</f>
        <v>12866</v>
      </c>
      <c r="J35" s="84">
        <f>Calculation!J37</f>
        <v>12384</v>
      </c>
      <c r="K35" s="84">
        <f>Calculation!K37</f>
        <v>0</v>
      </c>
      <c r="L35" s="84">
        <f>Calculation!L37</f>
        <v>0</v>
      </c>
      <c r="M35" s="84">
        <f>Calculation!M37</f>
        <v>0</v>
      </c>
      <c r="N35" s="84">
        <f>Calculation!N37</f>
        <v>0</v>
      </c>
      <c r="O35" s="84">
        <f>Calculation!O37</f>
        <v>0</v>
      </c>
      <c r="P35" s="84">
        <f>Calculation!P37</f>
        <v>0</v>
      </c>
      <c r="Q35" s="84">
        <f>Calculation!Q37</f>
        <v>0</v>
      </c>
      <c r="R35" s="84"/>
      <c r="S35" s="84"/>
    </row>
    <row r="36" spans="1:19" x14ac:dyDescent="0.3">
      <c r="A36" s="1"/>
      <c r="B36" s="1"/>
      <c r="C36" s="1"/>
      <c r="D36" s="2"/>
      <c r="E36" s="2"/>
      <c r="F36" s="1"/>
      <c r="G36" s="1"/>
      <c r="H36" s="1"/>
      <c r="I36" s="1"/>
      <c r="J36" s="1"/>
      <c r="K36" s="1"/>
      <c r="L36" s="1"/>
      <c r="M36" s="1"/>
      <c r="N36" s="1"/>
      <c r="O36" s="1"/>
      <c r="P36" s="1"/>
      <c r="Q36" s="1"/>
      <c r="R36" s="1"/>
      <c r="S36" s="1"/>
    </row>
    <row r="37" spans="1:19" x14ac:dyDescent="0.3">
      <c r="A37" s="1"/>
      <c r="B37" s="1"/>
      <c r="C37" s="5" t="s">
        <v>158</v>
      </c>
      <c r="D37" s="10" t="s">
        <v>4</v>
      </c>
      <c r="E37" s="10" t="s">
        <v>3</v>
      </c>
      <c r="F37" s="1"/>
      <c r="G37" s="84">
        <f>G29-G32-G33+G34-G35</f>
        <v>10392</v>
      </c>
      <c r="H37" s="84">
        <f t="shared" ref="H37:Q37" si="15">H29-H32-H33+H34-H35</f>
        <v>-1480.9882673698212</v>
      </c>
      <c r="I37" s="84">
        <f t="shared" si="15"/>
        <v>381.73098881193437</v>
      </c>
      <c r="J37" s="84">
        <f t="shared" si="15"/>
        <v>2761.8675447621681</v>
      </c>
      <c r="K37" s="84">
        <f t="shared" si="15"/>
        <v>17170.525039362714</v>
      </c>
      <c r="L37" s="84">
        <f t="shared" si="15"/>
        <v>19367.770600133379</v>
      </c>
      <c r="M37" s="84">
        <f t="shared" si="15"/>
        <v>21772.828643510446</v>
      </c>
      <c r="N37" s="84">
        <f t="shared" si="15"/>
        <v>24413.198566773663</v>
      </c>
      <c r="O37" s="84">
        <f t="shared" si="15"/>
        <v>27311.677427354694</v>
      </c>
      <c r="P37" s="84">
        <f t="shared" si="15"/>
        <v>30492.017285626436</v>
      </c>
      <c r="Q37" s="84">
        <f t="shared" si="15"/>
        <v>33980.112220017581</v>
      </c>
      <c r="R37" s="84">
        <f>Q37*(1+Inputs!F79)</f>
        <v>35081.067855946152</v>
      </c>
      <c r="S37" s="84"/>
    </row>
    <row r="38" spans="1:19" x14ac:dyDescent="0.3">
      <c r="A38" s="1"/>
      <c r="B38" s="1"/>
      <c r="C38" s="1" t="s">
        <v>73</v>
      </c>
      <c r="D38" s="2" t="s">
        <v>10</v>
      </c>
      <c r="E38" s="10" t="s">
        <v>2</v>
      </c>
      <c r="F38" s="1"/>
      <c r="G38" s="183">
        <f>Inputs!G75</f>
        <v>1</v>
      </c>
      <c r="H38" s="183">
        <f>Inputs!H75</f>
        <v>0.9657794917404513</v>
      </c>
      <c r="I38" s="183">
        <f>Inputs!I75</f>
        <v>0.90081153108497636</v>
      </c>
      <c r="J38" s="183">
        <f>Inputs!J75</f>
        <v>0.84021396341033072</v>
      </c>
      <c r="K38" s="183">
        <f>Inputs!K75</f>
        <v>0.78369279249723667</v>
      </c>
      <c r="L38" s="183">
        <f>Inputs!L75</f>
        <v>0.73097379924424799</v>
      </c>
      <c r="M38" s="183">
        <f>Inputs!M75</f>
        <v>0.68180121126155957</v>
      </c>
      <c r="N38" s="183">
        <f>Inputs!N75</f>
        <v>0.63593646196120868</v>
      </c>
      <c r="O38" s="183">
        <f>Inputs!O75</f>
        <v>0.59315703312324242</v>
      </c>
      <c r="P38" s="183">
        <f>Inputs!P75</f>
        <v>0.55325537532243108</v>
      </c>
      <c r="Q38" s="183">
        <f>Inputs!Q75</f>
        <v>0.51603790097784485</v>
      </c>
      <c r="R38" s="183"/>
      <c r="S38" s="183"/>
    </row>
    <row r="39" spans="1:19" x14ac:dyDescent="0.3">
      <c r="A39" s="1"/>
      <c r="B39" s="1"/>
      <c r="C39" s="1"/>
      <c r="D39" s="1"/>
      <c r="E39" s="1"/>
      <c r="F39" s="1"/>
      <c r="G39" s="82"/>
      <c r="H39" s="82"/>
      <c r="I39" s="82"/>
      <c r="J39" s="82"/>
      <c r="K39" s="82"/>
      <c r="L39" s="82"/>
      <c r="M39" s="82"/>
      <c r="N39" s="82"/>
      <c r="O39" s="82"/>
      <c r="P39" s="82"/>
      <c r="Q39" s="82"/>
      <c r="R39" s="82"/>
      <c r="S39" s="82"/>
    </row>
    <row r="40" spans="1:19" x14ac:dyDescent="0.3">
      <c r="A40" s="1"/>
      <c r="B40" s="1"/>
      <c r="C40" s="17" t="s">
        <v>370</v>
      </c>
      <c r="D40" s="1"/>
      <c r="E40" s="1"/>
      <c r="F40" s="1"/>
      <c r="G40" s="82"/>
      <c r="H40" s="82"/>
      <c r="I40" s="82"/>
      <c r="J40" s="82"/>
      <c r="K40" s="82"/>
      <c r="L40" s="82"/>
      <c r="M40" s="82"/>
      <c r="N40" s="82"/>
      <c r="O40" s="82"/>
      <c r="P40" s="82"/>
      <c r="Q40" s="82"/>
      <c r="R40" s="82"/>
      <c r="S40" s="82"/>
    </row>
    <row r="41" spans="1:19" x14ac:dyDescent="0.3">
      <c r="A41" s="1"/>
      <c r="B41" s="1"/>
      <c r="C41" s="16" t="s">
        <v>163</v>
      </c>
      <c r="D41" s="2" t="s">
        <v>4</v>
      </c>
      <c r="E41" s="2" t="s">
        <v>346</v>
      </c>
      <c r="F41" s="1"/>
      <c r="G41" s="82">
        <f>G42+G43</f>
        <v>11760</v>
      </c>
      <c r="H41" s="82">
        <f t="shared" ref="H41:Q41" si="16">H42+H43</f>
        <v>14042.249280000002</v>
      </c>
      <c r="I41" s="82">
        <f t="shared" si="16"/>
        <v>16285.217145314395</v>
      </c>
      <c r="J41" s="82">
        <f t="shared" si="16"/>
        <v>18607.323811826511</v>
      </c>
      <c r="K41" s="82">
        <f t="shared" si="16"/>
        <v>21109.205488090105</v>
      </c>
      <c r="L41" s="82">
        <f t="shared" si="16"/>
        <v>23831.948163752961</v>
      </c>
      <c r="M41" s="82">
        <f t="shared" si="16"/>
        <v>26817.834827704293</v>
      </c>
      <c r="N41" s="82">
        <f t="shared" si="16"/>
        <v>30097.889226075218</v>
      </c>
      <c r="O41" s="82">
        <f t="shared" si="16"/>
        <v>33699.249150391304</v>
      </c>
      <c r="P41" s="82">
        <f t="shared" si="16"/>
        <v>37651.501862420097</v>
      </c>
      <c r="Q41" s="82">
        <f t="shared" si="16"/>
        <v>41986.903491100289</v>
      </c>
      <c r="R41" s="82"/>
      <c r="S41" s="82"/>
    </row>
    <row r="42" spans="1:19" x14ac:dyDescent="0.3">
      <c r="A42" s="1"/>
      <c r="B42" s="1"/>
      <c r="C42" s="1" t="s">
        <v>372</v>
      </c>
      <c r="D42" s="2" t="s">
        <v>10</v>
      </c>
      <c r="E42" s="2" t="s">
        <v>346</v>
      </c>
      <c r="F42" s="1"/>
      <c r="G42" s="82">
        <f>G12</f>
        <v>10308</v>
      </c>
      <c r="H42" s="82">
        <f t="shared" ref="H42:Q42" si="17">H12</f>
        <v>12397.031640000001</v>
      </c>
      <c r="I42" s="82">
        <f t="shared" si="17"/>
        <v>14465.330861519695</v>
      </c>
      <c r="J42" s="82">
        <f t="shared" si="17"/>
        <v>16615.152533317534</v>
      </c>
      <c r="K42" s="82">
        <f t="shared" si="17"/>
        <v>18935.585257363255</v>
      </c>
      <c r="L42" s="82">
        <f t="shared" si="17"/>
        <v>21463.792182806399</v>
      </c>
      <c r="M42" s="82">
        <f t="shared" si="17"/>
        <v>24238.481960064957</v>
      </c>
      <c r="N42" s="82">
        <f t="shared" si="17"/>
        <v>27288.504510994073</v>
      </c>
      <c r="O42" s="82">
        <f t="shared" si="17"/>
        <v>30639.317887649795</v>
      </c>
      <c r="P42" s="82">
        <f t="shared" si="17"/>
        <v>34318.679809804773</v>
      </c>
      <c r="Q42" s="82">
        <f t="shared" si="17"/>
        <v>38356.853702188622</v>
      </c>
      <c r="R42" s="82"/>
      <c r="S42" s="82"/>
    </row>
    <row r="43" spans="1:19" x14ac:dyDescent="0.3">
      <c r="A43" s="1"/>
      <c r="B43" s="1"/>
      <c r="C43" s="1" t="s">
        <v>371</v>
      </c>
      <c r="D43" s="2" t="s">
        <v>10</v>
      </c>
      <c r="E43" s="2" t="s">
        <v>346</v>
      </c>
      <c r="F43" s="1"/>
      <c r="G43" s="82">
        <f>Inputs!G54</f>
        <v>1452</v>
      </c>
      <c r="H43" s="82">
        <f>Inputs!H54</f>
        <v>1645.2176400000001</v>
      </c>
      <c r="I43" s="82">
        <f>Inputs!I54</f>
        <v>1819.8862837946999</v>
      </c>
      <c r="J43" s="82">
        <f>Inputs!J54</f>
        <v>1992.1712785089765</v>
      </c>
      <c r="K43" s="82">
        <f>Inputs!K54</f>
        <v>2173.6202307268522</v>
      </c>
      <c r="L43" s="82">
        <f>Inputs!L54</f>
        <v>2368.1559809465598</v>
      </c>
      <c r="M43" s="82">
        <f>Inputs!M54</f>
        <v>2579.3528676393357</v>
      </c>
      <c r="N43" s="82">
        <f>Inputs!N54</f>
        <v>2809.3847150811466</v>
      </c>
      <c r="O43" s="82">
        <f>Inputs!O54</f>
        <v>3059.9312627415129</v>
      </c>
      <c r="P43" s="82">
        <f>Inputs!P54</f>
        <v>3332.8220526153268</v>
      </c>
      <c r="Q43" s="82">
        <f>Inputs!Q54</f>
        <v>3630.0497889116664</v>
      </c>
      <c r="R43" s="82"/>
      <c r="S43" s="82"/>
    </row>
    <row r="44" spans="1:19" x14ac:dyDescent="0.3">
      <c r="A44" s="1"/>
      <c r="B44" s="1"/>
      <c r="C44" s="16" t="s">
        <v>373</v>
      </c>
      <c r="D44" s="2" t="s">
        <v>4</v>
      </c>
      <c r="E44" s="2" t="s">
        <v>1</v>
      </c>
      <c r="F44" s="1"/>
      <c r="G44" s="11">
        <f>G41/G6</f>
        <v>0.30422972448583624</v>
      </c>
      <c r="H44" s="11">
        <f t="shared" ref="H44:Q44" si="18">H41/H6</f>
        <v>0.32060792979087704</v>
      </c>
      <c r="I44" s="11">
        <f t="shared" si="18"/>
        <v>0.33613229500892505</v>
      </c>
      <c r="J44" s="11">
        <f t="shared" si="18"/>
        <v>0.35084733313029776</v>
      </c>
      <c r="K44" s="11">
        <f t="shared" si="18"/>
        <v>0.36479523656287832</v>
      </c>
      <c r="L44" s="11">
        <f t="shared" si="18"/>
        <v>0.37801599811034831</v>
      </c>
      <c r="M44" s="11">
        <f t="shared" si="18"/>
        <v>0.39054752564349504</v>
      </c>
      <c r="N44" s="11">
        <f t="shared" si="18"/>
        <v>0.4024257507933971</v>
      </c>
      <c r="O44" s="11">
        <f t="shared" si="18"/>
        <v>0.41368473197813854</v>
      </c>
      <c r="P44" s="11">
        <f t="shared" si="18"/>
        <v>0.42435675205846218</v>
      </c>
      <c r="Q44" s="11">
        <f t="shared" si="18"/>
        <v>0.4344724109023706</v>
      </c>
      <c r="R44" s="82"/>
      <c r="S44" s="82"/>
    </row>
    <row r="45" spans="1:19" x14ac:dyDescent="0.3">
      <c r="A45" s="1"/>
      <c r="B45" s="1"/>
      <c r="C45" s="1"/>
      <c r="D45" s="1"/>
      <c r="E45" s="1"/>
      <c r="F45" s="1"/>
      <c r="G45" s="82"/>
      <c r="H45" s="82"/>
      <c r="I45" s="82"/>
      <c r="J45" s="82"/>
      <c r="K45" s="82"/>
      <c r="L45" s="82"/>
      <c r="M45" s="82"/>
      <c r="N45" s="82"/>
      <c r="O45" s="82"/>
      <c r="P45" s="82"/>
      <c r="Q45" s="82"/>
      <c r="R45" s="82"/>
      <c r="S45" s="82"/>
    </row>
    <row r="46" spans="1:19" s="4" customFormat="1" ht="11.4" x14ac:dyDescent="0.2">
      <c r="A46" s="1"/>
      <c r="B46" s="1"/>
      <c r="C46" s="8" t="s">
        <v>157</v>
      </c>
      <c r="D46" s="3"/>
      <c r="E46" s="3"/>
      <c r="F46" s="3"/>
      <c r="G46" s="3"/>
      <c r="H46" s="3"/>
      <c r="I46" s="3"/>
      <c r="J46" s="3"/>
      <c r="K46" s="3"/>
      <c r="L46" s="3"/>
      <c r="M46" s="3"/>
      <c r="N46" s="3"/>
      <c r="O46" s="3"/>
      <c r="P46" s="3"/>
      <c r="Q46" s="3"/>
      <c r="R46" s="3"/>
      <c r="S46" s="3"/>
    </row>
    <row r="47" spans="1:19" x14ac:dyDescent="0.3">
      <c r="A47" s="1"/>
      <c r="B47" s="1"/>
      <c r="C47" s="6" t="s">
        <v>156</v>
      </c>
      <c r="D47" s="2" t="s">
        <v>4</v>
      </c>
      <c r="E47" s="2" t="s">
        <v>346</v>
      </c>
      <c r="F47" s="82">
        <f>SUMPRODUCT(H37:Q37,H38:Q38)</f>
        <v>109822.86470035352</v>
      </c>
      <c r="G47" s="1"/>
      <c r="H47" s="1"/>
      <c r="I47" s="1"/>
      <c r="J47" s="1"/>
      <c r="K47" s="1"/>
      <c r="L47" s="1"/>
      <c r="M47" s="1"/>
      <c r="N47" s="1"/>
      <c r="O47" s="1"/>
      <c r="P47" s="1"/>
      <c r="Q47" s="1"/>
      <c r="R47" s="1"/>
      <c r="S47" s="1"/>
    </row>
    <row r="48" spans="1:19" x14ac:dyDescent="0.3">
      <c r="A48" s="1"/>
      <c r="B48" s="86">
        <f>Control!C24</f>
        <v>1</v>
      </c>
      <c r="C48" s="6" t="s">
        <v>155</v>
      </c>
      <c r="D48" s="2" t="s">
        <v>4</v>
      </c>
      <c r="E48" s="2" t="s">
        <v>346</v>
      </c>
      <c r="F48" s="82">
        <f>CHOOSE($B$48, F49, F50)</f>
        <v>455751.14803780854</v>
      </c>
      <c r="G48" s="1"/>
      <c r="H48" s="1"/>
      <c r="I48" s="1"/>
      <c r="J48" s="1"/>
      <c r="K48" s="1"/>
      <c r="L48" s="1"/>
      <c r="M48" s="1"/>
      <c r="N48" s="1"/>
      <c r="O48" s="1"/>
      <c r="P48" s="1"/>
      <c r="Q48" s="1"/>
      <c r="R48" s="1"/>
      <c r="S48" s="1"/>
    </row>
    <row r="49" spans="1:19" x14ac:dyDescent="0.3">
      <c r="A49" s="1"/>
      <c r="B49" s="1"/>
      <c r="C49" s="21" t="s">
        <v>47</v>
      </c>
      <c r="D49" s="2" t="s">
        <v>4</v>
      </c>
      <c r="E49" s="2" t="s">
        <v>346</v>
      </c>
      <c r="F49" s="82">
        <f>R37*Q38/(Inputs!F64-Inputs!F79)</f>
        <v>455751.14803780854</v>
      </c>
      <c r="G49" s="1"/>
      <c r="H49" s="1"/>
      <c r="I49" s="1"/>
      <c r="J49" s="1"/>
      <c r="K49" s="1"/>
      <c r="L49" s="1"/>
      <c r="M49" s="1"/>
      <c r="N49" s="1"/>
      <c r="O49" s="1"/>
      <c r="P49" s="1"/>
      <c r="Q49" s="1"/>
      <c r="R49" s="1"/>
      <c r="S49" s="1"/>
    </row>
    <row r="50" spans="1:19" x14ac:dyDescent="0.3">
      <c r="A50" s="1"/>
      <c r="B50" s="1"/>
      <c r="C50" s="21" t="s">
        <v>388</v>
      </c>
      <c r="D50" s="2" t="s">
        <v>4</v>
      </c>
      <c r="E50" s="2" t="s">
        <v>346</v>
      </c>
      <c r="F50" s="82">
        <f>F99*Q41*Inputs!Q76</f>
        <v>541684.7725390821</v>
      </c>
      <c r="G50" s="1"/>
      <c r="H50" s="1"/>
      <c r="I50" s="1"/>
      <c r="J50" s="1"/>
      <c r="K50" s="1"/>
      <c r="L50" s="1"/>
      <c r="M50" s="1"/>
      <c r="N50" s="1"/>
      <c r="O50" s="1"/>
      <c r="P50" s="1"/>
      <c r="Q50" s="1"/>
      <c r="R50" s="1"/>
      <c r="S50" s="1"/>
    </row>
    <row r="51" spans="1:19" x14ac:dyDescent="0.3">
      <c r="A51" s="1"/>
      <c r="B51" s="1"/>
      <c r="C51" s="1" t="s">
        <v>154</v>
      </c>
      <c r="D51" s="2" t="s">
        <v>4</v>
      </c>
      <c r="E51" s="2" t="s">
        <v>346</v>
      </c>
      <c r="F51" s="103">
        <f>F47+F48</f>
        <v>565574.01273816207</v>
      </c>
      <c r="G51" s="1"/>
      <c r="H51" s="1"/>
      <c r="I51" s="1"/>
      <c r="J51" s="1"/>
      <c r="K51" s="1"/>
      <c r="L51" s="1"/>
      <c r="M51" s="1"/>
      <c r="N51" s="1"/>
      <c r="O51" s="1"/>
      <c r="P51" s="1"/>
      <c r="Q51" s="1"/>
      <c r="R51" s="1"/>
      <c r="S51" s="1"/>
    </row>
    <row r="52" spans="1:19" x14ac:dyDescent="0.3">
      <c r="A52" s="1"/>
      <c r="B52" s="1"/>
      <c r="C52" s="6" t="s">
        <v>153</v>
      </c>
      <c r="D52" s="2" t="s">
        <v>10</v>
      </c>
      <c r="E52" s="2" t="s">
        <v>346</v>
      </c>
      <c r="F52" s="84">
        <f>BS!G35</f>
        <v>38116</v>
      </c>
      <c r="G52" s="1"/>
      <c r="H52" s="1"/>
      <c r="I52" s="1"/>
      <c r="J52" s="1"/>
      <c r="K52" s="1"/>
      <c r="L52" s="1"/>
      <c r="M52" s="1"/>
      <c r="N52" s="1"/>
      <c r="O52" s="1"/>
      <c r="P52" s="1"/>
      <c r="Q52" s="1"/>
      <c r="R52" s="1"/>
      <c r="S52" s="1"/>
    </row>
    <row r="53" spans="1:19" x14ac:dyDescent="0.3">
      <c r="A53" s="1"/>
      <c r="B53" s="1"/>
      <c r="C53" s="6" t="s">
        <v>152</v>
      </c>
      <c r="D53" s="2" t="s">
        <v>10</v>
      </c>
      <c r="E53" s="2" t="s">
        <v>346</v>
      </c>
      <c r="F53" s="84">
        <f>BS!G8</f>
        <v>9684</v>
      </c>
      <c r="G53" s="1"/>
      <c r="H53" s="1"/>
      <c r="I53" s="1"/>
      <c r="J53" s="1"/>
      <c r="K53" s="1"/>
      <c r="L53" s="1"/>
      <c r="M53" s="1"/>
      <c r="N53" s="1"/>
      <c r="O53" s="1"/>
      <c r="P53" s="1"/>
      <c r="Q53" s="1"/>
      <c r="R53" s="1"/>
      <c r="S53" s="1"/>
    </row>
    <row r="54" spans="1:19" x14ac:dyDescent="0.3">
      <c r="A54" s="1"/>
      <c r="B54" s="1"/>
      <c r="C54" s="6" t="s">
        <v>151</v>
      </c>
      <c r="D54" s="2" t="s">
        <v>4</v>
      </c>
      <c r="E54" s="2" t="s">
        <v>346</v>
      </c>
      <c r="F54" s="84">
        <f>F55+F56+F57-F58-F59</f>
        <v>-88</v>
      </c>
      <c r="G54" s="1"/>
      <c r="H54" s="1"/>
      <c r="I54" s="1"/>
      <c r="J54" s="1"/>
      <c r="K54" s="1"/>
      <c r="L54" s="1"/>
      <c r="M54" s="1"/>
      <c r="N54" s="1"/>
      <c r="O54" s="1"/>
      <c r="P54" s="1"/>
      <c r="Q54" s="1"/>
      <c r="R54" s="1"/>
      <c r="S54" s="1"/>
    </row>
    <row r="55" spans="1:19" x14ac:dyDescent="0.3">
      <c r="A55" s="1"/>
      <c r="B55" s="1"/>
      <c r="C55" s="21" t="s">
        <v>150</v>
      </c>
      <c r="D55" s="2" t="s">
        <v>10</v>
      </c>
      <c r="E55" s="2" t="s">
        <v>346</v>
      </c>
      <c r="F55" s="84">
        <f>BS!G12</f>
        <v>2994</v>
      </c>
      <c r="G55" s="1"/>
      <c r="H55" s="1"/>
      <c r="I55" s="1"/>
      <c r="J55" s="1"/>
      <c r="K55" s="1"/>
      <c r="L55" s="1"/>
      <c r="M55" s="1"/>
      <c r="N55" s="1"/>
      <c r="O55" s="1"/>
      <c r="P55" s="1"/>
      <c r="Q55" s="1"/>
      <c r="R55" s="1"/>
      <c r="S55" s="1"/>
    </row>
    <row r="56" spans="1:19" x14ac:dyDescent="0.3">
      <c r="A56" s="1"/>
      <c r="B56" s="1"/>
      <c r="C56" s="21" t="s">
        <v>411</v>
      </c>
      <c r="D56" s="2" t="s">
        <v>10</v>
      </c>
      <c r="E56" s="2" t="s">
        <v>346</v>
      </c>
      <c r="F56" s="84">
        <f>BS!G18</f>
        <v>818</v>
      </c>
      <c r="G56" s="1"/>
      <c r="H56" s="1"/>
      <c r="I56" s="1"/>
      <c r="J56" s="1"/>
      <c r="K56" s="1"/>
      <c r="L56" s="1"/>
      <c r="M56" s="1"/>
      <c r="N56" s="1"/>
      <c r="O56" s="1"/>
      <c r="P56" s="1"/>
      <c r="Q56" s="1"/>
      <c r="R56" s="1"/>
      <c r="S56" s="1"/>
    </row>
    <row r="57" spans="1:19" x14ac:dyDescent="0.3">
      <c r="A57" s="1"/>
      <c r="B57" s="1"/>
      <c r="C57" s="21" t="s">
        <v>149</v>
      </c>
      <c r="D57" s="2" t="s">
        <v>10</v>
      </c>
      <c r="E57" s="2" t="s">
        <v>346</v>
      </c>
      <c r="F57" s="84">
        <f>BS!G22</f>
        <v>6731</v>
      </c>
      <c r="G57" s="1"/>
      <c r="H57" s="1"/>
      <c r="I57" s="1"/>
      <c r="J57" s="1"/>
      <c r="K57" s="1"/>
      <c r="L57" s="1"/>
      <c r="M57" s="1"/>
      <c r="N57" s="1"/>
      <c r="O57" s="1"/>
      <c r="P57" s="1"/>
      <c r="Q57" s="1"/>
      <c r="R57" s="1"/>
      <c r="S57" s="1"/>
    </row>
    <row r="58" spans="1:19" x14ac:dyDescent="0.3">
      <c r="A58" s="1"/>
      <c r="B58" s="1"/>
      <c r="C58" s="21" t="s">
        <v>148</v>
      </c>
      <c r="D58" s="2" t="s">
        <v>10</v>
      </c>
      <c r="E58" s="2" t="s">
        <v>346</v>
      </c>
      <c r="F58" s="84">
        <f>BS!G31+BS!G30</f>
        <v>2024</v>
      </c>
      <c r="G58" s="1"/>
      <c r="H58" s="1"/>
      <c r="I58" s="1"/>
      <c r="J58" s="1"/>
      <c r="K58" s="1"/>
      <c r="L58" s="1"/>
      <c r="M58" s="1"/>
      <c r="N58" s="1"/>
      <c r="O58" s="1"/>
      <c r="P58" s="1"/>
      <c r="Q58" s="1"/>
      <c r="R58" s="1"/>
      <c r="S58" s="1"/>
    </row>
    <row r="59" spans="1:19" x14ac:dyDescent="0.3">
      <c r="A59" s="1"/>
      <c r="B59" s="1"/>
      <c r="C59" s="21" t="s">
        <v>147</v>
      </c>
      <c r="D59" s="2" t="s">
        <v>10</v>
      </c>
      <c r="E59" s="2" t="s">
        <v>346</v>
      </c>
      <c r="F59" s="84">
        <f>BS!G36</f>
        <v>8607</v>
      </c>
      <c r="G59" s="1"/>
      <c r="H59" s="1"/>
      <c r="I59" s="1"/>
      <c r="J59" s="1"/>
      <c r="K59" s="1"/>
      <c r="L59" s="1"/>
      <c r="M59" s="1"/>
      <c r="N59" s="1"/>
      <c r="O59" s="1"/>
      <c r="P59" s="1"/>
      <c r="Q59" s="1"/>
      <c r="R59" s="1"/>
      <c r="S59" s="1"/>
    </row>
    <row r="60" spans="1:19" x14ac:dyDescent="0.3">
      <c r="A60" s="1"/>
      <c r="B60" s="1"/>
      <c r="C60" s="1" t="s">
        <v>146</v>
      </c>
      <c r="D60" s="2" t="s">
        <v>4</v>
      </c>
      <c r="E60" s="2" t="s">
        <v>346</v>
      </c>
      <c r="F60" s="103">
        <f>F51+F52-F53+F54</f>
        <v>593918.01273816207</v>
      </c>
      <c r="G60" s="1"/>
      <c r="H60" s="1"/>
      <c r="I60" s="1"/>
      <c r="J60" s="1"/>
      <c r="K60" s="1"/>
      <c r="L60" s="1"/>
      <c r="M60" s="1"/>
      <c r="N60" s="1"/>
      <c r="O60" s="1"/>
      <c r="P60" s="1"/>
      <c r="Q60" s="1"/>
      <c r="R60" s="1"/>
      <c r="S60" s="1"/>
    </row>
    <row r="61" spans="1:19" x14ac:dyDescent="0.3">
      <c r="A61" s="1"/>
      <c r="B61" s="1"/>
      <c r="C61" s="1" t="s">
        <v>413</v>
      </c>
      <c r="D61" s="2" t="s">
        <v>10</v>
      </c>
      <c r="E61" s="2" t="s">
        <v>346</v>
      </c>
      <c r="F61" s="226">
        <f>BS!G35</f>
        <v>38116</v>
      </c>
      <c r="G61" s="1"/>
      <c r="H61" s="1"/>
      <c r="I61" s="1"/>
      <c r="J61" s="1"/>
      <c r="K61" s="1"/>
      <c r="L61" s="1"/>
      <c r="M61" s="1"/>
      <c r="N61" s="1"/>
      <c r="O61" s="1"/>
      <c r="P61" s="1"/>
      <c r="Q61" s="1"/>
      <c r="R61" s="1"/>
      <c r="S61" s="1"/>
    </row>
    <row r="62" spans="1:19" x14ac:dyDescent="0.3">
      <c r="A62" s="1"/>
      <c r="B62" s="1"/>
      <c r="C62" s="1" t="s">
        <v>414</v>
      </c>
      <c r="D62" s="2" t="s">
        <v>10</v>
      </c>
      <c r="E62" s="2" t="s">
        <v>346</v>
      </c>
      <c r="F62" s="226">
        <f>BS!G8</f>
        <v>9684</v>
      </c>
      <c r="G62" s="1"/>
      <c r="H62" s="1"/>
      <c r="I62" s="1"/>
      <c r="J62" s="1"/>
      <c r="K62" s="1"/>
      <c r="L62" s="1"/>
      <c r="M62" s="1"/>
      <c r="N62" s="1"/>
      <c r="O62" s="1"/>
      <c r="P62" s="1"/>
      <c r="Q62" s="1"/>
      <c r="R62" s="1"/>
      <c r="S62" s="1"/>
    </row>
    <row r="63" spans="1:19" x14ac:dyDescent="0.3">
      <c r="A63" s="1"/>
      <c r="B63" s="1"/>
      <c r="C63" s="1" t="s">
        <v>415</v>
      </c>
      <c r="D63" s="2" t="s">
        <v>4</v>
      </c>
      <c r="E63" s="2" t="s">
        <v>346</v>
      </c>
      <c r="F63" s="226">
        <f>F60-F61+F62</f>
        <v>565486.01273816207</v>
      </c>
      <c r="G63" s="1"/>
      <c r="H63" s="1"/>
      <c r="I63" s="1"/>
      <c r="J63" s="1"/>
      <c r="K63" s="1"/>
      <c r="L63" s="1"/>
      <c r="M63" s="1"/>
      <c r="N63" s="1"/>
      <c r="O63" s="1"/>
      <c r="P63" s="1"/>
      <c r="Q63" s="1"/>
      <c r="R63" s="1"/>
      <c r="S63" s="1"/>
    </row>
    <row r="64" spans="1:19" x14ac:dyDescent="0.3">
      <c r="A64" s="1"/>
      <c r="B64" s="1"/>
      <c r="C64" s="7" t="s">
        <v>416</v>
      </c>
      <c r="D64" s="2" t="s">
        <v>10</v>
      </c>
      <c r="E64" s="2" t="s">
        <v>347</v>
      </c>
      <c r="F64" s="227">
        <v>4320</v>
      </c>
      <c r="G64" s="1"/>
      <c r="H64" s="1"/>
      <c r="I64" s="1"/>
      <c r="J64" s="1"/>
      <c r="K64" s="1"/>
      <c r="L64" s="1"/>
      <c r="M64" s="1"/>
      <c r="N64" s="1"/>
      <c r="O64" s="1"/>
      <c r="P64" s="1"/>
      <c r="Q64" s="1"/>
      <c r="R64" s="1"/>
      <c r="S64" s="1"/>
    </row>
    <row r="65" spans="1:19" x14ac:dyDescent="0.3">
      <c r="A65" s="1"/>
      <c r="B65" s="1"/>
      <c r="C65" s="17" t="s">
        <v>417</v>
      </c>
      <c r="D65" s="2" t="s">
        <v>4</v>
      </c>
      <c r="E65" s="2" t="s">
        <v>348</v>
      </c>
      <c r="F65" s="229">
        <f>F63/F64</f>
        <v>130.89953998568566</v>
      </c>
      <c r="G65" s="1"/>
      <c r="H65" s="1"/>
      <c r="I65" s="1"/>
      <c r="J65" s="1"/>
      <c r="K65" s="1"/>
      <c r="L65" s="1"/>
      <c r="M65" s="1"/>
      <c r="N65" s="1"/>
      <c r="O65" s="1"/>
      <c r="P65" s="1"/>
      <c r="Q65" s="1"/>
      <c r="R65" s="1"/>
      <c r="S65" s="1"/>
    </row>
    <row r="66" spans="1:19" x14ac:dyDescent="0.3">
      <c r="A66" s="1"/>
      <c r="B66" s="1"/>
      <c r="C66" s="15" t="s">
        <v>418</v>
      </c>
      <c r="D66" s="2" t="s">
        <v>10</v>
      </c>
      <c r="E66" s="2" t="s">
        <v>348</v>
      </c>
      <c r="F66" s="228">
        <v>64.36</v>
      </c>
      <c r="G66" s="1"/>
      <c r="H66" s="1"/>
      <c r="I66" s="1"/>
      <c r="J66" s="1"/>
      <c r="K66" s="1"/>
      <c r="L66" s="1"/>
      <c r="M66" s="1"/>
      <c r="N66" s="1"/>
      <c r="O66" s="1"/>
      <c r="P66" s="1"/>
      <c r="Q66" s="1"/>
      <c r="R66" s="1"/>
      <c r="S66" s="1"/>
    </row>
    <row r="67" spans="1:19" x14ac:dyDescent="0.3">
      <c r="A67" s="1"/>
      <c r="B67" s="1"/>
      <c r="C67" s="7" t="s">
        <v>419</v>
      </c>
      <c r="D67" s="2" t="s">
        <v>4</v>
      </c>
      <c r="E67" s="2" t="s">
        <v>1</v>
      </c>
      <c r="F67" s="230">
        <f>(F65-F66)/F66</f>
        <v>1.0338648226489382</v>
      </c>
      <c r="G67" s="1"/>
      <c r="H67" s="1"/>
      <c r="I67" s="1"/>
      <c r="J67" s="1"/>
      <c r="K67" s="1"/>
      <c r="L67" s="1"/>
      <c r="M67" s="1"/>
      <c r="N67" s="1"/>
      <c r="O67" s="1"/>
      <c r="P67" s="1"/>
      <c r="Q67" s="1"/>
      <c r="R67" s="1"/>
      <c r="S67" s="1"/>
    </row>
    <row r="68" spans="1:19" x14ac:dyDescent="0.3">
      <c r="A68" s="1"/>
      <c r="B68" s="1"/>
      <c r="C68" s="7"/>
      <c r="D68" s="1"/>
      <c r="E68" s="1"/>
      <c r="F68" s="227"/>
      <c r="G68" s="1"/>
      <c r="H68" s="1"/>
      <c r="I68" s="1"/>
      <c r="J68" s="1"/>
      <c r="K68" s="1"/>
      <c r="L68" s="1"/>
      <c r="M68" s="1"/>
      <c r="N68" s="1"/>
      <c r="O68" s="1"/>
      <c r="P68" s="1"/>
      <c r="Q68" s="1"/>
      <c r="R68" s="1"/>
      <c r="S68" s="1"/>
    </row>
    <row r="69" spans="1:19" s="4" customFormat="1" ht="11.4" x14ac:dyDescent="0.2">
      <c r="A69" s="1"/>
      <c r="B69" s="1"/>
      <c r="C69" s="8" t="s">
        <v>145</v>
      </c>
      <c r="D69" s="3"/>
      <c r="E69" s="3"/>
      <c r="F69" s="3"/>
      <c r="G69" s="3"/>
      <c r="H69" s="3"/>
      <c r="I69" s="3"/>
      <c r="J69" s="3"/>
      <c r="K69" s="3"/>
      <c r="L69" s="3"/>
      <c r="M69" s="3"/>
      <c r="N69" s="3"/>
      <c r="O69" s="3"/>
      <c r="P69" s="3"/>
      <c r="Q69" s="3"/>
      <c r="R69" s="3"/>
      <c r="S69" s="3"/>
    </row>
    <row r="70" spans="1:19" x14ac:dyDescent="0.3">
      <c r="A70" s="1"/>
      <c r="B70" s="1"/>
      <c r="C70" s="7" t="s">
        <v>57</v>
      </c>
      <c r="D70" s="1"/>
      <c r="E70" s="1"/>
      <c r="F70" s="107" t="s">
        <v>137</v>
      </c>
      <c r="G70" s="107" t="s">
        <v>136</v>
      </c>
      <c r="H70" s="107" t="s">
        <v>135</v>
      </c>
      <c r="I70" s="1"/>
      <c r="J70" s="1"/>
      <c r="K70" s="1"/>
      <c r="L70" s="1"/>
      <c r="M70" s="1"/>
      <c r="N70" s="1"/>
      <c r="O70" s="1"/>
      <c r="P70" s="1"/>
      <c r="Q70" s="1"/>
      <c r="R70" s="1"/>
      <c r="S70" s="1"/>
    </row>
    <row r="71" spans="1:19" x14ac:dyDescent="0.3">
      <c r="A71" s="1"/>
      <c r="B71" s="1"/>
      <c r="C71" s="81" t="s">
        <v>143</v>
      </c>
      <c r="D71" s="20" t="s">
        <v>10</v>
      </c>
      <c r="E71" s="20" t="s">
        <v>2</v>
      </c>
      <c r="F71" s="104">
        <f>F98</f>
        <v>6.1</v>
      </c>
      <c r="G71" s="104">
        <f>G98</f>
        <v>3.7</v>
      </c>
      <c r="H71" s="104">
        <f>H98</f>
        <v>7.8</v>
      </c>
      <c r="I71" s="1"/>
      <c r="J71" s="1"/>
      <c r="K71" s="1"/>
      <c r="L71" s="1"/>
      <c r="M71" s="1"/>
      <c r="N71" s="1"/>
      <c r="O71" s="1"/>
      <c r="P71" s="1"/>
      <c r="Q71" s="1"/>
      <c r="R71" s="1"/>
      <c r="S71" s="1"/>
    </row>
    <row r="72" spans="1:19" x14ac:dyDescent="0.3">
      <c r="A72" s="1"/>
      <c r="B72" s="1"/>
      <c r="C72" s="6" t="s">
        <v>144</v>
      </c>
      <c r="D72" s="2" t="s">
        <v>10</v>
      </c>
      <c r="E72" s="2" t="s">
        <v>346</v>
      </c>
      <c r="F72" s="82">
        <f>G6</f>
        <v>38655</v>
      </c>
      <c r="G72" s="105">
        <f>F72</f>
        <v>38655</v>
      </c>
      <c r="H72" s="105">
        <f>F72</f>
        <v>38655</v>
      </c>
      <c r="I72" s="1"/>
      <c r="J72" s="1"/>
      <c r="K72" s="1"/>
      <c r="L72" s="1"/>
      <c r="M72" s="1"/>
      <c r="N72" s="1"/>
      <c r="O72" s="1"/>
      <c r="P72" s="1"/>
      <c r="Q72" s="1"/>
      <c r="R72" s="1"/>
      <c r="S72" s="1"/>
    </row>
    <row r="73" spans="1:19" x14ac:dyDescent="0.3">
      <c r="A73" s="1"/>
      <c r="B73" s="1"/>
      <c r="C73" s="6" t="s">
        <v>73</v>
      </c>
      <c r="D73" s="2" t="s">
        <v>10</v>
      </c>
      <c r="E73" s="2" t="s">
        <v>2</v>
      </c>
      <c r="F73" s="225">
        <f>Inputs!G76</f>
        <v>1</v>
      </c>
      <c r="G73" s="225">
        <f>F73</f>
        <v>1</v>
      </c>
      <c r="H73" s="225">
        <f>F73</f>
        <v>1</v>
      </c>
      <c r="I73" s="1"/>
      <c r="J73" s="1"/>
      <c r="K73" s="1"/>
      <c r="L73" s="1"/>
      <c r="M73" s="1"/>
      <c r="N73" s="1"/>
      <c r="O73" s="1"/>
      <c r="P73" s="1"/>
      <c r="Q73" s="1"/>
      <c r="R73" s="1"/>
      <c r="S73" s="1"/>
    </row>
    <row r="74" spans="1:19" x14ac:dyDescent="0.3">
      <c r="A74" s="1"/>
      <c r="B74" s="1"/>
      <c r="C74" s="14" t="s">
        <v>142</v>
      </c>
      <c r="D74" s="2" t="s">
        <v>4</v>
      </c>
      <c r="E74" s="2" t="s">
        <v>346</v>
      </c>
      <c r="F74" s="103">
        <f>F72*F71*F73</f>
        <v>235795.5</v>
      </c>
      <c r="G74" s="103">
        <f>G72*G71*G73</f>
        <v>143023.5</v>
      </c>
      <c r="H74" s="103">
        <f>H72*H71*H73</f>
        <v>301509</v>
      </c>
      <c r="I74" s="106"/>
      <c r="J74" s="1"/>
      <c r="K74" s="1"/>
      <c r="L74" s="1"/>
      <c r="M74" s="1"/>
      <c r="N74" s="1"/>
      <c r="O74" s="1"/>
      <c r="P74" s="1"/>
      <c r="Q74" s="1"/>
      <c r="R74" s="1"/>
      <c r="S74" s="1"/>
    </row>
    <row r="75" spans="1:19" x14ac:dyDescent="0.3">
      <c r="A75" s="1"/>
      <c r="B75" s="1"/>
      <c r="C75" s="6" t="s">
        <v>141</v>
      </c>
      <c r="D75" s="2" t="s">
        <v>4</v>
      </c>
      <c r="E75" s="2" t="s">
        <v>346</v>
      </c>
      <c r="F75" s="84">
        <f>F52</f>
        <v>38116</v>
      </c>
      <c r="G75" s="105">
        <f>F75</f>
        <v>38116</v>
      </c>
      <c r="H75" s="105">
        <f>F75</f>
        <v>38116</v>
      </c>
      <c r="I75" s="1"/>
      <c r="J75" s="1"/>
      <c r="K75" s="1"/>
      <c r="L75" s="1"/>
      <c r="M75" s="1"/>
      <c r="N75" s="1"/>
      <c r="O75" s="1"/>
      <c r="P75" s="1"/>
      <c r="Q75" s="1"/>
      <c r="R75" s="1"/>
      <c r="S75" s="1"/>
    </row>
    <row r="76" spans="1:19" x14ac:dyDescent="0.3">
      <c r="A76" s="1"/>
      <c r="B76" s="1"/>
      <c r="C76" s="6" t="s">
        <v>140</v>
      </c>
      <c r="D76" s="2" t="s">
        <v>4</v>
      </c>
      <c r="E76" s="2" t="s">
        <v>346</v>
      </c>
      <c r="F76" s="84">
        <f>F53</f>
        <v>9684</v>
      </c>
      <c r="G76" s="105">
        <f>F76</f>
        <v>9684</v>
      </c>
      <c r="H76" s="105">
        <f>F76</f>
        <v>9684</v>
      </c>
      <c r="I76" s="1"/>
      <c r="J76" s="1"/>
      <c r="K76" s="1"/>
      <c r="L76" s="1"/>
      <c r="M76" s="1"/>
      <c r="N76" s="1"/>
      <c r="O76" s="1"/>
      <c r="P76" s="1"/>
      <c r="Q76" s="1"/>
      <c r="R76" s="1"/>
      <c r="S76" s="1"/>
    </row>
    <row r="77" spans="1:19" x14ac:dyDescent="0.3">
      <c r="A77" s="1"/>
      <c r="B77" s="1"/>
      <c r="C77" s="14" t="s">
        <v>139</v>
      </c>
      <c r="D77" s="2" t="s">
        <v>4</v>
      </c>
      <c r="E77" s="2" t="s">
        <v>346</v>
      </c>
      <c r="F77" s="103">
        <f>F74-F75+F76</f>
        <v>207363.5</v>
      </c>
      <c r="G77" s="103">
        <f>G74-G75+G76</f>
        <v>114591.5</v>
      </c>
      <c r="H77" s="103">
        <f>H74-H75+H76</f>
        <v>273077</v>
      </c>
      <c r="I77" s="1"/>
      <c r="J77" s="1"/>
      <c r="K77" s="1"/>
      <c r="L77" s="1"/>
      <c r="M77" s="1"/>
      <c r="N77" s="1"/>
      <c r="O77" s="1"/>
      <c r="P77" s="1"/>
      <c r="Q77" s="1"/>
      <c r="R77" s="1"/>
      <c r="S77" s="1"/>
    </row>
    <row r="78" spans="1:19" x14ac:dyDescent="0.3">
      <c r="A78" s="1"/>
      <c r="B78" s="1"/>
      <c r="C78" s="14"/>
      <c r="D78" s="2"/>
      <c r="E78" s="2"/>
      <c r="F78" s="82"/>
      <c r="G78" s="1"/>
      <c r="H78" s="1"/>
      <c r="I78" s="1"/>
      <c r="J78" s="1"/>
      <c r="K78" s="1"/>
      <c r="L78" s="1"/>
      <c r="M78" s="1"/>
      <c r="N78" s="1"/>
      <c r="O78" s="1"/>
      <c r="P78" s="1"/>
      <c r="Q78" s="1"/>
      <c r="R78" s="1"/>
      <c r="S78" s="1"/>
    </row>
    <row r="79" spans="1:19" x14ac:dyDescent="0.3">
      <c r="A79" s="1"/>
      <c r="B79" s="1"/>
      <c r="C79" s="7" t="s">
        <v>426</v>
      </c>
      <c r="D79" s="1"/>
      <c r="E79" s="1"/>
      <c r="F79" s="1"/>
      <c r="G79" s="1"/>
      <c r="H79" s="1"/>
      <c r="I79" s="1"/>
      <c r="J79" s="1"/>
      <c r="K79" s="1"/>
      <c r="L79" s="1"/>
      <c r="M79" s="1"/>
      <c r="N79" s="1"/>
      <c r="O79" s="1"/>
      <c r="P79" s="1"/>
      <c r="Q79" s="1"/>
      <c r="R79" s="1"/>
      <c r="S79" s="1"/>
    </row>
    <row r="80" spans="1:19" x14ac:dyDescent="0.3">
      <c r="A80" s="1"/>
      <c r="B80" s="1"/>
      <c r="C80" s="81" t="s">
        <v>143</v>
      </c>
      <c r="D80" s="20" t="s">
        <v>10</v>
      </c>
      <c r="E80" s="20" t="s">
        <v>2</v>
      </c>
      <c r="F80" s="104">
        <f>F98</f>
        <v>6.1</v>
      </c>
      <c r="G80" s="104">
        <f>G98</f>
        <v>3.7</v>
      </c>
      <c r="H80" s="104">
        <f>H98</f>
        <v>7.8</v>
      </c>
      <c r="I80" s="1"/>
      <c r="J80" s="1"/>
      <c r="K80" s="1"/>
      <c r="L80" s="1"/>
      <c r="M80" s="1"/>
      <c r="N80" s="1"/>
      <c r="O80" s="1"/>
      <c r="P80" s="1"/>
      <c r="Q80" s="1"/>
      <c r="R80" s="1"/>
      <c r="S80" s="1"/>
    </row>
    <row r="81" spans="1:19" x14ac:dyDescent="0.3">
      <c r="A81" s="1"/>
      <c r="B81" s="1"/>
      <c r="C81" s="6" t="s">
        <v>425</v>
      </c>
      <c r="D81" s="2" t="s">
        <v>10</v>
      </c>
      <c r="E81" s="2" t="s">
        <v>346</v>
      </c>
      <c r="F81" s="82">
        <f>Q6</f>
        <v>96638.825475468635</v>
      </c>
      <c r="G81" s="82">
        <f>F81</f>
        <v>96638.825475468635</v>
      </c>
      <c r="H81" s="82">
        <f>F81</f>
        <v>96638.825475468635</v>
      </c>
      <c r="I81" s="1"/>
      <c r="J81" s="1"/>
      <c r="K81" s="1"/>
      <c r="L81" s="1"/>
      <c r="M81" s="1"/>
      <c r="N81" s="1"/>
      <c r="O81" s="1"/>
      <c r="P81" s="1"/>
      <c r="Q81" s="1"/>
      <c r="R81" s="1"/>
      <c r="S81" s="1"/>
    </row>
    <row r="82" spans="1:19" x14ac:dyDescent="0.3">
      <c r="A82" s="1"/>
      <c r="B82" s="1"/>
      <c r="C82" s="6" t="s">
        <v>73</v>
      </c>
      <c r="D82" s="2" t="s">
        <v>10</v>
      </c>
      <c r="E82" s="2" t="s">
        <v>2</v>
      </c>
      <c r="F82" s="100">
        <f>Inputs!Q76</f>
        <v>0.55133672594565863</v>
      </c>
      <c r="G82" s="100">
        <f>F82</f>
        <v>0.55133672594565863</v>
      </c>
      <c r="H82" s="100">
        <f>F82</f>
        <v>0.55133672594565863</v>
      </c>
      <c r="I82" s="1"/>
      <c r="J82" s="1"/>
      <c r="K82" s="1"/>
      <c r="L82" s="1"/>
      <c r="M82" s="1"/>
      <c r="N82" s="1"/>
      <c r="O82" s="1"/>
      <c r="P82" s="1"/>
      <c r="Q82" s="1"/>
      <c r="R82" s="1"/>
      <c r="S82" s="1"/>
    </row>
    <row r="83" spans="1:19" x14ac:dyDescent="0.3">
      <c r="A83" s="1"/>
      <c r="B83" s="1"/>
      <c r="C83" s="14" t="s">
        <v>142</v>
      </c>
      <c r="D83" s="2" t="s">
        <v>4</v>
      </c>
      <c r="E83" s="2" t="s">
        <v>346</v>
      </c>
      <c r="F83" s="103">
        <f>F81*F80*F82</f>
        <v>325011.25518496055</v>
      </c>
      <c r="G83" s="103">
        <f>G81*G80*G82</f>
        <v>197137.97445645151</v>
      </c>
      <c r="H83" s="103">
        <f>H81*H80*H82</f>
        <v>415588.1623676545</v>
      </c>
      <c r="I83" s="1"/>
      <c r="J83" s="1"/>
      <c r="K83" s="1"/>
      <c r="L83" s="1"/>
      <c r="M83" s="1"/>
      <c r="N83" s="1"/>
      <c r="O83" s="1"/>
      <c r="P83" s="1"/>
      <c r="Q83" s="1"/>
      <c r="R83" s="1"/>
      <c r="S83" s="1"/>
    </row>
    <row r="84" spans="1:19" x14ac:dyDescent="0.3">
      <c r="A84" s="1"/>
      <c r="B84" s="1"/>
      <c r="C84" s="6" t="s">
        <v>141</v>
      </c>
      <c r="D84" s="2" t="s">
        <v>4</v>
      </c>
      <c r="E84" s="2" t="s">
        <v>346</v>
      </c>
      <c r="F84" s="84">
        <f>BS!Q35</f>
        <v>0</v>
      </c>
      <c r="G84" s="84">
        <f>F84</f>
        <v>0</v>
      </c>
      <c r="H84" s="84">
        <f>F84</f>
        <v>0</v>
      </c>
      <c r="I84" s="1"/>
      <c r="J84" s="1"/>
      <c r="K84" s="1"/>
      <c r="L84" s="1"/>
      <c r="M84" s="1"/>
      <c r="N84" s="1"/>
      <c r="O84" s="1"/>
      <c r="P84" s="1"/>
      <c r="Q84" s="1"/>
      <c r="R84" s="1"/>
      <c r="S84" s="1"/>
    </row>
    <row r="85" spans="1:19" x14ac:dyDescent="0.3">
      <c r="A85" s="1"/>
      <c r="B85" s="1"/>
      <c r="C85" s="6" t="s">
        <v>140</v>
      </c>
      <c r="D85" s="2" t="s">
        <v>4</v>
      </c>
      <c r="E85" s="2" t="s">
        <v>346</v>
      </c>
      <c r="F85" s="84">
        <f>BS!Q8</f>
        <v>2666.7399820205283</v>
      </c>
      <c r="G85" s="84">
        <f>F85</f>
        <v>2666.7399820205283</v>
      </c>
      <c r="H85" s="84">
        <f>F85</f>
        <v>2666.7399820205283</v>
      </c>
      <c r="I85" s="1"/>
      <c r="J85" s="1"/>
      <c r="K85" s="1"/>
      <c r="L85" s="1"/>
      <c r="M85" s="1"/>
      <c r="N85" s="1"/>
      <c r="O85" s="1"/>
      <c r="P85" s="1"/>
      <c r="Q85" s="1"/>
      <c r="R85" s="1"/>
      <c r="S85" s="1"/>
    </row>
    <row r="86" spans="1:19" x14ac:dyDescent="0.3">
      <c r="A86" s="1"/>
      <c r="B86" s="1"/>
      <c r="C86" s="14" t="s">
        <v>139</v>
      </c>
      <c r="D86" s="2" t="s">
        <v>4</v>
      </c>
      <c r="E86" s="2" t="s">
        <v>346</v>
      </c>
      <c r="F86" s="103">
        <f>F83-F84+F85</f>
        <v>327677.99516698107</v>
      </c>
      <c r="G86" s="103">
        <f>G83-G84+G85</f>
        <v>199804.71443847203</v>
      </c>
      <c r="H86" s="103">
        <f>H83-H84+H85</f>
        <v>418254.90234967502</v>
      </c>
      <c r="I86" s="1"/>
      <c r="J86" s="1"/>
      <c r="K86" s="1"/>
      <c r="L86" s="1"/>
      <c r="M86" s="1"/>
      <c r="N86" s="1"/>
      <c r="O86" s="1"/>
      <c r="P86" s="1"/>
      <c r="Q86" s="1"/>
      <c r="R86" s="1"/>
      <c r="S86" s="1"/>
    </row>
    <row r="87" spans="1:19" x14ac:dyDescent="0.3">
      <c r="A87" s="1"/>
      <c r="B87" s="1"/>
      <c r="C87" s="14"/>
      <c r="D87" s="2"/>
      <c r="E87" s="2"/>
      <c r="F87" s="82"/>
      <c r="G87" s="1"/>
      <c r="H87" s="1"/>
      <c r="I87" s="1"/>
      <c r="J87" s="1"/>
      <c r="K87" s="1"/>
      <c r="L87" s="1"/>
      <c r="M87" s="1"/>
      <c r="N87" s="1"/>
      <c r="O87" s="1"/>
      <c r="P87" s="1"/>
      <c r="Q87" s="1"/>
      <c r="R87" s="1"/>
      <c r="S87" s="1"/>
    </row>
    <row r="88" spans="1:19" x14ac:dyDescent="0.3">
      <c r="A88" s="1"/>
      <c r="B88" s="1"/>
      <c r="C88" s="7" t="s">
        <v>423</v>
      </c>
      <c r="D88" s="1"/>
      <c r="E88" s="1"/>
      <c r="F88" s="1"/>
      <c r="G88" s="1"/>
      <c r="H88" s="1"/>
      <c r="I88" s="1"/>
      <c r="J88" s="1"/>
      <c r="K88" s="1"/>
      <c r="L88" s="1"/>
      <c r="M88" s="1"/>
      <c r="N88" s="1"/>
      <c r="O88" s="1"/>
      <c r="P88" s="1"/>
      <c r="Q88" s="1"/>
      <c r="R88" s="1"/>
      <c r="S88" s="1"/>
    </row>
    <row r="89" spans="1:19" x14ac:dyDescent="0.3">
      <c r="A89" s="1"/>
      <c r="B89" s="1"/>
      <c r="C89" s="81" t="s">
        <v>412</v>
      </c>
      <c r="D89" s="20" t="s">
        <v>10</v>
      </c>
      <c r="E89" s="20" t="s">
        <v>2</v>
      </c>
      <c r="F89" s="206">
        <f>F99</f>
        <v>23.4</v>
      </c>
      <c r="G89" s="206">
        <f>G99</f>
        <v>20.5</v>
      </c>
      <c r="H89" s="206">
        <f>H99</f>
        <v>23.9</v>
      </c>
      <c r="I89" s="1"/>
      <c r="J89" s="1"/>
      <c r="K89" s="1"/>
      <c r="L89" s="1"/>
      <c r="M89" s="1"/>
      <c r="N89" s="1"/>
      <c r="O89" s="1"/>
      <c r="P89" s="1"/>
      <c r="Q89" s="1"/>
      <c r="R89" s="1"/>
      <c r="S89" s="1"/>
    </row>
    <row r="90" spans="1:19" x14ac:dyDescent="0.3">
      <c r="A90" s="1"/>
      <c r="B90" s="1"/>
      <c r="C90" s="6" t="s">
        <v>422</v>
      </c>
      <c r="D90" s="2" t="s">
        <v>10</v>
      </c>
      <c r="E90" s="2" t="s">
        <v>346</v>
      </c>
      <c r="F90" s="84">
        <f>Q41</f>
        <v>41986.903491100289</v>
      </c>
      <c r="G90" s="84">
        <f>F90</f>
        <v>41986.903491100289</v>
      </c>
      <c r="H90" s="84">
        <f>G90</f>
        <v>41986.903491100289</v>
      </c>
      <c r="I90" s="1"/>
      <c r="J90" s="1"/>
      <c r="K90" s="1"/>
      <c r="L90" s="1"/>
      <c r="M90" s="1"/>
      <c r="N90" s="1"/>
      <c r="O90" s="1"/>
      <c r="P90" s="1"/>
      <c r="Q90" s="1"/>
      <c r="R90" s="1"/>
      <c r="S90" s="1"/>
    </row>
    <row r="91" spans="1:19" x14ac:dyDescent="0.3">
      <c r="A91" s="1"/>
      <c r="B91" s="1"/>
      <c r="C91" s="6" t="s">
        <v>73</v>
      </c>
      <c r="D91" s="2" t="s">
        <v>10</v>
      </c>
      <c r="E91" s="2" t="s">
        <v>2</v>
      </c>
      <c r="F91" s="207">
        <f>Inputs!Q76</f>
        <v>0.55133672594565863</v>
      </c>
      <c r="G91" s="207">
        <f>F91</f>
        <v>0.55133672594565863</v>
      </c>
      <c r="H91" s="207">
        <f>G91</f>
        <v>0.55133672594565863</v>
      </c>
      <c r="I91" s="1"/>
      <c r="J91" s="1"/>
      <c r="K91" s="1"/>
      <c r="L91" s="1"/>
      <c r="M91" s="1"/>
      <c r="N91" s="1"/>
      <c r="O91" s="1"/>
      <c r="P91" s="1"/>
      <c r="Q91" s="1"/>
      <c r="R91" s="1"/>
      <c r="S91" s="1"/>
    </row>
    <row r="92" spans="1:19" x14ac:dyDescent="0.3">
      <c r="A92" s="1"/>
      <c r="B92" s="1"/>
      <c r="C92" s="14" t="s">
        <v>142</v>
      </c>
      <c r="D92" s="2" t="s">
        <v>4</v>
      </c>
      <c r="E92" s="2" t="s">
        <v>346</v>
      </c>
      <c r="F92" s="208">
        <f>F90*F89*F91</f>
        <v>541684.7725390821</v>
      </c>
      <c r="G92" s="208">
        <f>G90*G89*G91</f>
        <v>474552.89901928138</v>
      </c>
      <c r="H92" s="208">
        <f>H90*H89*H91</f>
        <v>553259.23349077185</v>
      </c>
      <c r="I92" s="1"/>
      <c r="J92" s="1"/>
      <c r="K92" s="1"/>
      <c r="L92" s="1"/>
      <c r="M92" s="1"/>
      <c r="N92" s="1"/>
      <c r="O92" s="1"/>
      <c r="P92" s="1"/>
      <c r="Q92" s="1"/>
      <c r="R92" s="1"/>
      <c r="S92" s="1"/>
    </row>
    <row r="93" spans="1:19" x14ac:dyDescent="0.3">
      <c r="A93" s="1"/>
      <c r="B93" s="1"/>
      <c r="C93" s="6" t="s">
        <v>141</v>
      </c>
      <c r="D93" s="2" t="s">
        <v>4</v>
      </c>
      <c r="E93" s="2" t="s">
        <v>346</v>
      </c>
      <c r="F93" s="84">
        <f>BS!Q35</f>
        <v>0</v>
      </c>
      <c r="G93" s="84">
        <f>F93</f>
        <v>0</v>
      </c>
      <c r="H93" s="84">
        <f>G93</f>
        <v>0</v>
      </c>
      <c r="I93" s="1"/>
      <c r="J93" s="1"/>
      <c r="K93" s="1"/>
      <c r="L93" s="1"/>
      <c r="M93" s="1"/>
      <c r="N93" s="1"/>
      <c r="O93" s="1"/>
      <c r="P93" s="1"/>
      <c r="Q93" s="1"/>
      <c r="R93" s="1"/>
      <c r="S93" s="1"/>
    </row>
    <row r="94" spans="1:19" x14ac:dyDescent="0.3">
      <c r="A94" s="1"/>
      <c r="B94" s="1"/>
      <c r="C94" s="6" t="s">
        <v>140</v>
      </c>
      <c r="D94" s="2" t="s">
        <v>4</v>
      </c>
      <c r="E94" s="2" t="s">
        <v>346</v>
      </c>
      <c r="F94" s="84">
        <f>BS!Q8</f>
        <v>2666.7399820205283</v>
      </c>
      <c r="G94" s="84">
        <f>F94</f>
        <v>2666.7399820205283</v>
      </c>
      <c r="H94" s="84">
        <f>G94</f>
        <v>2666.7399820205283</v>
      </c>
      <c r="I94" s="1"/>
      <c r="J94" s="1"/>
      <c r="K94" s="1"/>
      <c r="L94" s="1"/>
      <c r="M94" s="1"/>
      <c r="N94" s="1"/>
      <c r="O94" s="1"/>
      <c r="P94" s="1"/>
      <c r="Q94" s="1"/>
      <c r="R94" s="1"/>
      <c r="S94" s="1"/>
    </row>
    <row r="95" spans="1:19" x14ac:dyDescent="0.3">
      <c r="A95" s="1"/>
      <c r="B95" s="1"/>
      <c r="C95" s="14" t="s">
        <v>139</v>
      </c>
      <c r="D95" s="2" t="s">
        <v>4</v>
      </c>
      <c r="E95" s="2" t="s">
        <v>346</v>
      </c>
      <c r="F95" s="208">
        <f>F92-F93+F94</f>
        <v>544351.51252110268</v>
      </c>
      <c r="G95" s="208">
        <f>G92-G93+G94</f>
        <v>477219.6390013019</v>
      </c>
      <c r="H95" s="208">
        <f>H92-H93+H94</f>
        <v>555925.97347279242</v>
      </c>
      <c r="I95" s="1"/>
      <c r="J95" s="1"/>
      <c r="K95" s="1"/>
      <c r="L95" s="1"/>
      <c r="M95" s="1"/>
      <c r="N95" s="1"/>
      <c r="O95" s="1"/>
      <c r="P95" s="1"/>
      <c r="Q95" s="1"/>
      <c r="R95" s="1"/>
      <c r="S95" s="1"/>
    </row>
    <row r="96" spans="1:19" x14ac:dyDescent="0.3">
      <c r="A96" s="1"/>
      <c r="B96" s="1"/>
      <c r="C96" s="7"/>
      <c r="D96" s="1"/>
      <c r="E96" s="1"/>
      <c r="F96" s="1"/>
      <c r="G96" s="1"/>
      <c r="H96" s="1"/>
      <c r="I96" s="1"/>
      <c r="J96" s="1"/>
      <c r="K96" s="1"/>
      <c r="L96" s="1"/>
      <c r="M96" s="1"/>
      <c r="N96" s="1"/>
      <c r="O96" s="1"/>
      <c r="P96" s="1"/>
      <c r="Q96" s="1"/>
      <c r="R96" s="1"/>
      <c r="S96" s="1"/>
    </row>
    <row r="97" spans="1:19" s="4" customFormat="1" ht="11.4" x14ac:dyDescent="0.2">
      <c r="A97" s="1"/>
      <c r="B97" s="1"/>
      <c r="C97" s="8" t="s">
        <v>138</v>
      </c>
      <c r="D97" s="3"/>
      <c r="E97" s="3"/>
      <c r="F97" s="102" t="s">
        <v>137</v>
      </c>
      <c r="G97" s="102" t="s">
        <v>136</v>
      </c>
      <c r="H97" s="102" t="s">
        <v>135</v>
      </c>
      <c r="I97" s="3"/>
      <c r="J97" s="3"/>
      <c r="K97" s="3"/>
      <c r="L97" s="3"/>
      <c r="M97" s="3"/>
      <c r="N97" s="3"/>
      <c r="O97" s="3"/>
      <c r="P97" s="3"/>
      <c r="Q97" s="3"/>
      <c r="R97" s="3"/>
      <c r="S97" s="3"/>
    </row>
    <row r="98" spans="1:19" x14ac:dyDescent="0.3">
      <c r="A98" s="1"/>
      <c r="B98" s="1"/>
      <c r="C98" s="1" t="s">
        <v>134</v>
      </c>
      <c r="D98" s="2" t="s">
        <v>10</v>
      </c>
      <c r="E98" s="2" t="s">
        <v>2</v>
      </c>
      <c r="F98" s="101">
        <f>MEDIAN(Peers!F2:F6)</f>
        <v>6.1</v>
      </c>
      <c r="G98" s="100">
        <f>MIN(Peers!F2:F6)</f>
        <v>3.7</v>
      </c>
      <c r="H98" s="100">
        <f>MAX(Peers!F2:F6)</f>
        <v>7.8</v>
      </c>
      <c r="I98" s="82"/>
      <c r="J98" s="1"/>
      <c r="K98" s="1"/>
      <c r="L98" s="1"/>
      <c r="M98" s="1"/>
      <c r="N98" s="1"/>
      <c r="O98" s="1"/>
      <c r="P98" s="1"/>
      <c r="Q98" s="1"/>
      <c r="R98" s="1"/>
      <c r="S98" s="1"/>
    </row>
    <row r="99" spans="1:19" x14ac:dyDescent="0.3">
      <c r="A99" s="1"/>
      <c r="B99" s="1"/>
      <c r="C99" s="1" t="s">
        <v>386</v>
      </c>
      <c r="D99" s="2" t="s">
        <v>10</v>
      </c>
      <c r="E99" s="2" t="s">
        <v>2</v>
      </c>
      <c r="F99" s="101">
        <f>MEDIAN(Peers!E2:E6)</f>
        <v>23.4</v>
      </c>
      <c r="G99" s="100">
        <f>MIN(Peers!E2:E6)</f>
        <v>20.5</v>
      </c>
      <c r="H99" s="100">
        <f>MAX(Peers!E2:E6)</f>
        <v>23.9</v>
      </c>
      <c r="I99" s="82"/>
      <c r="J99" s="1"/>
      <c r="K99" s="1"/>
      <c r="L99" s="1"/>
      <c r="M99" s="1"/>
      <c r="N99" s="1"/>
      <c r="O99" s="1"/>
      <c r="P99" s="1"/>
      <c r="Q99" s="1"/>
      <c r="R99" s="1"/>
      <c r="S99" s="1"/>
    </row>
    <row r="100" spans="1:19" x14ac:dyDescent="0.3">
      <c r="A100" s="1"/>
      <c r="B100" s="1"/>
      <c r="C100" s="1"/>
      <c r="D100" s="1"/>
      <c r="E100" s="1"/>
      <c r="F100" s="1"/>
      <c r="G100" s="100"/>
      <c r="H100" s="1"/>
      <c r="I100" s="82"/>
      <c r="J100" s="1"/>
      <c r="K100" s="1"/>
      <c r="L100" s="1"/>
      <c r="M100" s="1"/>
      <c r="N100" s="1"/>
      <c r="O100" s="1"/>
      <c r="P100" s="1"/>
      <c r="Q100" s="1"/>
      <c r="R100" s="1"/>
      <c r="S100" s="1"/>
    </row>
    <row r="101" spans="1:19" s="4" customFormat="1" ht="11.4" x14ac:dyDescent="0.2">
      <c r="A101" s="1"/>
      <c r="B101" s="1"/>
      <c r="C101" s="8" t="s">
        <v>133</v>
      </c>
      <c r="D101" s="3"/>
      <c r="E101" s="3"/>
      <c r="F101" s="3"/>
      <c r="G101" s="3"/>
      <c r="H101" s="3"/>
      <c r="I101" s="3"/>
      <c r="J101" s="3"/>
      <c r="K101" s="3"/>
      <c r="L101" s="3"/>
      <c r="M101" s="3"/>
      <c r="N101" s="3"/>
      <c r="O101" s="3"/>
      <c r="P101" s="3"/>
      <c r="Q101" s="3"/>
      <c r="R101" s="3"/>
      <c r="S101" s="3"/>
    </row>
    <row r="102" spans="1:19" s="4" customFormat="1" ht="11.4" x14ac:dyDescent="0.2">
      <c r="A102" s="1"/>
      <c r="B102" s="1"/>
      <c r="C102" s="16" t="s">
        <v>132</v>
      </c>
      <c r="D102" s="1"/>
      <c r="E102" s="1"/>
      <c r="F102" s="1"/>
      <c r="G102" s="1"/>
      <c r="H102" s="1"/>
      <c r="I102" s="1"/>
      <c r="J102" s="1"/>
      <c r="K102" s="1"/>
      <c r="L102" s="1"/>
      <c r="M102" s="1"/>
      <c r="N102" s="1"/>
      <c r="O102" s="1"/>
      <c r="P102" s="1"/>
      <c r="Q102" s="1"/>
      <c r="R102" s="1"/>
      <c r="S102" s="1"/>
    </row>
    <row r="103" spans="1:19" x14ac:dyDescent="0.3">
      <c r="A103" s="1"/>
      <c r="B103" s="1"/>
      <c r="C103" s="1" t="s">
        <v>131</v>
      </c>
      <c r="D103" s="2" t="s">
        <v>10</v>
      </c>
      <c r="E103" s="2" t="s">
        <v>1</v>
      </c>
      <c r="F103" s="203"/>
      <c r="G103" s="203">
        <f>G44</f>
        <v>0.30422972448583624</v>
      </c>
      <c r="H103" s="203">
        <f t="shared" ref="H103:Q103" si="19">H44</f>
        <v>0.32060792979087704</v>
      </c>
      <c r="I103" s="203">
        <f t="shared" si="19"/>
        <v>0.33613229500892505</v>
      </c>
      <c r="J103" s="203">
        <f t="shared" si="19"/>
        <v>0.35084733313029776</v>
      </c>
      <c r="K103" s="203">
        <f t="shared" si="19"/>
        <v>0.36479523656287832</v>
      </c>
      <c r="L103" s="203">
        <f t="shared" si="19"/>
        <v>0.37801599811034831</v>
      </c>
      <c r="M103" s="203">
        <f t="shared" si="19"/>
        <v>0.39054752564349504</v>
      </c>
      <c r="N103" s="203">
        <f t="shared" si="19"/>
        <v>0.4024257507933971</v>
      </c>
      <c r="O103" s="203">
        <f t="shared" si="19"/>
        <v>0.41368473197813854</v>
      </c>
      <c r="P103" s="203">
        <f t="shared" si="19"/>
        <v>0.42435675205846218</v>
      </c>
      <c r="Q103" s="203">
        <f t="shared" si="19"/>
        <v>0.4344724109023706</v>
      </c>
      <c r="R103" s="203"/>
      <c r="S103" s="203"/>
    </row>
    <row r="104" spans="1:19" x14ac:dyDescent="0.3">
      <c r="A104" s="1"/>
      <c r="B104" s="1"/>
      <c r="C104" s="1" t="s">
        <v>130</v>
      </c>
      <c r="D104" s="2" t="s">
        <v>10</v>
      </c>
      <c r="E104" s="2" t="s">
        <v>1</v>
      </c>
      <c r="F104" s="203"/>
      <c r="G104" s="203">
        <f t="shared" ref="G104:Q104" si="20">G24</f>
        <v>0.3214331910490234</v>
      </c>
      <c r="H104" s="203">
        <f t="shared" si="20"/>
        <v>0.33781139635406415</v>
      </c>
      <c r="I104" s="203">
        <f t="shared" si="20"/>
        <v>0.35333576157211222</v>
      </c>
      <c r="J104" s="203">
        <f t="shared" si="20"/>
        <v>0.36805079969348492</v>
      </c>
      <c r="K104" s="203">
        <f t="shared" si="20"/>
        <v>0.38199870312606554</v>
      </c>
      <c r="L104" s="203">
        <f t="shared" si="20"/>
        <v>0.39521946467353536</v>
      </c>
      <c r="M104" s="203">
        <f t="shared" si="20"/>
        <v>0.40775099220668221</v>
      </c>
      <c r="N104" s="203">
        <f t="shared" si="20"/>
        <v>0.41962921735658432</v>
      </c>
      <c r="O104" s="203">
        <f t="shared" si="20"/>
        <v>0.43088819854132571</v>
      </c>
      <c r="P104" s="203">
        <f t="shared" si="20"/>
        <v>0.44156021862164935</v>
      </c>
      <c r="Q104" s="203">
        <f t="shared" si="20"/>
        <v>0.45167587746555782</v>
      </c>
      <c r="R104" s="203"/>
      <c r="S104" s="203"/>
    </row>
    <row r="105" spans="1:19" x14ac:dyDescent="0.3">
      <c r="A105" s="1"/>
      <c r="B105" s="1"/>
      <c r="C105" s="1" t="s">
        <v>129</v>
      </c>
      <c r="D105" s="2" t="s">
        <v>10</v>
      </c>
      <c r="E105" s="2" t="s">
        <v>1</v>
      </c>
      <c r="F105" s="203"/>
      <c r="G105" s="204">
        <f>G29/G6</f>
        <v>0.25277454404346139</v>
      </c>
      <c r="H105" s="204">
        <f t="shared" ref="H105:Q105" si="21">H29/H6</f>
        <v>0.26565433833203705</v>
      </c>
      <c r="I105" s="204">
        <f t="shared" si="21"/>
        <v>0.27786267415059218</v>
      </c>
      <c r="J105" s="204">
        <f t="shared" si="21"/>
        <v>0.28943455644306165</v>
      </c>
      <c r="K105" s="204">
        <f t="shared" si="21"/>
        <v>0.3004031652510894</v>
      </c>
      <c r="L105" s="204">
        <f t="shared" si="21"/>
        <v>0.31079995085111584</v>
      </c>
      <c r="M105" s="204">
        <f t="shared" si="21"/>
        <v>0.32065472393170957</v>
      </c>
      <c r="N105" s="204">
        <f t="shared" si="21"/>
        <v>0.32999574106971313</v>
      </c>
      <c r="O105" s="204">
        <f t="shared" si="21"/>
        <v>0.33884978575028518</v>
      </c>
      <c r="P105" s="204">
        <f t="shared" si="21"/>
        <v>0.34724224516314972</v>
      </c>
      <c r="Q105" s="204">
        <f t="shared" si="21"/>
        <v>0.35519718299524872</v>
      </c>
      <c r="R105" s="204"/>
      <c r="S105" s="204"/>
    </row>
    <row r="106" spans="1:19" x14ac:dyDescent="0.3">
      <c r="A106" s="1"/>
      <c r="B106" s="1"/>
      <c r="C106" s="16" t="s">
        <v>128</v>
      </c>
      <c r="D106" s="2"/>
      <c r="E106" s="2"/>
      <c r="F106" s="99"/>
      <c r="G106" s="204"/>
      <c r="H106" s="204"/>
      <c r="I106" s="204"/>
      <c r="J106" s="204"/>
      <c r="K106" s="204"/>
      <c r="L106" s="204"/>
      <c r="M106" s="204"/>
      <c r="N106" s="204"/>
      <c r="O106" s="204"/>
      <c r="P106" s="204"/>
      <c r="Q106" s="204"/>
      <c r="R106" s="204"/>
      <c r="S106" s="204"/>
    </row>
    <row r="107" spans="1:19" x14ac:dyDescent="0.3">
      <c r="A107" s="1"/>
      <c r="B107" s="1"/>
      <c r="C107" s="1" t="s">
        <v>127</v>
      </c>
      <c r="D107" s="2" t="s">
        <v>4</v>
      </c>
      <c r="E107" s="2" t="s">
        <v>1</v>
      </c>
      <c r="F107" s="1"/>
      <c r="G107" s="205"/>
      <c r="H107" s="204">
        <f t="shared" ref="H107:Q107" si="22">(H6-G6)/G6</f>
        <v>0.1330700000000001</v>
      </c>
      <c r="I107" s="204">
        <f t="shared" si="22"/>
        <v>0.10616749999999982</v>
      </c>
      <c r="J107" s="204">
        <f t="shared" si="22"/>
        <v>9.4668000000000044E-2</v>
      </c>
      <c r="K107" s="204">
        <f t="shared" si="22"/>
        <v>9.1080999999999912E-2</v>
      </c>
      <c r="L107" s="204">
        <f t="shared" si="22"/>
        <v>8.9498499999999981E-2</v>
      </c>
      <c r="M107" s="204">
        <f t="shared" si="22"/>
        <v>8.9181999999999997E-2</v>
      </c>
      <c r="N107" s="204">
        <f t="shared" si="22"/>
        <v>8.9181999999999886E-2</v>
      </c>
      <c r="O107" s="204">
        <f t="shared" si="22"/>
        <v>8.9181999999999831E-2</v>
      </c>
      <c r="P107" s="204">
        <f t="shared" si="22"/>
        <v>8.9182000000000011E-2</v>
      </c>
      <c r="Q107" s="204">
        <f t="shared" si="22"/>
        <v>8.9181999999999845E-2</v>
      </c>
      <c r="R107" s="204"/>
      <c r="S107" s="204"/>
    </row>
    <row r="108" spans="1:19" x14ac:dyDescent="0.3">
      <c r="A108" s="1"/>
      <c r="B108" s="1"/>
      <c r="C108" s="1" t="s">
        <v>126</v>
      </c>
      <c r="D108" s="2" t="s">
        <v>4</v>
      </c>
      <c r="E108" s="2" t="s">
        <v>1</v>
      </c>
      <c r="F108" s="1"/>
      <c r="G108" s="205"/>
      <c r="H108" s="204">
        <f>(H18-G18)/ABS(G18)</f>
        <v>0.1908040909456741</v>
      </c>
      <c r="I108" s="204">
        <f t="shared" ref="I108:Q108" si="23">(I18-H18)/ABS(H18)</f>
        <v>0.15700222152708646</v>
      </c>
      <c r="J108" s="204">
        <f t="shared" si="23"/>
        <v>0.14025659617995201</v>
      </c>
      <c r="K108" s="204">
        <f t="shared" si="23"/>
        <v>0.13242934766776043</v>
      </c>
      <c r="L108" s="204">
        <f t="shared" si="23"/>
        <v>0.12720543396849712</v>
      </c>
      <c r="M108" s="204">
        <f t="shared" si="23"/>
        <v>0.12371753137339157</v>
      </c>
      <c r="N108" s="204">
        <f t="shared" si="23"/>
        <v>0.12091104363813991</v>
      </c>
      <c r="O108" s="204">
        <f t="shared" si="23"/>
        <v>0.1184056077411603</v>
      </c>
      <c r="P108" s="204">
        <f t="shared" si="23"/>
        <v>0.1161583066486311</v>
      </c>
      <c r="Q108" s="204">
        <f t="shared" si="23"/>
        <v>0.11413396140023306</v>
      </c>
      <c r="R108" s="204"/>
      <c r="S108" s="204"/>
    </row>
    <row r="109" spans="1:19" x14ac:dyDescent="0.3">
      <c r="A109" s="1"/>
      <c r="B109" s="1"/>
      <c r="C109" s="1" t="s">
        <v>125</v>
      </c>
      <c r="D109" s="2" t="s">
        <v>4</v>
      </c>
      <c r="E109" s="2" t="s">
        <v>1</v>
      </c>
      <c r="F109" s="1"/>
      <c r="G109" s="205"/>
      <c r="H109" s="204">
        <f t="shared" ref="H109:Q109" si="24">(H37-G37)/ABS(G37)</f>
        <v>-1.1425123428954793</v>
      </c>
      <c r="I109" s="204">
        <f t="shared" si="24"/>
        <v>1.2577542288635912</v>
      </c>
      <c r="J109" s="204">
        <f t="shared" si="24"/>
        <v>6.2351148471282336</v>
      </c>
      <c r="K109" s="204">
        <f t="shared" si="24"/>
        <v>5.2169980135094836</v>
      </c>
      <c r="L109" s="204">
        <f t="shared" si="24"/>
        <v>0.12796612542328037</v>
      </c>
      <c r="M109" s="204">
        <f t="shared" si="24"/>
        <v>0.12417836275696614</v>
      </c>
      <c r="N109" s="204">
        <f t="shared" si="24"/>
        <v>0.12126903520412352</v>
      </c>
      <c r="O109" s="204">
        <f t="shared" si="24"/>
        <v>0.11872589544763128</v>
      </c>
      <c r="P109" s="204">
        <f t="shared" si="24"/>
        <v>0.11644615629087625</v>
      </c>
      <c r="Q109" s="204">
        <f t="shared" si="24"/>
        <v>0.11439370841611685</v>
      </c>
      <c r="R109" s="204"/>
      <c r="S109" s="204"/>
    </row>
    <row r="110" spans="1:19" x14ac:dyDescent="0.3">
      <c r="C110" s="16" t="s">
        <v>32</v>
      </c>
    </row>
    <row r="111" spans="1:19" x14ac:dyDescent="0.3">
      <c r="C111" s="1" t="s">
        <v>124</v>
      </c>
      <c r="D111" s="2" t="s">
        <v>4</v>
      </c>
      <c r="E111" s="2" t="s">
        <v>0</v>
      </c>
      <c r="G111" s="173">
        <f>(Valuation!G7+Valuation!G13+G14)/Inputs!G30</f>
        <v>0.90565495207667734</v>
      </c>
      <c r="H111" s="173">
        <f>(Valuation!H7+Valuation!H13+H14)/Inputs!H30</f>
        <v>0.95094981178928883</v>
      </c>
      <c r="I111" s="173">
        <f>(Valuation!I7+Valuation!I13+I14)/Inputs!I30</f>
        <v>0.97548111304684748</v>
      </c>
      <c r="J111" s="173">
        <f>(Valuation!J7+Valuation!J13+J14)/Inputs!J30</f>
        <v>0.9909255159175826</v>
      </c>
      <c r="K111" s="173">
        <f>(Valuation!K7+Valuation!K13+K14)/Inputs!K30</f>
        <v>1.0040001173064794</v>
      </c>
      <c r="L111" s="173">
        <f>(Valuation!L7+Valuation!L13+L14)/Inputs!L30</f>
        <v>1.0164558467997102</v>
      </c>
      <c r="M111" s="173">
        <f>(Valuation!M7+Valuation!M13+M14)/Inputs!M30</f>
        <v>1.0294504126801971</v>
      </c>
      <c r="N111" s="173">
        <f>(Valuation!N7+Valuation!N13+N14)/Inputs!N30</f>
        <v>1.0432931232917626</v>
      </c>
      <c r="O111" s="173">
        <f>(Valuation!O7+Valuation!O13+O14)/Inputs!O30</f>
        <v>1.0580023088270101</v>
      </c>
      <c r="P111" s="173">
        <f>(Valuation!P7+Valuation!P13+P14)/Inputs!P30</f>
        <v>1.0735970893797631</v>
      </c>
      <c r="Q111" s="173">
        <f>(Valuation!Q7+Valuation!Q13+Q14)/Inputs!Q30</f>
        <v>1.0900973963391301</v>
      </c>
      <c r="R111" s="172"/>
      <c r="S111" s="172"/>
    </row>
    <row r="112" spans="1:19" x14ac:dyDescent="0.3">
      <c r="C112" s="1" t="s">
        <v>123</v>
      </c>
      <c r="D112" s="2" t="s">
        <v>4</v>
      </c>
      <c r="E112" s="2" t="s">
        <v>0</v>
      </c>
      <c r="G112" s="184">
        <f>G32/Inputs!G30</f>
        <v>4.472843450479233E-2</v>
      </c>
      <c r="H112" s="184">
        <f>H32/Inputs!H30</f>
        <v>4.8038338658146967E-2</v>
      </c>
      <c r="I112" s="184">
        <f>I32/Inputs!I30</f>
        <v>5.0368198083067098E-2</v>
      </c>
      <c r="J112" s="184">
        <f>J32/Inputs!J30</f>
        <v>5.2262042330990424E-2</v>
      </c>
      <c r="K112" s="184">
        <f>K32/Inputs!K30</f>
        <v>5.4049404178710299E-2</v>
      </c>
      <c r="L112" s="184">
        <f>L32/Inputs!L30</f>
        <v>5.5816819695354132E-2</v>
      </c>
      <c r="M112" s="184">
        <f>M32/Inputs!M30</f>
        <v>5.7625284653483599E-2</v>
      </c>
      <c r="N112" s="184">
        <f>N32/Inputs!N30</f>
        <v>5.9492343876256466E-2</v>
      </c>
      <c r="O112" s="184">
        <f>O32/Inputs!O30</f>
        <v>6.1419895817847167E-2</v>
      </c>
      <c r="P112" s="184">
        <f>P32/Inputs!P30</f>
        <v>6.3409900442345429E-2</v>
      </c>
      <c r="Q112" s="184">
        <f>Q32/Inputs!Q30</f>
        <v>6.5464381216677414E-2</v>
      </c>
      <c r="R112" s="172"/>
      <c r="S112" s="172"/>
    </row>
    <row r="114" spans="1:19" x14ac:dyDescent="0.3">
      <c r="A114" s="1"/>
      <c r="B114" s="1"/>
      <c r="C114" s="1"/>
      <c r="D114" s="1"/>
      <c r="E114" s="1"/>
      <c r="F114" s="1"/>
      <c r="G114" s="1"/>
      <c r="H114" s="1"/>
      <c r="I114" s="1"/>
      <c r="J114" s="1"/>
      <c r="K114" s="1"/>
      <c r="L114" s="1"/>
      <c r="M114" s="1"/>
      <c r="N114" s="1"/>
      <c r="O114" s="1"/>
      <c r="P114" s="1"/>
      <c r="Q114" s="1"/>
      <c r="R114" s="1"/>
      <c r="S114" s="1"/>
    </row>
    <row r="115" spans="1:19" x14ac:dyDescent="0.3">
      <c r="A115" s="1"/>
      <c r="B115" s="1"/>
      <c r="C115" s="1"/>
      <c r="D115" s="1"/>
      <c r="E115" s="1"/>
      <c r="F115" s="1"/>
      <c r="G115" s="1"/>
      <c r="H115" s="1"/>
      <c r="I115" s="1"/>
      <c r="J115" s="1"/>
      <c r="K115" s="1"/>
      <c r="L115" s="1"/>
      <c r="M115" s="1"/>
      <c r="N115" s="1"/>
      <c r="O115" s="1"/>
      <c r="P115" s="1"/>
      <c r="Q115" s="1"/>
      <c r="R115" s="1"/>
      <c r="S115" s="1"/>
    </row>
    <row r="116" spans="1:19" x14ac:dyDescent="0.3">
      <c r="A116" s="1"/>
      <c r="B116" s="1"/>
      <c r="C116" s="1"/>
      <c r="D116" s="1"/>
      <c r="E116" s="1"/>
      <c r="F116" s="1"/>
      <c r="G116" s="1"/>
      <c r="H116" s="1"/>
      <c r="I116" s="1"/>
      <c r="J116" s="1"/>
      <c r="K116" s="1"/>
      <c r="L116" s="1"/>
      <c r="M116" s="1"/>
      <c r="N116" s="1"/>
      <c r="O116" s="1"/>
      <c r="P116" s="1"/>
      <c r="Q116" s="1"/>
      <c r="R116" s="1"/>
      <c r="S116" s="1"/>
    </row>
    <row r="117" spans="1:19" x14ac:dyDescent="0.3">
      <c r="A117" s="1"/>
      <c r="B117" s="1"/>
      <c r="C117" s="1"/>
      <c r="D117" s="1"/>
      <c r="E117" s="1"/>
      <c r="F117" s="1"/>
      <c r="G117" s="1"/>
      <c r="H117" s="1"/>
      <c r="I117" s="1"/>
      <c r="J117" s="1"/>
      <c r="K117" s="1"/>
      <c r="L117" s="1"/>
      <c r="M117" s="1"/>
      <c r="N117" s="1"/>
      <c r="O117" s="1"/>
      <c r="P117" s="1"/>
      <c r="Q117" s="1"/>
      <c r="R117" s="1"/>
      <c r="S117" s="1"/>
    </row>
    <row r="118" spans="1:19" x14ac:dyDescent="0.3">
      <c r="A118" s="1"/>
      <c r="B118" s="1"/>
      <c r="C118" s="1"/>
      <c r="D118" s="1"/>
      <c r="E118" s="1"/>
      <c r="F118" s="1"/>
      <c r="G118" s="1"/>
      <c r="H118" s="1"/>
      <c r="I118" s="1"/>
      <c r="J118" s="1"/>
      <c r="K118" s="1"/>
      <c r="L118" s="1"/>
      <c r="M118" s="1"/>
      <c r="N118" s="1"/>
      <c r="O118" s="1"/>
      <c r="P118" s="1"/>
      <c r="Q118" s="1"/>
      <c r="R118" s="1"/>
      <c r="S118" s="1"/>
    </row>
    <row r="119" spans="1:19" x14ac:dyDescent="0.3">
      <c r="A119" s="1"/>
      <c r="B119" s="1"/>
      <c r="C119" s="1"/>
      <c r="D119" s="1"/>
      <c r="E119" s="1"/>
      <c r="F119" s="1"/>
      <c r="G119" s="1"/>
      <c r="H119" s="1"/>
      <c r="I119" s="1"/>
      <c r="J119" s="1"/>
      <c r="K119" s="1"/>
      <c r="L119" s="1"/>
      <c r="M119" s="1"/>
      <c r="N119" s="1"/>
      <c r="O119" s="1"/>
      <c r="P119" s="1"/>
      <c r="Q119" s="1"/>
      <c r="R119" s="1"/>
      <c r="S119" s="1"/>
    </row>
    <row r="120" spans="1:19" x14ac:dyDescent="0.3">
      <c r="A120" s="1"/>
      <c r="B120" s="1"/>
      <c r="C120" s="1"/>
      <c r="D120" s="1"/>
      <c r="E120" s="1"/>
      <c r="F120" s="1"/>
      <c r="G120" s="1"/>
      <c r="H120" s="1"/>
      <c r="I120" s="1"/>
      <c r="J120" s="1"/>
      <c r="K120" s="1"/>
      <c r="L120" s="1"/>
      <c r="M120" s="1"/>
      <c r="N120" s="1"/>
      <c r="O120" s="1"/>
      <c r="P120" s="1"/>
      <c r="Q120" s="1"/>
      <c r="R120" s="1"/>
      <c r="S120" s="1"/>
    </row>
    <row r="121" spans="1:19" x14ac:dyDescent="0.3">
      <c r="A121" s="1"/>
      <c r="B121" s="1"/>
      <c r="C121" s="1"/>
      <c r="D121" s="1"/>
      <c r="E121" s="1"/>
      <c r="F121" s="1"/>
      <c r="G121" s="1"/>
      <c r="H121" s="1"/>
      <c r="I121" s="1"/>
      <c r="J121" s="1"/>
      <c r="K121" s="1"/>
      <c r="L121" s="1"/>
      <c r="M121" s="1"/>
      <c r="N121" s="1"/>
      <c r="O121" s="1"/>
      <c r="P121" s="1"/>
      <c r="Q121" s="1"/>
      <c r="R121" s="1"/>
      <c r="S121" s="1"/>
    </row>
    <row r="122" spans="1:19" x14ac:dyDescent="0.3">
      <c r="A122" s="1"/>
      <c r="B122" s="1"/>
      <c r="C122" s="1"/>
      <c r="D122" s="1"/>
      <c r="E122" s="1"/>
      <c r="F122" s="1"/>
      <c r="G122" s="1"/>
      <c r="H122" s="1"/>
      <c r="I122" s="1"/>
      <c r="J122" s="1"/>
      <c r="K122" s="1"/>
      <c r="L122" s="1"/>
      <c r="M122" s="1"/>
      <c r="N122" s="1"/>
      <c r="O122" s="1"/>
      <c r="P122" s="1"/>
      <c r="Q122" s="1"/>
      <c r="R122" s="1"/>
      <c r="S122" s="1"/>
    </row>
    <row r="123" spans="1:19" x14ac:dyDescent="0.3">
      <c r="A123" s="1"/>
      <c r="B123" s="1"/>
      <c r="C123" s="1"/>
      <c r="D123" s="1"/>
      <c r="E123" s="1"/>
      <c r="F123" s="1"/>
      <c r="G123" s="1"/>
      <c r="H123" s="1"/>
      <c r="I123" s="1"/>
      <c r="J123" s="1"/>
      <c r="K123" s="1"/>
      <c r="L123" s="1"/>
      <c r="M123" s="1"/>
      <c r="N123" s="1"/>
      <c r="O123" s="1"/>
      <c r="P123" s="1"/>
      <c r="Q123" s="1"/>
      <c r="R123" s="1"/>
      <c r="S123" s="1"/>
    </row>
    <row r="124" spans="1:19" x14ac:dyDescent="0.3">
      <c r="A124" s="1"/>
      <c r="B124" s="1"/>
      <c r="C124" s="1"/>
      <c r="D124" s="1"/>
      <c r="E124" s="1"/>
      <c r="F124" s="1"/>
      <c r="G124" s="1"/>
      <c r="H124" s="1"/>
      <c r="I124" s="1"/>
      <c r="J124" s="1"/>
      <c r="K124" s="1"/>
      <c r="L124" s="1"/>
      <c r="M124" s="1"/>
      <c r="N124" s="1"/>
      <c r="O124" s="1"/>
      <c r="P124" s="1"/>
      <c r="Q124" s="1"/>
      <c r="R124" s="1"/>
      <c r="S124" s="1"/>
    </row>
    <row r="125" spans="1:19" x14ac:dyDescent="0.3">
      <c r="A125" s="1"/>
      <c r="B125" s="1"/>
      <c r="C125" s="1"/>
      <c r="D125" s="1"/>
      <c r="E125" s="1"/>
      <c r="F125" s="1"/>
      <c r="G125" s="1"/>
      <c r="H125" s="1"/>
      <c r="I125" s="1"/>
      <c r="J125" s="1"/>
      <c r="K125" s="1"/>
      <c r="L125" s="1"/>
      <c r="M125" s="1"/>
      <c r="N125" s="1"/>
      <c r="O125" s="1"/>
      <c r="P125" s="1"/>
      <c r="Q125" s="1"/>
      <c r="R125" s="1"/>
      <c r="S125" s="1"/>
    </row>
    <row r="126" spans="1:19" x14ac:dyDescent="0.3">
      <c r="A126" s="1"/>
      <c r="B126" s="1"/>
      <c r="C126" s="1"/>
      <c r="D126" s="1"/>
      <c r="E126" s="1"/>
      <c r="F126" s="1"/>
      <c r="G126" s="1"/>
      <c r="H126" s="1"/>
      <c r="I126" s="1"/>
      <c r="J126" s="1"/>
      <c r="K126" s="1"/>
      <c r="L126" s="1"/>
      <c r="M126" s="1"/>
      <c r="N126" s="1"/>
      <c r="O126" s="1"/>
      <c r="P126" s="1"/>
      <c r="Q126" s="1"/>
      <c r="R126" s="1"/>
      <c r="S126" s="1"/>
    </row>
    <row r="127" spans="1:19" x14ac:dyDescent="0.3">
      <c r="A127" s="1"/>
      <c r="B127" s="1"/>
      <c r="C127" s="1"/>
      <c r="D127" s="1"/>
      <c r="E127" s="1"/>
      <c r="F127" s="1"/>
      <c r="G127" s="1"/>
      <c r="H127" s="1"/>
      <c r="I127" s="1"/>
      <c r="J127" s="1"/>
      <c r="K127" s="1"/>
      <c r="L127" s="1"/>
      <c r="M127" s="1"/>
      <c r="N127" s="1"/>
      <c r="O127" s="1"/>
      <c r="P127" s="1"/>
      <c r="Q127" s="1"/>
      <c r="R127" s="1"/>
      <c r="S127" s="1"/>
    </row>
    <row r="128" spans="1:19" x14ac:dyDescent="0.3">
      <c r="A128" s="1"/>
      <c r="B128" s="1"/>
      <c r="C128" s="1"/>
      <c r="D128" s="1"/>
      <c r="E128" s="1"/>
      <c r="F128" s="1"/>
      <c r="G128" s="1"/>
      <c r="H128" s="1"/>
      <c r="I128" s="1"/>
      <c r="J128" s="1"/>
      <c r="K128" s="1"/>
      <c r="L128" s="1"/>
      <c r="M128" s="1"/>
      <c r="N128" s="1"/>
      <c r="O128" s="1"/>
      <c r="P128" s="1"/>
      <c r="Q128" s="1"/>
      <c r="R128" s="1"/>
      <c r="S128" s="1"/>
    </row>
    <row r="129" spans="1:19" x14ac:dyDescent="0.3">
      <c r="A129" s="1"/>
      <c r="B129" s="1"/>
      <c r="C129" s="1"/>
      <c r="D129" s="1"/>
      <c r="E129" s="1"/>
      <c r="F129" s="1"/>
      <c r="G129" s="1"/>
      <c r="H129" s="1"/>
      <c r="I129" s="1"/>
      <c r="J129" s="1"/>
      <c r="K129" s="1"/>
      <c r="L129" s="1"/>
      <c r="M129" s="1"/>
      <c r="N129" s="1"/>
      <c r="O129" s="1"/>
      <c r="P129" s="1"/>
      <c r="Q129" s="1"/>
      <c r="R129" s="1"/>
      <c r="S129" s="1"/>
    </row>
    <row r="130" spans="1:19" x14ac:dyDescent="0.3">
      <c r="A130" s="1"/>
      <c r="B130" s="1"/>
      <c r="C130" s="1"/>
      <c r="D130" s="1"/>
      <c r="E130" s="1"/>
      <c r="F130" s="1"/>
      <c r="G130" s="1"/>
      <c r="H130" s="1"/>
      <c r="I130" s="1"/>
      <c r="J130" s="1"/>
      <c r="K130" s="1"/>
      <c r="L130" s="1"/>
      <c r="M130" s="1"/>
      <c r="N130" s="1"/>
      <c r="O130" s="1"/>
      <c r="P130" s="1"/>
      <c r="Q130" s="1"/>
      <c r="R130" s="1"/>
      <c r="S130" s="1"/>
    </row>
    <row r="131" spans="1:19" x14ac:dyDescent="0.3">
      <c r="A131" s="1"/>
      <c r="B131" s="1"/>
      <c r="C131" s="1"/>
      <c r="D131" s="1"/>
      <c r="E131" s="1"/>
      <c r="F131" s="1"/>
      <c r="G131" s="1"/>
      <c r="H131" s="1"/>
      <c r="I131" s="1"/>
      <c r="J131" s="1"/>
      <c r="K131" s="1"/>
      <c r="L131" s="1"/>
      <c r="M131" s="1"/>
      <c r="N131" s="1"/>
      <c r="O131" s="1"/>
      <c r="P131" s="1"/>
      <c r="Q131" s="1"/>
      <c r="R131" s="1"/>
      <c r="S131" s="1"/>
    </row>
    <row r="132" spans="1:19" x14ac:dyDescent="0.3">
      <c r="A132" s="1"/>
      <c r="B132" s="1"/>
      <c r="C132" s="1"/>
      <c r="D132" s="1"/>
      <c r="E132" s="1"/>
      <c r="F132" s="1"/>
      <c r="G132" s="1"/>
      <c r="H132" s="1"/>
      <c r="I132" s="1"/>
      <c r="J132" s="1"/>
      <c r="K132" s="1"/>
      <c r="L132" s="1"/>
      <c r="M132" s="1"/>
      <c r="N132" s="1"/>
      <c r="O132" s="1"/>
      <c r="P132" s="1"/>
      <c r="Q132" s="1"/>
      <c r="R132" s="1"/>
      <c r="S132" s="1"/>
    </row>
    <row r="133" spans="1:19" x14ac:dyDescent="0.3">
      <c r="A133" s="1"/>
      <c r="B133" s="1"/>
      <c r="C133" s="1"/>
      <c r="D133" s="1"/>
      <c r="E133" s="1"/>
      <c r="F133" s="1"/>
      <c r="G133" s="1"/>
      <c r="H133" s="1"/>
      <c r="I133" s="1"/>
      <c r="J133" s="1"/>
      <c r="K133" s="1"/>
      <c r="L133" s="1"/>
      <c r="M133" s="1"/>
      <c r="N133" s="1"/>
      <c r="O133" s="1"/>
      <c r="P133" s="1"/>
      <c r="Q133" s="1"/>
      <c r="R133" s="1"/>
      <c r="S133" s="1"/>
    </row>
    <row r="134" spans="1:19" x14ac:dyDescent="0.3">
      <c r="A134" s="1"/>
      <c r="B134" s="1"/>
      <c r="C134" s="1"/>
      <c r="D134" s="1"/>
      <c r="E134" s="1"/>
      <c r="F134" s="1"/>
      <c r="G134" s="1"/>
      <c r="H134" s="1"/>
      <c r="I134" s="1"/>
      <c r="J134" s="1"/>
      <c r="K134" s="1"/>
      <c r="L134" s="1"/>
      <c r="M134" s="1"/>
      <c r="N134" s="1"/>
      <c r="O134" s="1"/>
      <c r="P134" s="1"/>
      <c r="Q134" s="1"/>
      <c r="R134" s="1"/>
      <c r="S134" s="1"/>
    </row>
    <row r="135" spans="1:19" x14ac:dyDescent="0.3">
      <c r="A135" s="1"/>
      <c r="B135" s="1"/>
      <c r="C135" s="1"/>
      <c r="D135" s="1"/>
      <c r="E135" s="1"/>
      <c r="F135" s="1"/>
      <c r="G135" s="1"/>
      <c r="H135" s="1"/>
      <c r="I135" s="1"/>
      <c r="J135" s="1"/>
      <c r="K135" s="1"/>
      <c r="L135" s="1"/>
      <c r="M135" s="1"/>
      <c r="N135" s="1"/>
      <c r="O135" s="1"/>
      <c r="P135" s="1"/>
      <c r="Q135" s="1"/>
      <c r="R135" s="1"/>
      <c r="S135" s="1"/>
    </row>
    <row r="136" spans="1:19" x14ac:dyDescent="0.3">
      <c r="A136" s="1"/>
      <c r="B136" s="1"/>
      <c r="C136" s="1"/>
      <c r="D136" s="1"/>
      <c r="E136" s="1"/>
      <c r="F136" s="1"/>
      <c r="G136" s="1"/>
      <c r="H136" s="1"/>
      <c r="I136" s="1"/>
      <c r="J136" s="1"/>
      <c r="K136" s="1"/>
      <c r="L136" s="1"/>
      <c r="M136" s="1"/>
      <c r="N136" s="1"/>
      <c r="O136" s="1"/>
      <c r="P136" s="1"/>
      <c r="Q136" s="1"/>
      <c r="R136" s="1"/>
      <c r="S136" s="1"/>
    </row>
    <row r="137" spans="1:19" x14ac:dyDescent="0.3">
      <c r="A137" s="1"/>
      <c r="B137" s="1"/>
      <c r="C137" s="1"/>
      <c r="D137" s="1"/>
      <c r="E137" s="1"/>
      <c r="F137" s="1"/>
      <c r="G137" s="1"/>
      <c r="H137" s="1"/>
      <c r="I137" s="1"/>
      <c r="J137" s="1"/>
      <c r="K137" s="1"/>
      <c r="L137" s="1"/>
      <c r="M137" s="1"/>
      <c r="N137" s="1"/>
      <c r="O137" s="1"/>
      <c r="P137" s="1"/>
      <c r="Q137" s="1"/>
      <c r="R137" s="1"/>
      <c r="S137" s="1"/>
    </row>
  </sheetData>
  <pageMargins left="0.7" right="0.7" top="0.75" bottom="0.75" header="0.3" footer="0.3"/>
  <pageSetup paperSize="9" orientation="portrait" horizontalDpi="0" verticalDpi="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39997558519241921"/>
  </sheetPr>
  <dimension ref="A1:F9"/>
  <sheetViews>
    <sheetView workbookViewId="0">
      <selection activeCell="G8" sqref="G8"/>
    </sheetView>
  </sheetViews>
  <sheetFormatPr defaultRowHeight="14.4" x14ac:dyDescent="0.3"/>
  <cols>
    <col min="1" max="1" width="28.109375" customWidth="1"/>
    <col min="3" max="3" width="14" customWidth="1"/>
    <col min="5" max="5" width="13.44140625" customWidth="1"/>
    <col min="6" max="6" width="13" customWidth="1"/>
  </cols>
  <sheetData>
    <row r="1" spans="1:6" x14ac:dyDescent="0.3">
      <c r="A1" s="202" t="s">
        <v>214</v>
      </c>
      <c r="B1" s="202" t="s">
        <v>374</v>
      </c>
      <c r="C1" s="202" t="s">
        <v>384</v>
      </c>
      <c r="D1" s="202" t="s">
        <v>385</v>
      </c>
      <c r="E1" s="202" t="s">
        <v>386</v>
      </c>
      <c r="F1" s="202" t="s">
        <v>387</v>
      </c>
    </row>
    <row r="2" spans="1:6" x14ac:dyDescent="0.3">
      <c r="A2" t="s">
        <v>345</v>
      </c>
      <c r="B2" t="s">
        <v>379</v>
      </c>
      <c r="C2" s="200">
        <v>250</v>
      </c>
      <c r="D2">
        <v>25.6</v>
      </c>
      <c r="E2">
        <v>20.5</v>
      </c>
      <c r="F2">
        <v>6.2</v>
      </c>
    </row>
    <row r="3" spans="1:6" x14ac:dyDescent="0.3">
      <c r="A3" t="s">
        <v>375</v>
      </c>
      <c r="B3" t="s">
        <v>380</v>
      </c>
      <c r="C3" s="200">
        <v>225</v>
      </c>
      <c r="D3">
        <v>29.6</v>
      </c>
      <c r="E3">
        <v>21.3</v>
      </c>
      <c r="F3">
        <v>3.7</v>
      </c>
    </row>
    <row r="4" spans="1:6" x14ac:dyDescent="0.3">
      <c r="A4" t="s">
        <v>376</v>
      </c>
      <c r="B4" t="s">
        <v>381</v>
      </c>
      <c r="C4" s="200">
        <v>52.4</v>
      </c>
      <c r="D4">
        <v>24.4</v>
      </c>
      <c r="E4">
        <v>23.4</v>
      </c>
      <c r="F4">
        <v>6.1</v>
      </c>
    </row>
    <row r="5" spans="1:6" x14ac:dyDescent="0.3">
      <c r="A5" t="s">
        <v>377</v>
      </c>
      <c r="B5" t="s">
        <v>382</v>
      </c>
      <c r="C5" s="200">
        <v>44.4</v>
      </c>
      <c r="D5">
        <v>32.200000000000003</v>
      </c>
      <c r="E5">
        <v>23.9</v>
      </c>
      <c r="F5">
        <v>7.8</v>
      </c>
    </row>
    <row r="6" spans="1:6" x14ac:dyDescent="0.3">
      <c r="A6" s="201" t="s">
        <v>378</v>
      </c>
      <c r="B6" t="s">
        <v>383</v>
      </c>
      <c r="C6" s="200">
        <v>384.9</v>
      </c>
      <c r="D6">
        <v>21.3</v>
      </c>
      <c r="E6">
        <v>23.7</v>
      </c>
      <c r="F6">
        <v>3.9</v>
      </c>
    </row>
    <row r="7" spans="1:6" x14ac:dyDescent="0.3">
      <c r="C7" s="200"/>
    </row>
    <row r="8" spans="1:6" x14ac:dyDescent="0.3">
      <c r="C8" s="200"/>
    </row>
    <row r="9" spans="1:6" x14ac:dyDescent="0.3">
      <c r="C9" s="200"/>
    </row>
  </sheetData>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39997558519241921"/>
  </sheetPr>
  <dimension ref="A1:CC53"/>
  <sheetViews>
    <sheetView showGridLines="0" zoomScale="92" zoomScaleNormal="92" workbookViewId="0">
      <selection activeCell="J5" sqref="J5"/>
    </sheetView>
  </sheetViews>
  <sheetFormatPr defaultColWidth="0" defaultRowHeight="14.4" x14ac:dyDescent="0.3"/>
  <cols>
    <col min="1" max="1" width="3" customWidth="1"/>
    <col min="2" max="2" width="5.88671875" customWidth="1"/>
    <col min="3" max="3" width="37.88671875" customWidth="1"/>
    <col min="4" max="8" width="9.109375" customWidth="1"/>
    <col min="9" max="17" width="10.33203125" bestFit="1" customWidth="1"/>
    <col min="18" max="19" width="9.109375" customWidth="1"/>
    <col min="20" max="81" width="0" hidden="1" customWidth="1"/>
    <col min="82" max="16384" width="9.109375" hidden="1"/>
  </cols>
  <sheetData>
    <row r="1" spans="1:19" ht="15.6" x14ac:dyDescent="0.3">
      <c r="A1" s="33" t="s">
        <v>345</v>
      </c>
      <c r="B1" s="30"/>
      <c r="C1" s="30"/>
      <c r="D1" s="30"/>
      <c r="E1" s="30"/>
      <c r="F1" s="30"/>
      <c r="G1" s="30"/>
      <c r="H1" s="30"/>
      <c r="I1" s="30"/>
      <c r="J1" s="30"/>
      <c r="K1" s="30"/>
      <c r="L1" s="30"/>
      <c r="M1" s="30"/>
      <c r="N1" s="30"/>
      <c r="O1" s="30"/>
      <c r="P1" s="30"/>
      <c r="Q1" s="30"/>
      <c r="R1" s="30"/>
      <c r="S1" s="30"/>
    </row>
    <row r="2" spans="1:19" ht="15.6" x14ac:dyDescent="0.3">
      <c r="A2" s="32" t="s">
        <v>174</v>
      </c>
      <c r="B2" s="31"/>
      <c r="C2" s="31"/>
      <c r="D2" s="31"/>
      <c r="E2" s="31"/>
      <c r="F2" s="31"/>
      <c r="G2" s="31"/>
      <c r="H2" s="31"/>
      <c r="I2" s="31"/>
      <c r="J2" s="31"/>
      <c r="K2" s="31"/>
      <c r="L2" s="31"/>
      <c r="M2" s="31"/>
      <c r="N2" s="31"/>
      <c r="O2" s="31"/>
      <c r="P2" s="31"/>
      <c r="Q2" s="31"/>
      <c r="R2" s="31"/>
      <c r="S2" s="31"/>
    </row>
    <row r="3" spans="1:19" x14ac:dyDescent="0.3">
      <c r="A3" s="30"/>
      <c r="B3" s="29" t="s">
        <v>44</v>
      </c>
      <c r="C3" s="28" t="s">
        <v>43</v>
      </c>
      <c r="D3" s="27" t="s">
        <v>42</v>
      </c>
      <c r="E3" s="27" t="s">
        <v>41</v>
      </c>
      <c r="F3" s="27" t="s">
        <v>40</v>
      </c>
      <c r="G3" s="27" t="str">
        <f t="shared" ref="G3:Q3" si="0">Time</f>
        <v>2021A</v>
      </c>
      <c r="H3" s="27" t="str">
        <f t="shared" si="0"/>
        <v>2022F</v>
      </c>
      <c r="I3" s="27" t="str">
        <f t="shared" si="0"/>
        <v>2023F</v>
      </c>
      <c r="J3" s="27" t="str">
        <f t="shared" si="0"/>
        <v>2024F</v>
      </c>
      <c r="K3" s="27" t="str">
        <f t="shared" si="0"/>
        <v>2025F</v>
      </c>
      <c r="L3" s="27" t="str">
        <f t="shared" si="0"/>
        <v>2026F</v>
      </c>
      <c r="M3" s="27" t="str">
        <f t="shared" si="0"/>
        <v>2027F</v>
      </c>
      <c r="N3" s="27" t="str">
        <f t="shared" si="0"/>
        <v>2028F</v>
      </c>
      <c r="O3" s="27" t="str">
        <f t="shared" si="0"/>
        <v>2029F</v>
      </c>
      <c r="P3" s="27" t="str">
        <f t="shared" si="0"/>
        <v>2030F</v>
      </c>
      <c r="Q3" s="27" t="str">
        <f t="shared" si="0"/>
        <v>2031F</v>
      </c>
      <c r="R3" s="27"/>
      <c r="S3" s="27"/>
    </row>
    <row r="4" spans="1:19" x14ac:dyDescent="0.3">
      <c r="A4" s="1"/>
      <c r="B4" s="1"/>
      <c r="C4" s="1"/>
      <c r="D4" s="1"/>
      <c r="E4" s="1"/>
      <c r="F4" s="1"/>
      <c r="G4" s="1"/>
      <c r="H4" s="1"/>
      <c r="I4" s="1"/>
      <c r="J4" s="1"/>
      <c r="K4" s="1"/>
      <c r="L4" s="1"/>
      <c r="M4" s="1"/>
      <c r="N4" s="1"/>
      <c r="O4" s="1"/>
      <c r="P4" s="1"/>
      <c r="Q4" s="1"/>
      <c r="R4" s="1"/>
      <c r="S4" s="1"/>
    </row>
    <row r="5" spans="1:19" s="4" customFormat="1" ht="11.4" x14ac:dyDescent="0.2">
      <c r="A5" s="1"/>
      <c r="B5" s="1"/>
      <c r="C5" s="8" t="s">
        <v>174</v>
      </c>
      <c r="D5" s="3"/>
      <c r="E5" s="3"/>
      <c r="F5" s="3"/>
      <c r="G5" s="3"/>
      <c r="H5" s="3"/>
      <c r="I5" s="3"/>
      <c r="J5" s="3"/>
      <c r="K5" s="3"/>
      <c r="L5" s="3"/>
      <c r="M5" s="3"/>
      <c r="N5" s="3"/>
      <c r="O5" s="3"/>
      <c r="P5" s="3"/>
      <c r="Q5" s="3"/>
      <c r="R5" s="3"/>
      <c r="S5" s="3"/>
    </row>
    <row r="6" spans="1:19" x14ac:dyDescent="0.3">
      <c r="A6" s="1"/>
      <c r="B6" s="1"/>
      <c r="C6" s="1" t="s">
        <v>39</v>
      </c>
      <c r="D6" s="2" t="s">
        <v>10</v>
      </c>
      <c r="E6" s="2" t="s">
        <v>346</v>
      </c>
      <c r="F6" s="1"/>
      <c r="G6" s="84">
        <f>Valuation!G6</f>
        <v>38655</v>
      </c>
      <c r="H6" s="84">
        <f>Valuation!H6</f>
        <v>43798.820850000004</v>
      </c>
      <c r="I6" s="84">
        <f>Valuation!I6</f>
        <v>48448.832162592371</v>
      </c>
      <c r="J6" s="84">
        <f>Valuation!J6</f>
        <v>53035.386205760668</v>
      </c>
      <c r="K6" s="84">
        <f>Valuation!K6</f>
        <v>57865.90221676755</v>
      </c>
      <c r="L6" s="84">
        <f>Valuation!L6</f>
        <v>63044.81366631492</v>
      </c>
      <c r="M6" s="84">
        <f>Valuation!M6</f>
        <v>68667.276238704217</v>
      </c>
      <c r="N6" s="84">
        <f>Valuation!N6</f>
        <v>74791.161268224329</v>
      </c>
      <c r="O6" s="84">
        <f>Valuation!O6</f>
        <v>81461.186612447098</v>
      </c>
      <c r="P6" s="84">
        <f>Valuation!P6</f>
        <v>88726.058156918356</v>
      </c>
      <c r="Q6" s="84">
        <f>Valuation!Q6</f>
        <v>96638.825475468635</v>
      </c>
      <c r="R6" s="84"/>
      <c r="S6" s="84"/>
    </row>
    <row r="7" spans="1:19" x14ac:dyDescent="0.3">
      <c r="A7" s="1"/>
      <c r="B7" s="1"/>
      <c r="C7" s="1" t="s">
        <v>33</v>
      </c>
      <c r="D7" s="2" t="s">
        <v>10</v>
      </c>
      <c r="E7" s="2" t="s">
        <v>346</v>
      </c>
      <c r="F7" s="1"/>
      <c r="G7" s="84">
        <f>Valuation!G7</f>
        <v>15357</v>
      </c>
      <c r="H7" s="84">
        <f>Valuation!H7</f>
        <v>17400.555990000001</v>
      </c>
      <c r="I7" s="84">
        <f>Valuation!I7</f>
        <v>19247.929518068326</v>
      </c>
      <c r="J7" s="84">
        <f>Valuation!J7</f>
        <v>21070.092509684815</v>
      </c>
      <c r="K7" s="84">
        <f>Valuation!K7</f>
        <v>22989.177605559416</v>
      </c>
      <c r="L7" s="84">
        <f>Valuation!L7</f>
        <v>25046.674517490574</v>
      </c>
      <c r="M7" s="84">
        <f>Valuation!M7</f>
        <v>27280.38704430942</v>
      </c>
      <c r="N7" s="84">
        <f>Valuation!N7</f>
        <v>29713.306521695016</v>
      </c>
      <c r="O7" s="84">
        <f>Valuation!O7</f>
        <v>32363.19862391282</v>
      </c>
      <c r="P7" s="84">
        <f>Valuation!P7</f>
        <v>35249.41340359061</v>
      </c>
      <c r="Q7" s="84">
        <f>Valuation!Q7</f>
        <v>38393.026589749628</v>
      </c>
      <c r="R7" s="84"/>
      <c r="S7" s="84"/>
    </row>
    <row r="8" spans="1:19" s="108" customFormat="1" x14ac:dyDescent="0.3">
      <c r="A8" s="5"/>
      <c r="B8" s="5"/>
      <c r="C8" s="5" t="s">
        <v>173</v>
      </c>
      <c r="D8" s="10" t="s">
        <v>4</v>
      </c>
      <c r="E8" s="10" t="s">
        <v>346</v>
      </c>
      <c r="F8" s="5"/>
      <c r="G8" s="174">
        <f t="shared" ref="G8:Q8" si="1">G6-G7</f>
        <v>23298</v>
      </c>
      <c r="H8" s="174">
        <f t="shared" si="1"/>
        <v>26398.264860000003</v>
      </c>
      <c r="I8" s="174">
        <f t="shared" si="1"/>
        <v>29200.902644524045</v>
      </c>
      <c r="J8" s="174">
        <f t="shared" si="1"/>
        <v>31965.293696075852</v>
      </c>
      <c r="K8" s="174">
        <f t="shared" si="1"/>
        <v>34876.724611208134</v>
      </c>
      <c r="L8" s="174">
        <f t="shared" si="1"/>
        <v>37998.139148824346</v>
      </c>
      <c r="M8" s="174">
        <f t="shared" si="1"/>
        <v>41386.889194394797</v>
      </c>
      <c r="N8" s="174">
        <f t="shared" si="1"/>
        <v>45077.854746529309</v>
      </c>
      <c r="O8" s="174">
        <f t="shared" si="1"/>
        <v>49097.987988534282</v>
      </c>
      <c r="P8" s="174">
        <f t="shared" si="1"/>
        <v>53476.644753327746</v>
      </c>
      <c r="Q8" s="174">
        <f t="shared" si="1"/>
        <v>58245.798885719007</v>
      </c>
      <c r="R8" s="174"/>
      <c r="S8" s="174"/>
    </row>
    <row r="9" spans="1:19" s="109" customFormat="1" x14ac:dyDescent="0.3">
      <c r="A9" s="7"/>
      <c r="B9" s="7"/>
      <c r="C9" s="7" t="s">
        <v>172</v>
      </c>
      <c r="D9" s="24" t="s">
        <v>4</v>
      </c>
      <c r="E9" s="24" t="s">
        <v>1</v>
      </c>
      <c r="F9" s="7"/>
      <c r="G9" s="185">
        <f t="shared" ref="G9:Q9" si="2">G8/G6</f>
        <v>0.60271633682576642</v>
      </c>
      <c r="H9" s="185">
        <f t="shared" si="2"/>
        <v>0.60271633682576642</v>
      </c>
      <c r="I9" s="185">
        <f t="shared" si="2"/>
        <v>0.60271633682576631</v>
      </c>
      <c r="J9" s="185">
        <f t="shared" si="2"/>
        <v>0.60271633682576642</v>
      </c>
      <c r="K9" s="185">
        <f t="shared" si="2"/>
        <v>0.60271633682576642</v>
      </c>
      <c r="L9" s="185">
        <f t="shared" si="2"/>
        <v>0.60271633682576642</v>
      </c>
      <c r="M9" s="185">
        <f t="shared" si="2"/>
        <v>0.60271633682576642</v>
      </c>
      <c r="N9" s="185">
        <f t="shared" si="2"/>
        <v>0.60271633682576642</v>
      </c>
      <c r="O9" s="185">
        <f t="shared" si="2"/>
        <v>0.60271633682576642</v>
      </c>
      <c r="P9" s="185">
        <f t="shared" si="2"/>
        <v>0.60271633682576642</v>
      </c>
      <c r="Q9" s="185">
        <f t="shared" si="2"/>
        <v>0.60271633682576642</v>
      </c>
      <c r="R9" s="185"/>
      <c r="S9" s="185"/>
    </row>
    <row r="10" spans="1:19" x14ac:dyDescent="0.3">
      <c r="A10" s="1"/>
      <c r="B10" s="1"/>
      <c r="C10" s="1"/>
      <c r="D10" s="2"/>
      <c r="E10" s="2"/>
      <c r="F10" s="1"/>
      <c r="G10" s="84"/>
      <c r="H10" s="84"/>
      <c r="I10" s="84"/>
      <c r="J10" s="84"/>
      <c r="K10" s="84"/>
      <c r="L10" s="84"/>
      <c r="M10" s="84"/>
      <c r="N10" s="84"/>
      <c r="O10" s="84"/>
      <c r="P10" s="84"/>
      <c r="Q10" s="84"/>
      <c r="R10" s="84"/>
      <c r="S10" s="84"/>
    </row>
    <row r="11" spans="1:19" x14ac:dyDescent="0.3">
      <c r="A11" s="1"/>
      <c r="B11" s="1"/>
      <c r="C11" s="1" t="s">
        <v>171</v>
      </c>
      <c r="D11" s="2" t="s">
        <v>10</v>
      </c>
      <c r="E11" s="2" t="s">
        <v>346</v>
      </c>
      <c r="F11" s="1"/>
      <c r="G11" s="84">
        <f>Valuation!G13</f>
        <v>12144</v>
      </c>
      <c r="H11" s="84">
        <f>Valuation!H13</f>
        <v>13042.656000000001</v>
      </c>
      <c r="I11" s="84">
        <f>Valuation!I13</f>
        <v>13675.224816</v>
      </c>
      <c r="J11" s="84">
        <f>Valuation!J13</f>
        <v>14189.4132690816</v>
      </c>
      <c r="K11" s="84">
        <f>Valuation!K13</f>
        <v>14674.691202884191</v>
      </c>
      <c r="L11" s="84">
        <f>Valuation!L13</f>
        <v>15154.553605218503</v>
      </c>
      <c r="M11" s="84">
        <f>Valuation!M13</f>
        <v>15645.561142027582</v>
      </c>
      <c r="N11" s="84">
        <f>Valuation!N13</f>
        <v>16152.477323029276</v>
      </c>
      <c r="O11" s="84">
        <f>Valuation!O13</f>
        <v>16675.817588295424</v>
      </c>
      <c r="P11" s="84">
        <f>Valuation!P13</f>
        <v>17216.114078156195</v>
      </c>
      <c r="Q11" s="84">
        <f>Valuation!Q13</f>
        <v>17773.916174288457</v>
      </c>
      <c r="R11" s="84"/>
      <c r="S11" s="84"/>
    </row>
    <row r="12" spans="1:19" s="108" customFormat="1" x14ac:dyDescent="0.3">
      <c r="A12" s="5"/>
      <c r="B12" s="5"/>
      <c r="C12" s="5" t="s">
        <v>170</v>
      </c>
      <c r="D12" s="10" t="s">
        <v>4</v>
      </c>
      <c r="E12" s="10" t="s">
        <v>346</v>
      </c>
      <c r="F12" s="5"/>
      <c r="G12" s="174">
        <f>Valuation!G12</f>
        <v>10308</v>
      </c>
      <c r="H12" s="174">
        <f>Valuation!H12</f>
        <v>12397.031640000001</v>
      </c>
      <c r="I12" s="174">
        <f>Valuation!I12</f>
        <v>14465.330861519695</v>
      </c>
      <c r="J12" s="174">
        <f>Valuation!J12</f>
        <v>16615.152533317534</v>
      </c>
      <c r="K12" s="174">
        <f>Valuation!K12</f>
        <v>18935.585257363255</v>
      </c>
      <c r="L12" s="174">
        <f>Valuation!L12</f>
        <v>21463.792182806399</v>
      </c>
      <c r="M12" s="174">
        <f>Valuation!M12</f>
        <v>24238.481960064957</v>
      </c>
      <c r="N12" s="174">
        <f>Valuation!N12</f>
        <v>27288.504510994073</v>
      </c>
      <c r="O12" s="174">
        <f>Valuation!O12</f>
        <v>30639.317887649795</v>
      </c>
      <c r="P12" s="174">
        <f>Valuation!P12</f>
        <v>34318.679809804773</v>
      </c>
      <c r="Q12" s="174">
        <f>Valuation!Q12</f>
        <v>38356.853702188622</v>
      </c>
      <c r="R12" s="174"/>
      <c r="S12" s="174"/>
    </row>
    <row r="13" spans="1:19" s="109" customFormat="1" x14ac:dyDescent="0.3">
      <c r="A13" s="7"/>
      <c r="B13" s="7"/>
      <c r="C13" s="7" t="s">
        <v>130</v>
      </c>
      <c r="D13" s="24" t="s">
        <v>4</v>
      </c>
      <c r="E13" s="24" t="s">
        <v>1</v>
      </c>
      <c r="F13" s="7"/>
      <c r="G13" s="185">
        <f t="shared" ref="G13:Q13" si="3">G12/G6</f>
        <v>0.26666666666666666</v>
      </c>
      <c r="H13" s="185">
        <f t="shared" si="3"/>
        <v>0.28304487197170741</v>
      </c>
      <c r="I13" s="185">
        <f t="shared" si="3"/>
        <v>0.29856923718975548</v>
      </c>
      <c r="J13" s="185">
        <f t="shared" si="3"/>
        <v>0.31328427531112818</v>
      </c>
      <c r="K13" s="185">
        <f t="shared" si="3"/>
        <v>0.3272321787437088</v>
      </c>
      <c r="L13" s="185">
        <f t="shared" si="3"/>
        <v>0.34045294029117867</v>
      </c>
      <c r="M13" s="185">
        <f t="shared" si="3"/>
        <v>0.35298446782432547</v>
      </c>
      <c r="N13" s="185">
        <f t="shared" si="3"/>
        <v>0.36486269297422758</v>
      </c>
      <c r="O13" s="185">
        <f t="shared" si="3"/>
        <v>0.37612167415896902</v>
      </c>
      <c r="P13" s="185">
        <f t="shared" si="3"/>
        <v>0.38679369423929261</v>
      </c>
      <c r="Q13" s="185">
        <f t="shared" si="3"/>
        <v>0.39690935308320102</v>
      </c>
      <c r="R13" s="185"/>
      <c r="S13" s="185"/>
    </row>
    <row r="14" spans="1:19" x14ac:dyDescent="0.3">
      <c r="A14" s="1"/>
      <c r="B14" s="1"/>
      <c r="C14" s="1"/>
      <c r="D14" s="2"/>
      <c r="E14" s="2"/>
      <c r="F14" s="1"/>
      <c r="G14" s="84"/>
      <c r="H14" s="84"/>
      <c r="I14" s="84"/>
      <c r="J14" s="84"/>
      <c r="K14" s="84"/>
      <c r="L14" s="84"/>
      <c r="M14" s="84"/>
      <c r="N14" s="84"/>
      <c r="O14" s="84"/>
      <c r="P14" s="84"/>
      <c r="Q14" s="84"/>
      <c r="R14" s="84"/>
      <c r="S14" s="84"/>
    </row>
    <row r="15" spans="1:19" s="108" customFormat="1" x14ac:dyDescent="0.3">
      <c r="A15" s="5"/>
      <c r="B15" s="5"/>
      <c r="C15" s="5" t="s">
        <v>169</v>
      </c>
      <c r="D15" s="10" t="s">
        <v>4</v>
      </c>
      <c r="E15" s="10" t="s">
        <v>346</v>
      </c>
      <c r="F15" s="5"/>
      <c r="G15" s="174">
        <f>Valuation!G18</f>
        <v>12425</v>
      </c>
      <c r="H15" s="174">
        <f>Valuation!H18</f>
        <v>14795.740830000001</v>
      </c>
      <c r="I15" s="174">
        <f>Valuation!I18</f>
        <v>17118.705009449019</v>
      </c>
      <c r="J15" s="174">
        <f>Valuation!J18</f>
        <v>19519.716305083031</v>
      </c>
      <c r="K15" s="174">
        <f>Valuation!K18</f>
        <v>22104.699602024924</v>
      </c>
      <c r="L15" s="174">
        <f>Valuation!L18</f>
        <v>24916.53750764377</v>
      </c>
      <c r="M15" s="174">
        <f>Valuation!M18</f>
        <v>27999.150018461976</v>
      </c>
      <c r="N15" s="174">
        <f>Valuation!N18</f>
        <v>31384.556468175058</v>
      </c>
      <c r="O15" s="174">
        <f>Valuation!O18</f>
        <v>35100.66395047609</v>
      </c>
      <c r="P15" s="174">
        <f>Valuation!P18</f>
        <v>39177.897637206042</v>
      </c>
      <c r="Q15" s="174">
        <f>Valuation!Q18</f>
        <v>43649.426293873199</v>
      </c>
      <c r="R15" s="174"/>
      <c r="S15" s="174"/>
    </row>
    <row r="16" spans="1:19" s="109" customFormat="1" x14ac:dyDescent="0.3">
      <c r="A16" s="7"/>
      <c r="B16" s="7"/>
      <c r="C16" s="7" t="s">
        <v>168</v>
      </c>
      <c r="D16" s="24" t="s">
        <v>4</v>
      </c>
      <c r="E16" s="24" t="s">
        <v>1</v>
      </c>
      <c r="F16" s="7"/>
      <c r="G16" s="185">
        <f t="shared" ref="G16:Q16" si="4">G15/G6</f>
        <v>0.3214331910490234</v>
      </c>
      <c r="H16" s="185">
        <f t="shared" si="4"/>
        <v>0.33781139635406415</v>
      </c>
      <c r="I16" s="185">
        <f t="shared" si="4"/>
        <v>0.35333576157211222</v>
      </c>
      <c r="J16" s="185">
        <f t="shared" si="4"/>
        <v>0.36805079969348492</v>
      </c>
      <c r="K16" s="185">
        <f t="shared" si="4"/>
        <v>0.38199870312606554</v>
      </c>
      <c r="L16" s="185">
        <f t="shared" si="4"/>
        <v>0.39521946467353536</v>
      </c>
      <c r="M16" s="185">
        <f t="shared" si="4"/>
        <v>0.40775099220668221</v>
      </c>
      <c r="N16" s="185">
        <f t="shared" si="4"/>
        <v>0.41962921735658432</v>
      </c>
      <c r="O16" s="185">
        <f t="shared" si="4"/>
        <v>0.43088819854132571</v>
      </c>
      <c r="P16" s="185">
        <f t="shared" si="4"/>
        <v>0.44156021862164935</v>
      </c>
      <c r="Q16" s="185">
        <f t="shared" si="4"/>
        <v>0.45167587746555782</v>
      </c>
      <c r="R16" s="185"/>
      <c r="S16" s="185"/>
    </row>
    <row r="17" spans="1:19" s="109" customFormat="1" x14ac:dyDescent="0.3">
      <c r="A17" s="7"/>
      <c r="B17" s="7"/>
      <c r="C17" s="7"/>
      <c r="D17" s="24"/>
      <c r="E17" s="24"/>
      <c r="F17" s="7"/>
      <c r="G17" s="185"/>
      <c r="H17" s="185"/>
      <c r="I17" s="185"/>
      <c r="J17" s="185"/>
      <c r="K17" s="185"/>
      <c r="L17" s="185"/>
      <c r="M17" s="185"/>
      <c r="N17" s="185"/>
      <c r="O17" s="185"/>
      <c r="P17" s="185"/>
      <c r="Q17" s="185"/>
      <c r="R17" s="185"/>
      <c r="S17" s="185"/>
    </row>
    <row r="18" spans="1:19" s="109" customFormat="1" x14ac:dyDescent="0.3">
      <c r="A18" s="7"/>
      <c r="B18" s="7"/>
      <c r="C18" s="7"/>
      <c r="D18" s="24"/>
      <c r="E18" s="24"/>
      <c r="F18" s="7"/>
      <c r="G18" s="185"/>
      <c r="H18" s="185"/>
      <c r="I18" s="185"/>
      <c r="J18" s="185"/>
      <c r="K18" s="185"/>
      <c r="L18" s="185"/>
      <c r="M18" s="185"/>
      <c r="N18" s="185"/>
      <c r="O18" s="185"/>
      <c r="P18" s="185"/>
      <c r="Q18" s="185"/>
      <c r="R18" s="185"/>
      <c r="S18" s="185"/>
    </row>
    <row r="19" spans="1:19" s="109" customFormat="1" x14ac:dyDescent="0.3">
      <c r="A19" s="7"/>
      <c r="B19" s="7"/>
      <c r="C19" s="7"/>
      <c r="D19" s="24"/>
      <c r="E19" s="24"/>
      <c r="F19" s="7"/>
      <c r="G19" s="185"/>
      <c r="H19" s="185"/>
      <c r="I19" s="185"/>
      <c r="J19" s="185"/>
      <c r="K19" s="185"/>
      <c r="L19" s="185"/>
      <c r="M19" s="185"/>
      <c r="N19" s="185"/>
      <c r="O19" s="185"/>
      <c r="P19" s="185"/>
      <c r="Q19" s="185"/>
      <c r="R19" s="185"/>
      <c r="S19" s="185"/>
    </row>
    <row r="20" spans="1:19" x14ac:dyDescent="0.3">
      <c r="A20" s="1"/>
      <c r="B20" s="1"/>
      <c r="C20" s="1"/>
      <c r="D20" s="2"/>
      <c r="E20" s="2"/>
      <c r="F20" s="1"/>
      <c r="G20" s="84"/>
      <c r="H20" s="84"/>
      <c r="I20" s="84"/>
      <c r="J20" s="84"/>
      <c r="K20" s="84"/>
      <c r="L20" s="84"/>
      <c r="M20" s="84"/>
      <c r="N20" s="84"/>
      <c r="O20" s="84"/>
      <c r="P20" s="84"/>
      <c r="Q20" s="84"/>
      <c r="R20" s="84"/>
      <c r="S20" s="84"/>
    </row>
    <row r="21" spans="1:19" x14ac:dyDescent="0.3">
      <c r="A21" s="1"/>
      <c r="B21" s="1"/>
      <c r="C21" s="1" t="s">
        <v>6</v>
      </c>
      <c r="D21" s="2" t="s">
        <v>10</v>
      </c>
      <c r="E21" s="2" t="s">
        <v>346</v>
      </c>
      <c r="F21" s="1"/>
      <c r="G21" s="84">
        <f>Valuation!G27</f>
        <v>2621</v>
      </c>
      <c r="H21" s="84">
        <f>Valuation!H27</f>
        <v>3121.0975223686119</v>
      </c>
      <c r="I21" s="84">
        <f>Valuation!I27</f>
        <v>3611.1167669831693</v>
      </c>
      <c r="J21" s="84">
        <f>Valuation!J27</f>
        <v>4117.5997131285812</v>
      </c>
      <c r="K21" s="84">
        <f>Valuation!K27</f>
        <v>4662.8907570951569</v>
      </c>
      <c r="L21" s="84">
        <f>Valuation!L27</f>
        <v>5256.0357993991402</v>
      </c>
      <c r="M21" s="84">
        <f>Valuation!M27</f>
        <v>5906.2995733109728</v>
      </c>
      <c r="N21" s="84">
        <f>Valuation!N27</f>
        <v>6620.4364187595029</v>
      </c>
      <c r="O21" s="84">
        <f>Valuation!O27</f>
        <v>7404.3332164344329</v>
      </c>
      <c r="P21" s="84">
        <f>Valuation!P27</f>
        <v>8264.408024717668</v>
      </c>
      <c r="Q21" s="84">
        <f>Valuation!Q27</f>
        <v>9207.6576512065712</v>
      </c>
      <c r="R21" s="84"/>
      <c r="S21" s="84"/>
    </row>
    <row r="22" spans="1:19" x14ac:dyDescent="0.3">
      <c r="A22" s="1"/>
      <c r="B22" s="1"/>
      <c r="C22" s="6" t="s">
        <v>369</v>
      </c>
      <c r="D22" s="2" t="s">
        <v>4</v>
      </c>
      <c r="E22" s="2" t="s">
        <v>346</v>
      </c>
      <c r="F22" s="1"/>
      <c r="G22" s="84">
        <f>Valuation!G30</f>
        <v>33</v>
      </c>
      <c r="H22" s="84">
        <f>Valuation!H30</f>
        <v>39.296535001207246</v>
      </c>
      <c r="I22" s="84">
        <f>Valuation!I30</f>
        <v>45.466178294713693</v>
      </c>
      <c r="J22" s="84">
        <f>Valuation!J30</f>
        <v>51.843109703641055</v>
      </c>
      <c r="K22" s="84">
        <f>Valuation!K30</f>
        <v>58.70865890276238</v>
      </c>
      <c r="L22" s="84">
        <f>Valuation!L30</f>
        <v>66.176719336196726</v>
      </c>
      <c r="M22" s="84">
        <f>Valuation!M30</f>
        <v>74.363939686860775</v>
      </c>
      <c r="N22" s="84">
        <f>Valuation!N30</f>
        <v>83.355361243442815</v>
      </c>
      <c r="O22" s="84">
        <f>Valuation!O30</f>
        <v>93.22510344995662</v>
      </c>
      <c r="P22" s="84">
        <f>Valuation!P30</f>
        <v>104.05397360384704</v>
      </c>
      <c r="Q22" s="84">
        <f>Valuation!Q30</f>
        <v>115.93006581068938</v>
      </c>
      <c r="R22" s="84"/>
      <c r="S22" s="84"/>
    </row>
    <row r="23" spans="1:19" x14ac:dyDescent="0.3">
      <c r="A23" s="1"/>
      <c r="B23" s="1"/>
      <c r="C23" s="1"/>
      <c r="D23" s="2"/>
      <c r="E23" s="2"/>
      <c r="F23" s="1"/>
      <c r="G23" s="84"/>
      <c r="H23" s="84"/>
      <c r="I23" s="84"/>
      <c r="J23" s="84"/>
      <c r="K23" s="84"/>
      <c r="L23" s="84"/>
      <c r="M23" s="84"/>
      <c r="N23" s="84"/>
      <c r="O23" s="84"/>
      <c r="P23" s="84"/>
      <c r="Q23" s="84"/>
      <c r="R23" s="84"/>
      <c r="S23" s="84"/>
    </row>
    <row r="24" spans="1:19" s="108" customFormat="1" x14ac:dyDescent="0.3">
      <c r="A24" s="5"/>
      <c r="B24" s="5"/>
      <c r="C24" s="5" t="s">
        <v>167</v>
      </c>
      <c r="D24" s="10" t="s">
        <v>4</v>
      </c>
      <c r="E24" s="10" t="s">
        <v>346</v>
      </c>
      <c r="F24" s="5"/>
      <c r="G24" s="174">
        <f>G15-G21-G22</f>
        <v>9771</v>
      </c>
      <c r="H24" s="174">
        <f t="shared" ref="H24:Q24" si="5">H15-H21-H22</f>
        <v>11635.346772630181</v>
      </c>
      <c r="I24" s="174">
        <f t="shared" si="5"/>
        <v>13462.122064171135</v>
      </c>
      <c r="J24" s="174">
        <f t="shared" si="5"/>
        <v>15350.27348225081</v>
      </c>
      <c r="K24" s="174">
        <f t="shared" si="5"/>
        <v>17383.100186027004</v>
      </c>
      <c r="L24" s="174">
        <f t="shared" si="5"/>
        <v>19594.324988908433</v>
      </c>
      <c r="M24" s="174">
        <f t="shared" si="5"/>
        <v>22018.486505464141</v>
      </c>
      <c r="N24" s="174">
        <f t="shared" si="5"/>
        <v>24680.764688172112</v>
      </c>
      <c r="O24" s="174">
        <f t="shared" si="5"/>
        <v>27603.105630591701</v>
      </c>
      <c r="P24" s="174">
        <f t="shared" si="5"/>
        <v>30809.435638884526</v>
      </c>
      <c r="Q24" s="174">
        <f t="shared" si="5"/>
        <v>34325.838576855938</v>
      </c>
      <c r="R24" s="174"/>
      <c r="S24" s="174"/>
    </row>
    <row r="25" spans="1:19" x14ac:dyDescent="0.3">
      <c r="A25" s="1"/>
      <c r="B25" s="1"/>
      <c r="C25" s="7" t="s">
        <v>129</v>
      </c>
      <c r="D25" s="24" t="s">
        <v>4</v>
      </c>
      <c r="E25" s="24" t="s">
        <v>1</v>
      </c>
      <c r="F25" s="7"/>
      <c r="G25" s="186">
        <f t="shared" ref="G25:Q25" si="6">G24/G6</f>
        <v>0.25277454404346139</v>
      </c>
      <c r="H25" s="186">
        <f t="shared" si="6"/>
        <v>0.26565433833203705</v>
      </c>
      <c r="I25" s="186">
        <f t="shared" si="6"/>
        <v>0.27786267415059218</v>
      </c>
      <c r="J25" s="186">
        <f t="shared" si="6"/>
        <v>0.28943455644306165</v>
      </c>
      <c r="K25" s="186">
        <f t="shared" si="6"/>
        <v>0.3004031652510894</v>
      </c>
      <c r="L25" s="186">
        <f t="shared" si="6"/>
        <v>0.31079995085111584</v>
      </c>
      <c r="M25" s="186">
        <f t="shared" si="6"/>
        <v>0.32065472393170957</v>
      </c>
      <c r="N25" s="186">
        <f t="shared" si="6"/>
        <v>0.32999574106971313</v>
      </c>
      <c r="O25" s="186">
        <f t="shared" si="6"/>
        <v>0.33884978575028518</v>
      </c>
      <c r="P25" s="186">
        <f t="shared" si="6"/>
        <v>0.34724224516314972</v>
      </c>
      <c r="Q25" s="186">
        <f t="shared" si="6"/>
        <v>0.35519718299524872</v>
      </c>
      <c r="R25" s="186"/>
      <c r="S25" s="186"/>
    </row>
    <row r="26" spans="1:19" x14ac:dyDescent="0.3">
      <c r="A26" s="1"/>
      <c r="B26" s="1"/>
      <c r="C26" s="7"/>
      <c r="D26" s="2"/>
      <c r="E26" s="2"/>
      <c r="F26" s="1"/>
      <c r="G26" s="84"/>
      <c r="H26" s="84"/>
      <c r="I26" s="84"/>
      <c r="J26" s="84"/>
      <c r="K26" s="84"/>
      <c r="L26" s="84"/>
      <c r="M26" s="84"/>
      <c r="N26" s="84"/>
      <c r="O26" s="84"/>
      <c r="P26" s="84"/>
      <c r="Q26" s="84"/>
      <c r="R26" s="84"/>
      <c r="S26" s="84"/>
    </row>
    <row r="27" spans="1:19" x14ac:dyDescent="0.3">
      <c r="A27" s="1"/>
      <c r="B27" s="1"/>
      <c r="C27" s="1" t="s">
        <v>13</v>
      </c>
      <c r="D27" s="2" t="s">
        <v>4</v>
      </c>
      <c r="E27" s="2" t="s">
        <v>346</v>
      </c>
      <c r="F27" s="1"/>
      <c r="G27" s="212">
        <f>Inputs!G83</f>
        <v>7252</v>
      </c>
      <c r="H27" s="212">
        <f>Inputs!H83</f>
        <v>8880.0966568713538</v>
      </c>
      <c r="I27" s="212">
        <f>Inputs!I83</f>
        <v>10274.29155937541</v>
      </c>
      <c r="J27" s="212">
        <f>Inputs!J83</f>
        <v>11715.328721653817</v>
      </c>
      <c r="K27" s="212">
        <f>Inputs!K83</f>
        <v>13266.782061975809</v>
      </c>
      <c r="L27" s="212">
        <f>Inputs!L83</f>
        <v>14954.388831534916</v>
      </c>
      <c r="M27" s="212">
        <f>Inputs!M83</f>
        <v>16804.508900970231</v>
      </c>
      <c r="N27" s="212">
        <f>Inputs!N83</f>
        <v>18836.359610012954</v>
      </c>
      <c r="O27" s="212">
        <f>Inputs!O83</f>
        <v>21066.690217267587</v>
      </c>
      <c r="P27" s="212">
        <f>Inputs!P83</f>
        <v>23513.761279596671</v>
      </c>
      <c r="Q27" s="212">
        <f>Inputs!Q83</f>
        <v>26197.480001856453</v>
      </c>
      <c r="R27" s="84"/>
      <c r="S27" s="84"/>
    </row>
    <row r="28" spans="1:19" x14ac:dyDescent="0.3">
      <c r="A28" s="1"/>
      <c r="B28" s="1"/>
      <c r="C28" s="1" t="s">
        <v>66</v>
      </c>
      <c r="D28" s="2" t="s">
        <v>10</v>
      </c>
      <c r="E28" s="2" t="s">
        <v>1</v>
      </c>
      <c r="F28" s="1"/>
      <c r="G28" s="211">
        <f>Inputs!G82</f>
        <v>0.74219629515914443</v>
      </c>
      <c r="H28" s="211">
        <f>Inputs!H82</f>
        <v>0.76319999999999999</v>
      </c>
      <c r="I28" s="211">
        <f>Inputs!I82</f>
        <v>0.76319999999999999</v>
      </c>
      <c r="J28" s="211">
        <f>Inputs!J82</f>
        <v>0.76319999999999999</v>
      </c>
      <c r="K28" s="211">
        <f>Inputs!K82</f>
        <v>0.76319999999999999</v>
      </c>
      <c r="L28" s="211">
        <f>Inputs!L82</f>
        <v>0.76319999999999999</v>
      </c>
      <c r="M28" s="211">
        <f>Inputs!M82</f>
        <v>0.76319999999999999</v>
      </c>
      <c r="N28" s="211">
        <f>Inputs!N82</f>
        <v>0.76319999999999999</v>
      </c>
      <c r="O28" s="211">
        <f>Inputs!O82</f>
        <v>0.76319999999999999</v>
      </c>
      <c r="P28" s="211">
        <f>Inputs!P82</f>
        <v>0.76319999999999999</v>
      </c>
      <c r="Q28" s="211">
        <f>Inputs!Q82</f>
        <v>0.76319999999999999</v>
      </c>
      <c r="R28" s="187"/>
      <c r="S28" s="187"/>
    </row>
    <row r="29" spans="1:19" x14ac:dyDescent="0.3">
      <c r="A29" s="1"/>
      <c r="B29" s="1"/>
      <c r="C29" s="1"/>
      <c r="D29" s="1"/>
      <c r="E29" s="1"/>
      <c r="F29" s="1"/>
      <c r="G29" s="1"/>
      <c r="H29" s="1"/>
      <c r="I29" s="1"/>
      <c r="J29" s="1"/>
      <c r="K29" s="1"/>
      <c r="L29" s="1"/>
      <c r="M29" s="1"/>
      <c r="N29" s="1"/>
      <c r="O29" s="1"/>
      <c r="P29" s="1"/>
      <c r="Q29" s="1"/>
      <c r="R29" s="1"/>
      <c r="S29" s="1"/>
    </row>
    <row r="34" spans="1:19" x14ac:dyDescent="0.3">
      <c r="A34" s="1"/>
      <c r="B34" s="1"/>
      <c r="C34" s="1"/>
      <c r="D34" s="1"/>
      <c r="E34" s="1"/>
      <c r="F34" s="1"/>
      <c r="G34" s="1"/>
      <c r="H34" s="1"/>
      <c r="I34" s="1"/>
      <c r="J34" s="1"/>
      <c r="K34" s="1"/>
      <c r="L34" s="1"/>
      <c r="M34" s="1"/>
      <c r="N34" s="1"/>
      <c r="O34" s="1"/>
      <c r="P34" s="1"/>
      <c r="Q34" s="1"/>
      <c r="R34" s="1"/>
      <c r="S34" s="1"/>
    </row>
    <row r="35" spans="1:19" x14ac:dyDescent="0.3">
      <c r="A35" s="1"/>
      <c r="B35" s="1"/>
      <c r="C35" s="1"/>
      <c r="D35" s="1"/>
      <c r="E35" s="1"/>
      <c r="F35" s="1"/>
      <c r="G35" s="1"/>
      <c r="H35" s="1"/>
      <c r="I35" s="1"/>
      <c r="J35" s="1"/>
      <c r="K35" s="1"/>
      <c r="L35" s="1"/>
      <c r="M35" s="1"/>
      <c r="N35" s="1"/>
      <c r="O35" s="1"/>
      <c r="P35" s="1"/>
      <c r="Q35" s="1"/>
      <c r="R35" s="1"/>
      <c r="S35" s="1"/>
    </row>
    <row r="36" spans="1:19" x14ac:dyDescent="0.3">
      <c r="A36" s="1"/>
      <c r="B36" s="1"/>
      <c r="C36" s="1"/>
      <c r="D36" s="1"/>
      <c r="E36" s="1"/>
      <c r="F36" s="1"/>
      <c r="G36" s="1"/>
      <c r="H36" s="1"/>
      <c r="I36" s="1"/>
      <c r="J36" s="1"/>
      <c r="K36" s="1"/>
      <c r="L36" s="1"/>
      <c r="M36" s="1"/>
      <c r="N36" s="1"/>
      <c r="O36" s="1"/>
      <c r="P36" s="1"/>
      <c r="Q36" s="1"/>
      <c r="R36" s="1"/>
      <c r="S36" s="1"/>
    </row>
    <row r="37" spans="1:19" x14ac:dyDescent="0.3">
      <c r="A37" s="1"/>
      <c r="B37" s="1"/>
      <c r="C37" s="1"/>
      <c r="D37" s="1"/>
      <c r="E37" s="1"/>
      <c r="F37" s="1"/>
      <c r="G37" s="1"/>
      <c r="H37" s="1"/>
      <c r="I37" s="1"/>
      <c r="J37" s="1"/>
      <c r="K37" s="1"/>
      <c r="L37" s="1"/>
      <c r="M37" s="1"/>
      <c r="N37" s="1"/>
      <c r="O37" s="1"/>
      <c r="P37" s="1"/>
      <c r="Q37" s="1"/>
      <c r="R37" s="1"/>
      <c r="S37" s="1"/>
    </row>
    <row r="38" spans="1:19" x14ac:dyDescent="0.3">
      <c r="A38" s="1"/>
      <c r="B38" s="1"/>
      <c r="C38" s="1"/>
      <c r="D38" s="1"/>
      <c r="E38" s="1"/>
      <c r="F38" s="1"/>
      <c r="G38" s="1"/>
      <c r="H38" s="1"/>
      <c r="I38" s="1"/>
      <c r="J38" s="1"/>
      <c r="K38" s="1"/>
      <c r="L38" s="1"/>
      <c r="M38" s="1"/>
      <c r="N38" s="1"/>
      <c r="O38" s="1"/>
      <c r="P38" s="1"/>
      <c r="Q38" s="1"/>
      <c r="R38" s="1"/>
      <c r="S38" s="1"/>
    </row>
    <row r="39" spans="1:19" x14ac:dyDescent="0.3">
      <c r="A39" s="1"/>
      <c r="B39" s="1"/>
      <c r="C39" s="1"/>
      <c r="D39" s="1"/>
      <c r="E39" s="1"/>
      <c r="F39" s="1"/>
      <c r="G39" s="1"/>
      <c r="H39" s="1"/>
      <c r="I39" s="1"/>
      <c r="J39" s="1"/>
      <c r="K39" s="1"/>
      <c r="L39" s="1"/>
      <c r="M39" s="1"/>
      <c r="N39" s="1"/>
      <c r="O39" s="1"/>
      <c r="P39" s="1"/>
      <c r="Q39" s="1"/>
      <c r="R39" s="1"/>
      <c r="S39" s="1"/>
    </row>
    <row r="40" spans="1:19" x14ac:dyDescent="0.3">
      <c r="A40" s="1"/>
      <c r="B40" s="1"/>
      <c r="C40" s="1"/>
      <c r="D40" s="1"/>
      <c r="E40" s="1"/>
      <c r="F40" s="1"/>
      <c r="G40" s="1"/>
      <c r="H40" s="1"/>
      <c r="I40" s="1"/>
      <c r="J40" s="1"/>
      <c r="K40" s="1"/>
      <c r="L40" s="1"/>
      <c r="M40" s="1"/>
      <c r="N40" s="1"/>
      <c r="O40" s="1"/>
      <c r="P40" s="1"/>
      <c r="Q40" s="1"/>
      <c r="R40" s="1"/>
      <c r="S40" s="1"/>
    </row>
    <row r="41" spans="1:19" x14ac:dyDescent="0.3">
      <c r="A41" s="1"/>
      <c r="B41" s="1"/>
      <c r="C41" s="1"/>
      <c r="D41" s="1"/>
      <c r="E41" s="1"/>
      <c r="F41" s="1"/>
      <c r="G41" s="1"/>
      <c r="H41" s="1"/>
      <c r="I41" s="1"/>
      <c r="J41" s="1"/>
      <c r="K41" s="1"/>
      <c r="L41" s="1"/>
      <c r="M41" s="1"/>
      <c r="N41" s="1"/>
      <c r="O41" s="1"/>
      <c r="P41" s="1"/>
      <c r="Q41" s="1"/>
      <c r="R41" s="1"/>
      <c r="S41" s="1"/>
    </row>
    <row r="42" spans="1:19" x14ac:dyDescent="0.3">
      <c r="A42" s="1"/>
      <c r="B42" s="1"/>
      <c r="C42" s="1"/>
      <c r="D42" s="1"/>
      <c r="E42" s="1"/>
      <c r="F42" s="1"/>
      <c r="G42" s="1"/>
      <c r="H42" s="1"/>
      <c r="I42" s="1"/>
      <c r="J42" s="1"/>
      <c r="K42" s="1"/>
      <c r="L42" s="1"/>
      <c r="M42" s="1"/>
      <c r="N42" s="1"/>
      <c r="O42" s="1"/>
      <c r="P42" s="1"/>
      <c r="Q42" s="1"/>
      <c r="R42" s="1"/>
      <c r="S42" s="1"/>
    </row>
    <row r="43" spans="1:19" x14ac:dyDescent="0.3">
      <c r="A43" s="1"/>
      <c r="B43" s="1"/>
      <c r="C43" s="1"/>
      <c r="D43" s="1"/>
      <c r="E43" s="1"/>
      <c r="F43" s="1"/>
      <c r="G43" s="1"/>
      <c r="H43" s="1"/>
      <c r="I43" s="1"/>
      <c r="J43" s="1"/>
      <c r="K43" s="1"/>
      <c r="L43" s="1"/>
      <c r="M43" s="1"/>
      <c r="N43" s="1"/>
      <c r="O43" s="1"/>
      <c r="P43" s="1"/>
      <c r="Q43" s="1"/>
      <c r="R43" s="1"/>
      <c r="S43" s="1"/>
    </row>
    <row r="44" spans="1:19" x14ac:dyDescent="0.3">
      <c r="A44" s="1"/>
      <c r="B44" s="1"/>
      <c r="C44" s="1"/>
      <c r="D44" s="1"/>
      <c r="E44" s="1"/>
      <c r="F44" s="1"/>
      <c r="G44" s="1"/>
      <c r="H44" s="1"/>
      <c r="I44" s="1"/>
      <c r="J44" s="1"/>
      <c r="K44" s="1"/>
      <c r="L44" s="1"/>
      <c r="M44" s="1"/>
      <c r="N44" s="1"/>
      <c r="O44" s="1"/>
      <c r="P44" s="1"/>
      <c r="Q44" s="1"/>
      <c r="R44" s="1"/>
      <c r="S44" s="1"/>
    </row>
    <row r="45" spans="1:19" x14ac:dyDescent="0.3">
      <c r="A45" s="1"/>
      <c r="B45" s="1"/>
      <c r="C45" s="1"/>
      <c r="D45" s="1"/>
      <c r="E45" s="1"/>
      <c r="F45" s="1"/>
      <c r="G45" s="1"/>
      <c r="H45" s="1"/>
      <c r="I45" s="1"/>
      <c r="J45" s="1"/>
      <c r="K45" s="1"/>
      <c r="L45" s="1"/>
      <c r="M45" s="1"/>
      <c r="N45" s="1"/>
      <c r="O45" s="1"/>
      <c r="P45" s="1"/>
      <c r="Q45" s="1"/>
      <c r="R45" s="1"/>
      <c r="S45" s="1"/>
    </row>
    <row r="46" spans="1:19" x14ac:dyDescent="0.3">
      <c r="A46" s="1"/>
      <c r="B46" s="1"/>
      <c r="C46" s="1"/>
      <c r="D46" s="1"/>
      <c r="E46" s="1"/>
      <c r="F46" s="1"/>
      <c r="G46" s="1"/>
      <c r="H46" s="1"/>
      <c r="I46" s="1"/>
      <c r="J46" s="1"/>
      <c r="K46" s="1"/>
      <c r="L46" s="1"/>
      <c r="M46" s="1"/>
      <c r="N46" s="1"/>
      <c r="O46" s="1"/>
      <c r="P46" s="1"/>
      <c r="Q46" s="1"/>
      <c r="R46" s="1"/>
      <c r="S46" s="1"/>
    </row>
    <row r="47" spans="1:19" x14ac:dyDescent="0.3">
      <c r="A47" s="1"/>
      <c r="B47" s="1"/>
      <c r="C47" s="1"/>
      <c r="D47" s="1"/>
      <c r="E47" s="1"/>
      <c r="F47" s="1"/>
      <c r="G47" s="1"/>
      <c r="H47" s="1"/>
      <c r="I47" s="1"/>
      <c r="J47" s="1"/>
      <c r="K47" s="1"/>
      <c r="L47" s="1"/>
      <c r="M47" s="1"/>
      <c r="N47" s="1"/>
      <c r="O47" s="1"/>
      <c r="P47" s="1"/>
      <c r="Q47" s="1"/>
      <c r="R47" s="1"/>
      <c r="S47" s="1"/>
    </row>
    <row r="48" spans="1:19" x14ac:dyDescent="0.3">
      <c r="A48" s="1"/>
      <c r="B48" s="1"/>
      <c r="C48" s="1"/>
      <c r="D48" s="1"/>
      <c r="E48" s="1"/>
      <c r="F48" s="1"/>
      <c r="G48" s="1"/>
      <c r="H48" s="1"/>
      <c r="I48" s="1"/>
      <c r="J48" s="1"/>
      <c r="K48" s="1"/>
      <c r="L48" s="1"/>
      <c r="M48" s="1"/>
      <c r="N48" s="1"/>
      <c r="O48" s="1"/>
      <c r="P48" s="1"/>
      <c r="Q48" s="1"/>
      <c r="R48" s="1"/>
      <c r="S48" s="1"/>
    </row>
    <row r="49" spans="1:19" x14ac:dyDescent="0.3">
      <c r="A49" s="1"/>
      <c r="B49" s="1"/>
      <c r="C49" s="1"/>
      <c r="D49" s="1"/>
      <c r="E49" s="1"/>
      <c r="F49" s="1"/>
      <c r="G49" s="1"/>
      <c r="H49" s="1"/>
      <c r="I49" s="1"/>
      <c r="J49" s="1"/>
      <c r="K49" s="1"/>
      <c r="L49" s="1"/>
      <c r="M49" s="1"/>
      <c r="N49" s="1"/>
      <c r="O49" s="1"/>
      <c r="P49" s="1"/>
      <c r="Q49" s="1"/>
      <c r="R49" s="1"/>
      <c r="S49" s="1"/>
    </row>
    <row r="50" spans="1:19" x14ac:dyDescent="0.3">
      <c r="A50" s="1"/>
      <c r="B50" s="1"/>
      <c r="C50" s="1"/>
      <c r="D50" s="1"/>
      <c r="E50" s="1"/>
      <c r="F50" s="1"/>
      <c r="G50" s="1"/>
      <c r="H50" s="1"/>
      <c r="I50" s="1"/>
      <c r="J50" s="1"/>
      <c r="K50" s="1"/>
      <c r="L50" s="1"/>
      <c r="M50" s="1"/>
      <c r="N50" s="1"/>
      <c r="O50" s="1"/>
      <c r="P50" s="1"/>
      <c r="Q50" s="1"/>
      <c r="R50" s="1"/>
      <c r="S50" s="1"/>
    </row>
    <row r="51" spans="1:19" x14ac:dyDescent="0.3">
      <c r="A51" s="1"/>
      <c r="B51" s="1"/>
      <c r="C51" s="1"/>
      <c r="D51" s="1"/>
      <c r="E51" s="1"/>
      <c r="F51" s="1"/>
      <c r="G51" s="1"/>
      <c r="H51" s="1"/>
      <c r="I51" s="1"/>
      <c r="J51" s="1"/>
      <c r="K51" s="1"/>
      <c r="L51" s="1"/>
      <c r="M51" s="1"/>
      <c r="N51" s="1"/>
      <c r="O51" s="1"/>
      <c r="P51" s="1"/>
      <c r="Q51" s="1"/>
      <c r="R51" s="1"/>
      <c r="S51" s="1"/>
    </row>
    <row r="52" spans="1:19" x14ac:dyDescent="0.3">
      <c r="A52" s="1"/>
      <c r="B52" s="1"/>
      <c r="C52" s="1"/>
      <c r="D52" s="1"/>
      <c r="E52" s="1"/>
      <c r="F52" s="1"/>
      <c r="G52" s="1"/>
      <c r="H52" s="1"/>
      <c r="I52" s="1"/>
      <c r="J52" s="1"/>
      <c r="K52" s="1"/>
      <c r="L52" s="1"/>
      <c r="M52" s="1"/>
      <c r="N52" s="1"/>
      <c r="O52" s="1"/>
      <c r="P52" s="1"/>
      <c r="Q52" s="1"/>
      <c r="R52" s="1"/>
      <c r="S52" s="1"/>
    </row>
    <row r="53" spans="1:19" x14ac:dyDescent="0.3">
      <c r="A53" s="1"/>
      <c r="B53" s="1"/>
      <c r="C53" s="1"/>
      <c r="D53" s="1"/>
      <c r="E53" s="1"/>
      <c r="F53" s="1"/>
      <c r="G53" s="1"/>
      <c r="H53" s="1"/>
      <c r="I53" s="1"/>
      <c r="J53" s="1"/>
      <c r="K53" s="1"/>
      <c r="L53" s="1"/>
      <c r="M53" s="1"/>
      <c r="N53" s="1"/>
      <c r="O53" s="1"/>
      <c r="P53" s="1"/>
      <c r="Q53" s="1"/>
      <c r="R53" s="1"/>
      <c r="S53" s="1"/>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39997558519241921"/>
  </sheetPr>
  <dimension ref="A1:CC111"/>
  <sheetViews>
    <sheetView showGridLines="0" zoomScale="74" zoomScaleNormal="74" workbookViewId="0">
      <selection activeCell="S11" sqref="S11"/>
    </sheetView>
  </sheetViews>
  <sheetFormatPr defaultColWidth="0" defaultRowHeight="14.4" zeroHeight="1" x14ac:dyDescent="0.3"/>
  <cols>
    <col min="1" max="1" width="3" customWidth="1"/>
    <col min="2" max="2" width="5.88671875" customWidth="1"/>
    <col min="3" max="3" width="37.88671875" customWidth="1"/>
    <col min="4" max="19" width="9.109375" customWidth="1"/>
    <col min="20" max="81" width="0" hidden="1" customWidth="1"/>
    <col min="82" max="16384" width="9.109375" hidden="1"/>
  </cols>
  <sheetData>
    <row r="1" spans="1:19" ht="15.6" x14ac:dyDescent="0.3">
      <c r="A1" s="33" t="s">
        <v>345</v>
      </c>
      <c r="B1" s="30"/>
      <c r="C1" s="30"/>
      <c r="D1" s="30"/>
      <c r="E1" s="30"/>
      <c r="F1" s="30"/>
      <c r="G1" s="30"/>
      <c r="H1" s="30"/>
      <c r="I1" s="30"/>
      <c r="J1" s="30"/>
      <c r="K1" s="30"/>
      <c r="L1" s="30"/>
      <c r="M1" s="30"/>
      <c r="N1" s="30"/>
      <c r="O1" s="30"/>
      <c r="P1" s="30"/>
      <c r="Q1" s="30"/>
      <c r="R1" s="30"/>
      <c r="S1" s="30"/>
    </row>
    <row r="2" spans="1:19" ht="15.6" x14ac:dyDescent="0.3">
      <c r="A2" s="32" t="s">
        <v>194</v>
      </c>
      <c r="B2" s="31"/>
      <c r="C2" s="31"/>
      <c r="D2" s="31"/>
      <c r="E2" s="31"/>
      <c r="F2" s="31"/>
      <c r="G2" s="31"/>
      <c r="H2" s="31"/>
      <c r="I2" s="31"/>
      <c r="J2" s="31"/>
      <c r="K2" s="31"/>
      <c r="L2" s="31"/>
      <c r="M2" s="31"/>
      <c r="N2" s="31"/>
      <c r="O2" s="31"/>
      <c r="P2" s="31"/>
      <c r="Q2" s="31"/>
      <c r="R2" s="31"/>
      <c r="S2" s="31"/>
    </row>
    <row r="3" spans="1:19" x14ac:dyDescent="0.3">
      <c r="A3" s="30"/>
      <c r="B3" s="29" t="s">
        <v>44</v>
      </c>
      <c r="C3" s="28" t="s">
        <v>43</v>
      </c>
      <c r="D3" s="27" t="s">
        <v>42</v>
      </c>
      <c r="E3" s="27" t="s">
        <v>41</v>
      </c>
      <c r="F3" s="27" t="s">
        <v>40</v>
      </c>
      <c r="G3" s="27" t="str">
        <f t="shared" ref="G3:Q3" si="0">Time</f>
        <v>2021A</v>
      </c>
      <c r="H3" s="27" t="str">
        <f t="shared" si="0"/>
        <v>2022F</v>
      </c>
      <c r="I3" s="27" t="str">
        <f t="shared" si="0"/>
        <v>2023F</v>
      </c>
      <c r="J3" s="27" t="str">
        <f t="shared" si="0"/>
        <v>2024F</v>
      </c>
      <c r="K3" s="27" t="str">
        <f t="shared" si="0"/>
        <v>2025F</v>
      </c>
      <c r="L3" s="27" t="str">
        <f t="shared" si="0"/>
        <v>2026F</v>
      </c>
      <c r="M3" s="27" t="str">
        <f t="shared" si="0"/>
        <v>2027F</v>
      </c>
      <c r="N3" s="27" t="str">
        <f t="shared" si="0"/>
        <v>2028F</v>
      </c>
      <c r="O3" s="27" t="str">
        <f t="shared" si="0"/>
        <v>2029F</v>
      </c>
      <c r="P3" s="27" t="str">
        <f t="shared" si="0"/>
        <v>2030F</v>
      </c>
      <c r="Q3" s="27" t="str">
        <f t="shared" si="0"/>
        <v>2031F</v>
      </c>
      <c r="R3" s="27"/>
      <c r="S3" s="27"/>
    </row>
    <row r="4" spans="1:19" x14ac:dyDescent="0.3">
      <c r="A4" s="1"/>
      <c r="B4" s="1"/>
      <c r="C4" s="1"/>
      <c r="D4" s="1"/>
      <c r="E4" s="1"/>
      <c r="F4" s="1"/>
      <c r="G4" s="122"/>
      <c r="H4" s="122"/>
      <c r="I4" s="122"/>
      <c r="J4" s="122"/>
      <c r="K4" s="122"/>
      <c r="L4" s="122"/>
      <c r="M4" s="122"/>
      <c r="N4" s="122"/>
      <c r="O4" s="122"/>
      <c r="P4" s="122"/>
      <c r="Q4" s="122"/>
      <c r="R4" s="1"/>
      <c r="S4" s="1"/>
    </row>
    <row r="5" spans="1:19" s="4" customFormat="1" ht="11.4" x14ac:dyDescent="0.2">
      <c r="A5" s="1"/>
      <c r="B5" s="1"/>
      <c r="C5" s="8" t="s">
        <v>194</v>
      </c>
      <c r="D5" s="3"/>
      <c r="E5" s="3"/>
      <c r="F5" s="3"/>
      <c r="G5" s="3"/>
      <c r="H5" s="3"/>
      <c r="I5" s="3"/>
      <c r="J5" s="3"/>
      <c r="K5" s="3"/>
      <c r="L5" s="3"/>
      <c r="M5" s="3"/>
      <c r="N5" s="3"/>
      <c r="O5" s="3"/>
      <c r="P5" s="3"/>
      <c r="Q5" s="3"/>
      <c r="R5" s="3"/>
      <c r="S5" s="3"/>
    </row>
    <row r="6" spans="1:19" s="4" customFormat="1" ht="11.4" x14ac:dyDescent="0.2">
      <c r="A6" s="1"/>
      <c r="B6" s="1"/>
      <c r="C6" s="5" t="s">
        <v>193</v>
      </c>
      <c r="D6" s="10" t="s">
        <v>4</v>
      </c>
      <c r="E6" s="10" t="s">
        <v>346</v>
      </c>
      <c r="F6" s="1"/>
      <c r="G6" s="209">
        <f t="shared" ref="G6:Q6" si="1">G13+G24</f>
        <v>92493</v>
      </c>
      <c r="H6" s="209">
        <f t="shared" si="1"/>
        <v>89519.850412630185</v>
      </c>
      <c r="I6" s="209">
        <f t="shared" si="1"/>
        <v>72309.023474724658</v>
      </c>
      <c r="J6" s="209">
        <f t="shared" si="1"/>
        <v>59030.557969143636</v>
      </c>
      <c r="K6" s="209">
        <f t="shared" si="1"/>
        <v>57577.859440778688</v>
      </c>
      <c r="L6" s="209">
        <f t="shared" si="1"/>
        <v>60692.793407636869</v>
      </c>
      <c r="M6" s="209">
        <f t="shared" si="1"/>
        <v>69167.197794170061</v>
      </c>
      <c r="N6" s="209">
        <f t="shared" si="1"/>
        <v>82097.350894152871</v>
      </c>
      <c r="O6" s="209">
        <f t="shared" si="1"/>
        <v>93733.017414665243</v>
      </c>
      <c r="P6" s="209">
        <f t="shared" si="1"/>
        <v>107005.51692814774</v>
      </c>
      <c r="Q6" s="209">
        <f t="shared" si="1"/>
        <v>121483.43005126501</v>
      </c>
      <c r="R6" s="118"/>
      <c r="S6" s="118"/>
    </row>
    <row r="7" spans="1:19" s="110" customFormat="1" ht="11.4" x14ac:dyDescent="0.2">
      <c r="A7" s="1"/>
      <c r="B7" s="1"/>
      <c r="C7" s="7" t="s">
        <v>192</v>
      </c>
      <c r="D7" s="1"/>
      <c r="E7" s="1"/>
      <c r="F7" s="111"/>
      <c r="G7" s="111"/>
      <c r="H7" s="111"/>
      <c r="I7" s="111"/>
      <c r="J7" s="111"/>
      <c r="K7" s="111"/>
      <c r="L7" s="111"/>
      <c r="M7" s="111"/>
      <c r="N7" s="111"/>
      <c r="O7" s="111"/>
      <c r="P7" s="111"/>
      <c r="Q7" s="111"/>
      <c r="R7" s="111"/>
      <c r="S7" s="111"/>
    </row>
    <row r="8" spans="1:19" s="110" customFormat="1" ht="11.4" x14ac:dyDescent="0.2">
      <c r="A8" s="1"/>
      <c r="B8" s="1"/>
      <c r="C8" s="6" t="s">
        <v>191</v>
      </c>
      <c r="D8" s="2" t="s">
        <v>4</v>
      </c>
      <c r="E8" s="2" t="s">
        <v>346</v>
      </c>
      <c r="F8" s="111"/>
      <c r="G8" s="199">
        <v>9684</v>
      </c>
      <c r="H8" s="117">
        <f>G8+CFS!H25</f>
        <v>1606.7275926301809</v>
      </c>
      <c r="I8" s="117">
        <f>H8+CFS!I25</f>
        <v>-19381.334244367688</v>
      </c>
      <c r="J8" s="117">
        <f>I8+CFS!J25</f>
        <v>-40002.704719120702</v>
      </c>
      <c r="K8" s="117">
        <f>J8+CFS!K25</f>
        <v>-46747.466142483259</v>
      </c>
      <c r="L8" s="117">
        <f>K8+CFS!L25</f>
        <v>-40497.81403972023</v>
      </c>
      <c r="M8" s="117">
        <f>L8+CFS!M25</f>
        <v>-33554.035809092566</v>
      </c>
      <c r="N8" s="117">
        <f>M8+CFS!N25</f>
        <v>-25842.392328431797</v>
      </c>
      <c r="O8" s="117">
        <f>N8+CFS!O25</f>
        <v>-17289.589029885701</v>
      </c>
      <c r="P8" s="117">
        <f>O8+CFS!P25</f>
        <v>-7815.6387896362539</v>
      </c>
      <c r="Q8" s="117">
        <f>P8+CFS!Q25</f>
        <v>2666.7399820205283</v>
      </c>
      <c r="R8" s="117"/>
      <c r="S8" s="117"/>
    </row>
    <row r="9" spans="1:19" s="110" customFormat="1" ht="11.4" x14ac:dyDescent="0.2">
      <c r="A9" s="1"/>
      <c r="B9" s="1"/>
      <c r="C9" s="6" t="s">
        <v>27</v>
      </c>
      <c r="D9" s="2" t="s">
        <v>10</v>
      </c>
      <c r="E9" s="2" t="s">
        <v>346</v>
      </c>
      <c r="F9" s="111"/>
      <c r="G9" s="117">
        <f>Calculation!G21</f>
        <v>3414</v>
      </c>
      <c r="H9" s="117">
        <f>Calculation!H21</f>
        <v>3868.30098</v>
      </c>
      <c r="I9" s="117">
        <f>Calculation!I21</f>
        <v>4278.9888242941497</v>
      </c>
      <c r="J9" s="117">
        <f>Calculation!J21</f>
        <v>4684.0721383124283</v>
      </c>
      <c r="K9" s="117">
        <f>Calculation!K21</f>
        <v>5110.7021127420621</v>
      </c>
      <c r="L9" s="117">
        <f>Calculation!L21</f>
        <v>5568.1022857793077</v>
      </c>
      <c r="M9" s="117">
        <f>Calculation!M21</f>
        <v>6064.6767838296773</v>
      </c>
      <c r="N9" s="117">
        <f>Calculation!N21</f>
        <v>6605.5367887651755</v>
      </c>
      <c r="O9" s="117">
        <f>Calculation!O21</f>
        <v>7194.6317706608297</v>
      </c>
      <c r="P9" s="117">
        <f>Calculation!P21</f>
        <v>7836.2634212319044</v>
      </c>
      <c r="Q9" s="117">
        <f>Calculation!Q21</f>
        <v>8535.1170656642062</v>
      </c>
      <c r="R9" s="117"/>
      <c r="S9" s="117"/>
    </row>
    <row r="10" spans="1:19" s="110" customFormat="1" ht="11.4" x14ac:dyDescent="0.2">
      <c r="A10" s="1"/>
      <c r="B10" s="1"/>
      <c r="C10" s="6" t="s">
        <v>404</v>
      </c>
      <c r="D10" s="2" t="s">
        <v>10</v>
      </c>
      <c r="E10" s="2" t="s">
        <v>346</v>
      </c>
      <c r="F10" s="111"/>
      <c r="G10" s="117">
        <v>1080</v>
      </c>
      <c r="H10" s="117">
        <f>G10*Inputs!H18</f>
        <v>1159.92</v>
      </c>
      <c r="I10" s="117">
        <f>H10*Inputs!I18</f>
        <v>1216.1761200000001</v>
      </c>
      <c r="J10" s="117">
        <f>I10*Inputs!J18</f>
        <v>1261.9043421120002</v>
      </c>
      <c r="K10" s="117">
        <f>J10*Inputs!K18</f>
        <v>1305.0614706122306</v>
      </c>
      <c r="L10" s="117">
        <f>K10*Inputs!L18</f>
        <v>1347.7369807012503</v>
      </c>
      <c r="M10" s="117">
        <f>L10*Inputs!M18</f>
        <v>1391.4036588759709</v>
      </c>
      <c r="N10" s="117">
        <f>M10*Inputs!N18</f>
        <v>1436.4851374235523</v>
      </c>
      <c r="O10" s="117">
        <f>N10*Inputs!O18</f>
        <v>1483.0272558760753</v>
      </c>
      <c r="P10" s="117">
        <f>O10*Inputs!P18</f>
        <v>1531.07733896646</v>
      </c>
      <c r="Q10" s="117">
        <f>P10*Inputs!Q18</f>
        <v>1580.6842447489732</v>
      </c>
      <c r="R10" s="117"/>
      <c r="S10" s="117"/>
    </row>
    <row r="11" spans="1:19" s="110" customFormat="1" ht="11.4" x14ac:dyDescent="0.2">
      <c r="A11" s="1"/>
      <c r="B11" s="1"/>
      <c r="C11" s="6" t="s">
        <v>26</v>
      </c>
      <c r="D11" s="2" t="s">
        <v>10</v>
      </c>
      <c r="E11" s="2" t="s">
        <v>346</v>
      </c>
      <c r="F11" s="111"/>
      <c r="G11" s="119">
        <f>Calculation!G23</f>
        <v>3512</v>
      </c>
      <c r="H11" s="119">
        <f>Calculation!H23</f>
        <v>3979.3418400000005</v>
      </c>
      <c r="I11" s="119">
        <f>Calculation!I23</f>
        <v>4401.8186147981996</v>
      </c>
      <c r="J11" s="119">
        <f>Calculation!J23</f>
        <v>4818.5299794239163</v>
      </c>
      <c r="K11" s="119">
        <f>Calculation!K23</f>
        <v>5257.4065084798249</v>
      </c>
      <c r="L11" s="119">
        <f>Calculation!L23</f>
        <v>5727.9365048790069</v>
      </c>
      <c r="M11" s="119">
        <f>Calculation!M23</f>
        <v>6238.7653382571261</v>
      </c>
      <c r="N11" s="119">
        <f>Calculation!N23</f>
        <v>6795.1509086535725</v>
      </c>
      <c r="O11" s="119">
        <f>Calculation!O23</f>
        <v>7401.1560569891144</v>
      </c>
      <c r="P11" s="119">
        <f>Calculation!P23</f>
        <v>8061.2059564635174</v>
      </c>
      <c r="Q11" s="119">
        <f>Calculation!Q23</f>
        <v>8780.1204260728464</v>
      </c>
      <c r="R11" s="119"/>
      <c r="S11" s="119"/>
    </row>
    <row r="12" spans="1:19" s="110" customFormat="1" ht="11.4" x14ac:dyDescent="0.2">
      <c r="A12" s="1"/>
      <c r="B12" s="1"/>
      <c r="C12" s="6" t="s">
        <v>190</v>
      </c>
      <c r="D12" s="2" t="s">
        <v>10</v>
      </c>
      <c r="E12" s="2" t="s">
        <v>346</v>
      </c>
      <c r="F12" s="111"/>
      <c r="G12" s="199">
        <v>2994</v>
      </c>
      <c r="H12" s="199">
        <f>G12*Inputs!H18</f>
        <v>3215.556</v>
      </c>
      <c r="I12" s="199">
        <f>H12*Inputs!I18</f>
        <v>3371.5104660000002</v>
      </c>
      <c r="J12" s="199">
        <f>I12*Inputs!J18</f>
        <v>3498.2792595216006</v>
      </c>
      <c r="K12" s="199">
        <f>J12*Inputs!K18</f>
        <v>3617.9204101972396</v>
      </c>
      <c r="L12" s="199">
        <f>K12*Inputs!L18</f>
        <v>3736.226407610689</v>
      </c>
      <c r="M12" s="199">
        <f>L12*Inputs!M18</f>
        <v>3857.2801432172751</v>
      </c>
      <c r="N12" s="199">
        <f>M12*Inputs!N18</f>
        <v>3982.2560198575147</v>
      </c>
      <c r="O12" s="199">
        <f>N12*Inputs!O18</f>
        <v>4111.2811149008985</v>
      </c>
      <c r="P12" s="199">
        <f>O12*Inputs!P18</f>
        <v>4244.4866230236876</v>
      </c>
      <c r="Q12" s="199">
        <f>P12*Inputs!Q18</f>
        <v>4382.0079896096549</v>
      </c>
      <c r="R12" s="117"/>
      <c r="S12" s="117"/>
    </row>
    <row r="13" spans="1:19" s="110" customFormat="1" ht="11.4" x14ac:dyDescent="0.2">
      <c r="A13" s="1"/>
      <c r="B13" s="1"/>
      <c r="C13" s="5" t="s">
        <v>189</v>
      </c>
      <c r="D13" s="10" t="s">
        <v>4</v>
      </c>
      <c r="E13" s="10" t="s">
        <v>346</v>
      </c>
      <c r="F13" s="116"/>
      <c r="G13" s="209">
        <f>G8+G9+G10+G11+G12</f>
        <v>20684</v>
      </c>
      <c r="H13" s="209">
        <f t="shared" ref="H13:Q13" si="2">H8+H9+H10+H11+H12</f>
        <v>13829.846412630182</v>
      </c>
      <c r="I13" s="209">
        <f t="shared" si="2"/>
        <v>-6112.8402192753401</v>
      </c>
      <c r="J13" s="209">
        <f t="shared" si="2"/>
        <v>-25739.918999750756</v>
      </c>
      <c r="K13" s="209">
        <f t="shared" si="2"/>
        <v>-31456.375640451904</v>
      </c>
      <c r="L13" s="209">
        <f t="shared" si="2"/>
        <v>-24117.811860749978</v>
      </c>
      <c r="M13" s="209">
        <f t="shared" si="2"/>
        <v>-16001.909884912518</v>
      </c>
      <c r="N13" s="209">
        <f t="shared" si="2"/>
        <v>-7022.9634737319802</v>
      </c>
      <c r="O13" s="209">
        <f t="shared" si="2"/>
        <v>2900.5071685412167</v>
      </c>
      <c r="P13" s="209">
        <f t="shared" si="2"/>
        <v>13857.394550049316</v>
      </c>
      <c r="Q13" s="209">
        <f t="shared" si="2"/>
        <v>25944.669708116209</v>
      </c>
      <c r="R13" s="118"/>
      <c r="S13" s="118"/>
    </row>
    <row r="14" spans="1:19" s="110" customFormat="1" ht="11.4" x14ac:dyDescent="0.2">
      <c r="A14" s="1"/>
      <c r="B14" s="1"/>
      <c r="C14" s="5"/>
      <c r="D14" s="1"/>
      <c r="E14" s="1"/>
      <c r="F14" s="111"/>
      <c r="G14" s="111"/>
      <c r="H14" s="111"/>
      <c r="I14" s="111"/>
      <c r="J14" s="111"/>
      <c r="K14" s="111"/>
      <c r="L14" s="111"/>
      <c r="M14" s="111"/>
      <c r="N14" s="111"/>
      <c r="O14" s="111"/>
      <c r="P14" s="111"/>
      <c r="Q14" s="111"/>
      <c r="R14" s="111"/>
      <c r="S14" s="111"/>
    </row>
    <row r="15" spans="1:19" s="110" customFormat="1" ht="11.4" x14ac:dyDescent="0.2">
      <c r="A15" s="1"/>
      <c r="B15" s="1"/>
      <c r="C15" s="7" t="s">
        <v>188</v>
      </c>
      <c r="D15" s="1"/>
      <c r="E15" s="1"/>
      <c r="F15" s="111"/>
      <c r="G15" s="111"/>
      <c r="H15" s="111"/>
      <c r="I15" s="111"/>
      <c r="J15" s="111"/>
      <c r="K15" s="111"/>
      <c r="L15" s="111"/>
      <c r="M15" s="111"/>
      <c r="N15" s="111"/>
      <c r="O15" s="111"/>
      <c r="P15" s="111"/>
      <c r="Q15" s="111"/>
      <c r="R15" s="111"/>
      <c r="S15" s="111"/>
    </row>
    <row r="16" spans="1:19" s="110" customFormat="1" ht="11.4" x14ac:dyDescent="0.2">
      <c r="A16" s="1"/>
      <c r="B16" s="1"/>
      <c r="C16" s="6" t="s">
        <v>187</v>
      </c>
      <c r="D16" s="2" t="s">
        <v>10</v>
      </c>
      <c r="E16" s="2" t="s">
        <v>346</v>
      </c>
      <c r="F16" s="111"/>
      <c r="G16" s="199">
        <f>19363</f>
        <v>19363</v>
      </c>
      <c r="H16" s="199">
        <f>19363</f>
        <v>19363</v>
      </c>
      <c r="I16" s="199">
        <f>19363</f>
        <v>19363</v>
      </c>
      <c r="J16" s="199">
        <v>23491</v>
      </c>
      <c r="K16" s="199">
        <v>25659</v>
      </c>
      <c r="L16" s="199">
        <f>19363</f>
        <v>19363</v>
      </c>
      <c r="M16" s="199">
        <f>19363-1762</f>
        <v>17601</v>
      </c>
      <c r="N16" s="199">
        <f>19363</f>
        <v>19363</v>
      </c>
      <c r="O16" s="199">
        <f>19363</f>
        <v>19363</v>
      </c>
      <c r="P16" s="199">
        <f>19363</f>
        <v>19363</v>
      </c>
      <c r="Q16" s="199">
        <f>19363</f>
        <v>19363</v>
      </c>
      <c r="R16" s="117"/>
      <c r="S16" s="117"/>
    </row>
    <row r="17" spans="1:19" s="110" customFormat="1" ht="11.4" x14ac:dyDescent="0.2">
      <c r="A17" s="1"/>
      <c r="B17" s="1"/>
      <c r="C17" s="6" t="s">
        <v>392</v>
      </c>
      <c r="D17" s="2" t="s">
        <v>10</v>
      </c>
      <c r="E17" s="2" t="s">
        <v>346</v>
      </c>
      <c r="F17" s="111"/>
      <c r="G17" s="199">
        <v>17598</v>
      </c>
      <c r="H17" s="199">
        <f>G17*Inputs!H18</f>
        <v>18900.252</v>
      </c>
      <c r="I17" s="199">
        <f>H17*Inputs!I18</f>
        <v>19816.914221999999</v>
      </c>
      <c r="J17" s="199">
        <f>I17*Inputs!J18</f>
        <v>20562.030196747201</v>
      </c>
      <c r="K17" s="199">
        <f>J17*Inputs!K18</f>
        <v>21265.251629475955</v>
      </c>
      <c r="L17" s="199">
        <f>K17*Inputs!L18</f>
        <v>21960.625357759818</v>
      </c>
      <c r="M17" s="199">
        <f>L17*Inputs!M18</f>
        <v>22672.149619351236</v>
      </c>
      <c r="N17" s="199">
        <f>M17*Inputs!N18</f>
        <v>23406.727267018214</v>
      </c>
      <c r="O17" s="199">
        <f>N17*Inputs!O18</f>
        <v>24165.105230469602</v>
      </c>
      <c r="P17" s="199">
        <f>O17*Inputs!P18</f>
        <v>24948.054639936818</v>
      </c>
      <c r="Q17" s="199">
        <f>P17*Inputs!Q18</f>
        <v>25756.371610270769</v>
      </c>
      <c r="R17" s="117"/>
      <c r="S17" s="117"/>
    </row>
    <row r="18" spans="1:19" s="110" customFormat="1" ht="11.4" x14ac:dyDescent="0.2">
      <c r="A18" s="1"/>
      <c r="B18" s="1"/>
      <c r="C18" s="6" t="s">
        <v>396</v>
      </c>
      <c r="D18" s="2" t="s">
        <v>10</v>
      </c>
      <c r="E18" s="2" t="s">
        <v>346</v>
      </c>
      <c r="F18" s="111"/>
      <c r="G18" s="199">
        <v>818</v>
      </c>
      <c r="H18" s="199">
        <f>G18*Inputs!H18</f>
        <v>878.53200000000004</v>
      </c>
      <c r="I18" s="199">
        <f>H18*Inputs!I18</f>
        <v>921.14080200000001</v>
      </c>
      <c r="J18" s="199">
        <f>I18*Inputs!J18</f>
        <v>955.77569615520008</v>
      </c>
      <c r="K18" s="199">
        <f>J18*Inputs!K18</f>
        <v>988.46322496370794</v>
      </c>
      <c r="L18" s="199">
        <f>K18*Inputs!L18</f>
        <v>1020.7859724200212</v>
      </c>
      <c r="M18" s="199">
        <f>L18*Inputs!M18</f>
        <v>1053.8594379264298</v>
      </c>
      <c r="N18" s="199">
        <f>M18*Inputs!N18</f>
        <v>1088.0044837152461</v>
      </c>
      <c r="O18" s="199">
        <f>N18*Inputs!O18</f>
        <v>1123.2558289876201</v>
      </c>
      <c r="P18" s="199">
        <f>O18*Inputs!P18</f>
        <v>1159.649317846819</v>
      </c>
      <c r="Q18" s="199">
        <f>P18*Inputs!Q18</f>
        <v>1197.221955745056</v>
      </c>
      <c r="R18" s="117"/>
      <c r="S18" s="117"/>
    </row>
    <row r="19" spans="1:19" s="110" customFormat="1" ht="11.4" x14ac:dyDescent="0.2">
      <c r="A19" s="1"/>
      <c r="B19" s="1"/>
      <c r="C19" s="6" t="s">
        <v>393</v>
      </c>
      <c r="D19" s="2" t="s">
        <v>10</v>
      </c>
      <c r="E19" s="2" t="s">
        <v>346</v>
      </c>
      <c r="F19" s="111"/>
      <c r="G19" s="199">
        <v>14465</v>
      </c>
      <c r="H19" s="199">
        <f>G19*Inputs!H18</f>
        <v>15535.410000000002</v>
      </c>
      <c r="I19" s="199">
        <f>H19*Inputs!I18</f>
        <v>16288.877385000002</v>
      </c>
      <c r="J19" s="199">
        <f>I19*Inputs!J18</f>
        <v>16901.339174676003</v>
      </c>
      <c r="K19" s="199">
        <f>J19*Inputs!K18</f>
        <v>17479.364974449923</v>
      </c>
      <c r="L19" s="199">
        <f>K19*Inputs!L18</f>
        <v>18050.940209114437</v>
      </c>
      <c r="M19" s="199">
        <f>L19*Inputs!M18</f>
        <v>18635.790671889743</v>
      </c>
      <c r="N19" s="199">
        <f>M19*Inputs!N18</f>
        <v>19239.590289658969</v>
      </c>
      <c r="O19" s="199">
        <f>N19*Inputs!O18</f>
        <v>19862.95301504392</v>
      </c>
      <c r="P19" s="199">
        <f>O19*Inputs!P18</f>
        <v>20506.512692731343</v>
      </c>
      <c r="Q19" s="199">
        <f>P19*Inputs!Q18</f>
        <v>21170.923703975837</v>
      </c>
      <c r="R19" s="117"/>
      <c r="S19" s="117"/>
    </row>
    <row r="20" spans="1:19" s="110" customFormat="1" ht="11.4" x14ac:dyDescent="0.2">
      <c r="A20" s="1"/>
      <c r="B20" s="1"/>
      <c r="C20" s="6" t="s">
        <v>394</v>
      </c>
      <c r="D20" s="2" t="s">
        <v>10</v>
      </c>
      <c r="E20" s="2" t="s">
        <v>346</v>
      </c>
      <c r="F20" s="111"/>
      <c r="G20" s="117">
        <v>9920</v>
      </c>
      <c r="H20" s="117">
        <f>G20*Inputs!H18</f>
        <v>10654.08</v>
      </c>
      <c r="I20" s="117">
        <f>H20*Inputs!I18</f>
        <v>11170.802879999999</v>
      </c>
      <c r="J20" s="117">
        <f>I20*Inputs!J18</f>
        <v>11590.825068288001</v>
      </c>
      <c r="K20" s="117">
        <f>J20*Inputs!K18</f>
        <v>11987.231285623451</v>
      </c>
      <c r="L20" s="117">
        <f>K20*Inputs!L18</f>
        <v>12379.213748663338</v>
      </c>
      <c r="M20" s="117">
        <f>L20*Inputs!M18</f>
        <v>12780.300274120031</v>
      </c>
      <c r="N20" s="117">
        <f>M20*Inputs!N18</f>
        <v>13194.382003001519</v>
      </c>
      <c r="O20" s="117">
        <f>N20*Inputs!O18</f>
        <v>13621.879979898769</v>
      </c>
      <c r="P20" s="117">
        <f>O20*Inputs!P18</f>
        <v>14063.228891247489</v>
      </c>
      <c r="Q20" s="117">
        <f>P20*Inputs!Q18</f>
        <v>14518.877507323907</v>
      </c>
      <c r="R20" s="117"/>
      <c r="S20" s="117"/>
    </row>
    <row r="21" spans="1:19" s="110" customFormat="1" ht="11.4" x14ac:dyDescent="0.2">
      <c r="A21" s="1"/>
      <c r="B21" s="1"/>
      <c r="C21" s="6" t="s">
        <v>391</v>
      </c>
      <c r="D21" s="2" t="s">
        <v>10</v>
      </c>
      <c r="E21" s="2" t="s">
        <v>346</v>
      </c>
      <c r="F21" s="111"/>
      <c r="G21" s="199">
        <v>2129</v>
      </c>
      <c r="H21" s="117">
        <f>G21*Inputs!H18</f>
        <v>2286.5460000000003</v>
      </c>
      <c r="I21" s="117">
        <f>H21*Inputs!I18</f>
        <v>2397.4434810000002</v>
      </c>
      <c r="J21" s="117">
        <f>I21*Inputs!J18</f>
        <v>2487.5873558856006</v>
      </c>
      <c r="K21" s="117">
        <f>J21*Inputs!K18</f>
        <v>2572.6628434568879</v>
      </c>
      <c r="L21" s="117">
        <f>K21*Inputs!L18</f>
        <v>2656.7889184379278</v>
      </c>
      <c r="M21" s="117">
        <f>L21*Inputs!M18</f>
        <v>2742.8688793953165</v>
      </c>
      <c r="N21" s="117">
        <f>M21*Inputs!N18</f>
        <v>2831.7378310877248</v>
      </c>
      <c r="O21" s="117">
        <f>N21*Inputs!O18</f>
        <v>2923.4861368149668</v>
      </c>
      <c r="P21" s="117">
        <f>O21*Inputs!P18</f>
        <v>3018.2070876477719</v>
      </c>
      <c r="Q21" s="117">
        <f>P21*Inputs!Q18</f>
        <v>3115.9969972875597</v>
      </c>
      <c r="R21" s="117"/>
      <c r="S21" s="117"/>
    </row>
    <row r="22" spans="1:19" s="110" customFormat="1" ht="11.4" x14ac:dyDescent="0.2">
      <c r="A22" s="1"/>
      <c r="B22" s="1"/>
      <c r="C22" s="6" t="s">
        <v>186</v>
      </c>
      <c r="D22" s="2" t="s">
        <v>10</v>
      </c>
      <c r="E22" s="2" t="s">
        <v>346</v>
      </c>
      <c r="F22" s="111"/>
      <c r="G22" s="199">
        <v>6731</v>
      </c>
      <c r="H22" s="117">
        <f>G22*Inputs!H18</f>
        <v>7229.0940000000001</v>
      </c>
      <c r="I22" s="117">
        <f>H22*Inputs!I18</f>
        <v>7579.7050589999999</v>
      </c>
      <c r="J22" s="117">
        <f>I22*Inputs!J18</f>
        <v>7864.7019692184003</v>
      </c>
      <c r="K22" s="117">
        <f>J22*Inputs!K18</f>
        <v>8133.6747765656701</v>
      </c>
      <c r="L22" s="117">
        <f>K22*Inputs!L18</f>
        <v>8399.6459417593669</v>
      </c>
      <c r="M22" s="117">
        <f>L22*Inputs!M18</f>
        <v>8671.7944702723707</v>
      </c>
      <c r="N22" s="117">
        <f>M22*Inputs!N18</f>
        <v>8952.7606111091955</v>
      </c>
      <c r="O22" s="117">
        <f>N22*Inputs!O18</f>
        <v>9242.8300549091327</v>
      </c>
      <c r="P22" s="117">
        <f>O22*Inputs!P18</f>
        <v>9542.2977486881882</v>
      </c>
      <c r="Q22" s="117">
        <f>P22*Inputs!Q18</f>
        <v>9851.4681957456851</v>
      </c>
      <c r="R22" s="117"/>
      <c r="S22" s="117"/>
    </row>
    <row r="23" spans="1:19" s="110" customFormat="1" ht="11.4" x14ac:dyDescent="0.2">
      <c r="A23" s="1"/>
      <c r="B23" s="1"/>
      <c r="C23" s="6" t="s">
        <v>395</v>
      </c>
      <c r="D23" s="2" t="s">
        <v>10</v>
      </c>
      <c r="E23" s="2" t="s">
        <v>346</v>
      </c>
      <c r="F23" s="111"/>
      <c r="G23" s="199">
        <v>785</v>
      </c>
      <c r="H23" s="117">
        <f>G23*Inputs!H18</f>
        <v>843.09</v>
      </c>
      <c r="I23" s="117">
        <f>H23*Inputs!I18</f>
        <v>883.97986500000002</v>
      </c>
      <c r="J23" s="117">
        <f>I23*Inputs!J18</f>
        <v>917.21750792400007</v>
      </c>
      <c r="K23" s="117">
        <f>J23*Inputs!K18</f>
        <v>948.58634669500088</v>
      </c>
      <c r="L23" s="117">
        <f>K23*Inputs!L18</f>
        <v>979.60512023192734</v>
      </c>
      <c r="M23" s="117">
        <f>L23*Inputs!M18</f>
        <v>1011.3443261274417</v>
      </c>
      <c r="N23" s="117">
        <f>M23*Inputs!N18</f>
        <v>1044.1118822939709</v>
      </c>
      <c r="O23" s="117">
        <v>530</v>
      </c>
      <c r="P23" s="117">
        <f>O23*Inputs!P18</f>
        <v>547.17200000000003</v>
      </c>
      <c r="Q23" s="117">
        <f>P23*Inputs!Q18</f>
        <v>564.90037280000001</v>
      </c>
      <c r="R23" s="117"/>
      <c r="S23" s="117"/>
    </row>
    <row r="24" spans="1:19" s="110" customFormat="1" ht="11.4" x14ac:dyDescent="0.2">
      <c r="A24" s="1"/>
      <c r="B24" s="1"/>
      <c r="C24" s="5" t="s">
        <v>185</v>
      </c>
      <c r="D24" s="10" t="s">
        <v>4</v>
      </c>
      <c r="E24" s="10" t="s">
        <v>346</v>
      </c>
      <c r="F24" s="116"/>
      <c r="G24" s="209">
        <f>SUM(G16:G23)</f>
        <v>71809</v>
      </c>
      <c r="H24" s="209">
        <f t="shared" ref="H24:Q24" si="3">SUM(H16:H23)</f>
        <v>75690.004000000001</v>
      </c>
      <c r="I24" s="209">
        <f t="shared" si="3"/>
        <v>78421.863694</v>
      </c>
      <c r="J24" s="209">
        <f t="shared" si="3"/>
        <v>84770.476968894392</v>
      </c>
      <c r="K24" s="209">
        <f t="shared" si="3"/>
        <v>89034.235081230596</v>
      </c>
      <c r="L24" s="209">
        <f t="shared" si="3"/>
        <v>84810.605268386847</v>
      </c>
      <c r="M24" s="209">
        <f t="shared" si="3"/>
        <v>85169.107679082575</v>
      </c>
      <c r="N24" s="209">
        <f t="shared" si="3"/>
        <v>89120.314367884857</v>
      </c>
      <c r="O24" s="209">
        <f t="shared" si="3"/>
        <v>90832.510246124031</v>
      </c>
      <c r="P24" s="209">
        <f t="shared" si="3"/>
        <v>93148.122378098429</v>
      </c>
      <c r="Q24" s="209">
        <f t="shared" si="3"/>
        <v>95538.760343148795</v>
      </c>
      <c r="R24" s="118"/>
      <c r="S24" s="118"/>
    </row>
    <row r="25" spans="1:19" s="110" customFormat="1" ht="11.4" x14ac:dyDescent="0.2">
      <c r="A25" s="1"/>
      <c r="B25" s="1"/>
      <c r="C25" s="5"/>
      <c r="D25" s="1"/>
      <c r="E25" s="1"/>
      <c r="F25" s="111"/>
      <c r="G25" s="111"/>
      <c r="H25" s="111"/>
      <c r="I25" s="111"/>
      <c r="J25" s="111"/>
      <c r="K25" s="111"/>
      <c r="L25" s="111"/>
      <c r="M25" s="111"/>
      <c r="N25" s="111"/>
      <c r="O25" s="111"/>
      <c r="P25" s="111"/>
      <c r="Q25" s="111"/>
      <c r="R25" s="111"/>
      <c r="S25" s="111"/>
    </row>
    <row r="26" spans="1:19" s="110" customFormat="1" ht="11.4" x14ac:dyDescent="0.2">
      <c r="A26" s="1"/>
      <c r="B26" s="1"/>
      <c r="C26" s="5" t="s">
        <v>184</v>
      </c>
      <c r="D26" s="10" t="s">
        <v>4</v>
      </c>
      <c r="E26" s="10" t="s">
        <v>346</v>
      </c>
      <c r="F26" s="1"/>
      <c r="G26" s="209">
        <f t="shared" ref="G26:Q26" si="4">G32+G38+G46</f>
        <v>92493</v>
      </c>
      <c r="H26" s="209">
        <f t="shared" si="4"/>
        <v>89520.3</v>
      </c>
      <c r="I26" s="209">
        <f t="shared" si="4"/>
        <v>72308.72566575883</v>
      </c>
      <c r="J26" s="209">
        <f t="shared" si="4"/>
        <v>59030.258051234552</v>
      </c>
      <c r="K26" s="209">
        <f t="shared" si="4"/>
        <v>57577.4108799608</v>
      </c>
      <c r="L26" s="209">
        <f t="shared" si="4"/>
        <v>60693.040509823055</v>
      </c>
      <c r="M26" s="209">
        <f t="shared" si="4"/>
        <v>69167.597250146253</v>
      </c>
      <c r="N26" s="209">
        <f t="shared" si="4"/>
        <v>82097.329944477431</v>
      </c>
      <c r="O26" s="209">
        <f t="shared" si="4"/>
        <v>93733.471377384587</v>
      </c>
      <c r="P26" s="209">
        <f t="shared" si="4"/>
        <v>107005.47860335055</v>
      </c>
      <c r="Q26" s="209">
        <f t="shared" si="4"/>
        <v>121483.50275000981</v>
      </c>
      <c r="R26" s="118"/>
      <c r="S26" s="118"/>
    </row>
    <row r="27" spans="1:19" s="110" customFormat="1" ht="11.4" x14ac:dyDescent="0.2">
      <c r="A27" s="1"/>
      <c r="B27" s="1"/>
      <c r="C27" s="7" t="s">
        <v>183</v>
      </c>
      <c r="D27" s="1"/>
      <c r="E27" s="1"/>
      <c r="F27" s="111"/>
      <c r="G27" s="111"/>
      <c r="H27" s="111"/>
      <c r="I27" s="111"/>
      <c r="J27" s="111"/>
      <c r="K27" s="111"/>
      <c r="L27" s="111"/>
      <c r="M27" s="111"/>
      <c r="N27" s="111"/>
      <c r="O27" s="111"/>
      <c r="P27" s="111"/>
      <c r="Q27" s="111"/>
      <c r="R27" s="111"/>
      <c r="S27" s="111"/>
    </row>
    <row r="28" spans="1:19" s="110" customFormat="1" ht="11.4" x14ac:dyDescent="0.2">
      <c r="A28" s="1"/>
      <c r="B28" s="1"/>
      <c r="C28" s="6" t="s">
        <v>397</v>
      </c>
      <c r="D28" s="2" t="s">
        <v>10</v>
      </c>
      <c r="E28" s="2" t="s">
        <v>346</v>
      </c>
      <c r="F28" s="111"/>
      <c r="G28" s="119">
        <f>14619</f>
        <v>14619</v>
      </c>
      <c r="H28" s="119">
        <f>G28*Inputs!H18</f>
        <v>15700.806</v>
      </c>
      <c r="I28" s="119">
        <f>H28*Inputs!I18</f>
        <v>16462.295091</v>
      </c>
      <c r="J28" s="119">
        <f>I28*Inputs!J18</f>
        <v>17081.2773864216</v>
      </c>
      <c r="K28" s="119">
        <f>J28*Inputs!K18</f>
        <v>17665.457073037218</v>
      </c>
      <c r="L28" s="119">
        <f>K28*Inputs!L18</f>
        <v>18243.117519325533</v>
      </c>
      <c r="M28" s="119">
        <f>L28*Inputs!M18</f>
        <v>18834.19452695168</v>
      </c>
      <c r="N28" s="119">
        <f>M28*Inputs!N18</f>
        <v>19444.422429624916</v>
      </c>
      <c r="O28" s="119">
        <f>N28*Inputs!O18</f>
        <v>20074.421716344761</v>
      </c>
      <c r="P28" s="119">
        <f>O28*Inputs!P18</f>
        <v>20724.832979954332</v>
      </c>
      <c r="Q28" s="119">
        <f>P28*Inputs!Q18</f>
        <v>21396.317568504852</v>
      </c>
      <c r="R28" s="119"/>
      <c r="S28" s="119"/>
    </row>
    <row r="29" spans="1:19" s="110" customFormat="1" ht="11.4" x14ac:dyDescent="0.2">
      <c r="A29" s="1"/>
      <c r="B29" s="1"/>
      <c r="C29" s="6" t="s">
        <v>398</v>
      </c>
      <c r="D29" s="2" t="s">
        <v>10</v>
      </c>
      <c r="E29" s="2" t="s">
        <v>346</v>
      </c>
      <c r="F29" s="111"/>
      <c r="G29" s="119">
        <v>3307</v>
      </c>
      <c r="H29" s="119">
        <f>G29*Inputs!H18</f>
        <v>3551.7180000000003</v>
      </c>
      <c r="I29" s="119">
        <f>H29*Inputs!I18</f>
        <v>3723.9763230000003</v>
      </c>
      <c r="J29" s="119">
        <f>I29*Inputs!J18</f>
        <v>3863.9978327448007</v>
      </c>
      <c r="K29" s="119">
        <f>J29*Inputs!K18</f>
        <v>3996.1465586246727</v>
      </c>
      <c r="L29" s="119">
        <f>K29*Inputs!L18</f>
        <v>4126.8205510916996</v>
      </c>
      <c r="M29" s="119">
        <f>L29*Inputs!M18</f>
        <v>4260.5295369470705</v>
      </c>
      <c r="N29" s="119">
        <f>M29*Inputs!N18</f>
        <v>4398.5706939441552</v>
      </c>
      <c r="O29" s="119">
        <f>N29*Inputs!O18</f>
        <v>4541.0843844279461</v>
      </c>
      <c r="P29" s="119">
        <f>O29*Inputs!P18</f>
        <v>4688.2155184834119</v>
      </c>
      <c r="Q29" s="119">
        <f>P29*Inputs!Q18</f>
        <v>4840.1137012822746</v>
      </c>
      <c r="R29" s="119"/>
      <c r="S29" s="119"/>
    </row>
    <row r="30" spans="1:19" s="110" customFormat="1" ht="11.4" x14ac:dyDescent="0.2">
      <c r="A30" s="1"/>
      <c r="B30" s="1"/>
      <c r="C30" s="6" t="s">
        <v>399</v>
      </c>
      <c r="D30" s="2" t="s">
        <v>10</v>
      </c>
      <c r="E30" s="2" t="s">
        <v>346</v>
      </c>
      <c r="F30" s="111"/>
      <c r="G30" s="119">
        <v>1338</v>
      </c>
      <c r="H30" s="119">
        <f>G30*Inputs!H18</f>
        <v>1437.0120000000002</v>
      </c>
      <c r="I30" s="119">
        <f>H30*Inputs!I18</f>
        <v>1506.7070820000001</v>
      </c>
      <c r="J30" s="119">
        <f>I30*Inputs!J18</f>
        <v>1563.3592682832002</v>
      </c>
      <c r="K30" s="119">
        <f>J30*Inputs!K18</f>
        <v>1616.8261552584856</v>
      </c>
      <c r="L30" s="119">
        <f>K30*Inputs!L18</f>
        <v>1669.6963705354381</v>
      </c>
      <c r="M30" s="119">
        <f>L30*Inputs!M18</f>
        <v>1723.7945329407862</v>
      </c>
      <c r="N30" s="119">
        <f>M30*Inputs!N18</f>
        <v>1779.6454758080677</v>
      </c>
      <c r="O30" s="119">
        <f>N30*Inputs!O18</f>
        <v>1837.3059892242491</v>
      </c>
      <c r="P30" s="119">
        <f>O30*Inputs!P18</f>
        <v>1896.8347032751146</v>
      </c>
      <c r="Q30" s="119">
        <f>P30*Inputs!Q18</f>
        <v>1958.2921476612282</v>
      </c>
      <c r="R30" s="119"/>
      <c r="S30" s="119"/>
    </row>
    <row r="31" spans="1:19" s="110" customFormat="1" ht="11.4" x14ac:dyDescent="0.2">
      <c r="A31" s="1"/>
      <c r="B31" s="1"/>
      <c r="C31" s="6" t="s">
        <v>400</v>
      </c>
      <c r="D31" s="2" t="s">
        <v>10</v>
      </c>
      <c r="E31" s="2" t="s">
        <v>346</v>
      </c>
      <c r="F31" s="111"/>
      <c r="G31" s="199">
        <v>686</v>
      </c>
      <c r="H31" s="117">
        <f>G31*Inputs!H18</f>
        <v>736.76400000000001</v>
      </c>
      <c r="I31" s="117">
        <f>H31*Inputs!I18</f>
        <v>772.49705400000005</v>
      </c>
      <c r="J31" s="117">
        <f>I31*Inputs!J18</f>
        <v>801.54294323040006</v>
      </c>
      <c r="K31" s="117">
        <f>J31*Inputs!K18</f>
        <v>828.9557118888797</v>
      </c>
      <c r="L31" s="117">
        <f>K31*Inputs!L18</f>
        <v>856.06256366764603</v>
      </c>
      <c r="M31" s="117">
        <f>L31*Inputs!M18</f>
        <v>883.79899073047773</v>
      </c>
      <c r="N31" s="117">
        <f>M31*Inputs!N18</f>
        <v>912.4340780301452</v>
      </c>
      <c r="O31" s="117">
        <f>N31*Inputs!O18</f>
        <v>941.99694215832187</v>
      </c>
      <c r="P31" s="117">
        <f>O31*Inputs!P18</f>
        <v>972.51764308425152</v>
      </c>
      <c r="Q31" s="117">
        <f>P31*Inputs!Q18</f>
        <v>1004.0272147201813</v>
      </c>
      <c r="R31" s="117"/>
      <c r="S31" s="117"/>
    </row>
    <row r="32" spans="1:19" s="110" customFormat="1" ht="11.4" x14ac:dyDescent="0.2">
      <c r="A32" s="1"/>
      <c r="B32" s="1"/>
      <c r="C32" s="5" t="s">
        <v>182</v>
      </c>
      <c r="D32" s="10" t="s">
        <v>4</v>
      </c>
      <c r="E32" s="10" t="s">
        <v>346</v>
      </c>
      <c r="F32" s="116"/>
      <c r="G32" s="209">
        <f>SUM(G28:G31)</f>
        <v>19950</v>
      </c>
      <c r="H32" s="209">
        <f t="shared" ref="H32:Q32" si="5">SUM(H28:H31)</f>
        <v>21426.3</v>
      </c>
      <c r="I32" s="209">
        <f t="shared" si="5"/>
        <v>22465.475549999999</v>
      </c>
      <c r="J32" s="209">
        <f t="shared" si="5"/>
        <v>23310.17743068</v>
      </c>
      <c r="K32" s="209">
        <f t="shared" si="5"/>
        <v>24107.385498809257</v>
      </c>
      <c r="L32" s="209">
        <f t="shared" si="5"/>
        <v>24895.697004620317</v>
      </c>
      <c r="M32" s="209">
        <f t="shared" si="5"/>
        <v>25702.317587570011</v>
      </c>
      <c r="N32" s="209">
        <f t="shared" si="5"/>
        <v>26535.072677407286</v>
      </c>
      <c r="O32" s="209">
        <f t="shared" si="5"/>
        <v>27394.809032155277</v>
      </c>
      <c r="P32" s="209">
        <f t="shared" si="5"/>
        <v>28282.40084479711</v>
      </c>
      <c r="Q32" s="209">
        <f t="shared" si="5"/>
        <v>29198.750632168536</v>
      </c>
      <c r="R32" s="118"/>
      <c r="S32" s="118"/>
    </row>
    <row r="33" spans="1:19" s="110" customFormat="1" ht="11.4" x14ac:dyDescent="0.2">
      <c r="A33" s="1"/>
      <c r="B33" s="1"/>
      <c r="C33" s="5"/>
      <c r="D33" s="1"/>
      <c r="E33" s="1"/>
      <c r="F33" s="111"/>
      <c r="G33" s="111"/>
      <c r="H33" s="111"/>
      <c r="I33" s="111"/>
      <c r="J33" s="111"/>
      <c r="K33" s="111"/>
      <c r="L33" s="111"/>
      <c r="M33" s="111"/>
      <c r="N33" s="111"/>
      <c r="O33" s="111"/>
      <c r="P33" s="111"/>
      <c r="Q33" s="111"/>
      <c r="R33" s="111"/>
      <c r="S33" s="111"/>
    </row>
    <row r="34" spans="1:19" s="110" customFormat="1" ht="11.4" x14ac:dyDescent="0.2">
      <c r="A34" s="1"/>
      <c r="B34" s="1"/>
      <c r="C34" s="7" t="s">
        <v>181</v>
      </c>
      <c r="D34" s="1"/>
      <c r="E34" s="1"/>
      <c r="F34" s="111"/>
      <c r="G34" s="111"/>
      <c r="H34" s="111"/>
      <c r="I34" s="111"/>
      <c r="J34" s="111"/>
      <c r="K34" s="111"/>
      <c r="L34" s="111"/>
      <c r="M34" s="111"/>
      <c r="N34" s="111"/>
      <c r="O34" s="111"/>
      <c r="P34" s="111"/>
      <c r="Q34" s="111"/>
      <c r="R34" s="111"/>
      <c r="S34" s="111"/>
    </row>
    <row r="35" spans="1:19" s="110" customFormat="1" ht="11.4" x14ac:dyDescent="0.2">
      <c r="A35" s="1"/>
      <c r="B35" s="1"/>
      <c r="C35" s="6" t="s">
        <v>401</v>
      </c>
      <c r="D35" s="2" t="s">
        <v>10</v>
      </c>
      <c r="E35" s="2" t="s">
        <v>346</v>
      </c>
      <c r="F35" s="111"/>
      <c r="G35" s="199">
        <f>38116</f>
        <v>38116</v>
      </c>
      <c r="H35" s="117">
        <f>G35</f>
        <v>38116</v>
      </c>
      <c r="I35" s="117">
        <f>Calculation!I35</f>
        <v>25250</v>
      </c>
      <c r="J35" s="117">
        <f>Calculation!J35</f>
        <v>12384</v>
      </c>
      <c r="K35" s="117">
        <f>Calculation!K35</f>
        <v>0</v>
      </c>
      <c r="L35" s="117">
        <f>Calculation!L35</f>
        <v>0</v>
      </c>
      <c r="M35" s="117">
        <f>Calculation!M35</f>
        <v>0</v>
      </c>
      <c r="N35" s="117">
        <f>Calculation!N35</f>
        <v>0</v>
      </c>
      <c r="O35" s="117">
        <f>Calculation!O35</f>
        <v>0</v>
      </c>
      <c r="P35" s="117">
        <f>Calculation!P35</f>
        <v>0</v>
      </c>
      <c r="Q35" s="117">
        <f>Calculation!Q35</f>
        <v>0</v>
      </c>
      <c r="R35" s="117"/>
      <c r="S35" s="117"/>
    </row>
    <row r="36" spans="1:19" s="110" customFormat="1" ht="11.4" x14ac:dyDescent="0.2">
      <c r="A36" s="1"/>
      <c r="B36" s="1"/>
      <c r="C36" s="6" t="s">
        <v>180</v>
      </c>
      <c r="D36" s="2" t="s">
        <v>10</v>
      </c>
      <c r="E36" s="2" t="s">
        <v>346</v>
      </c>
      <c r="F36" s="111"/>
      <c r="G36" s="199">
        <v>8607</v>
      </c>
      <c r="H36" s="199">
        <v>8607</v>
      </c>
      <c r="I36" s="199">
        <v>8607</v>
      </c>
      <c r="J36" s="199">
        <v>8607</v>
      </c>
      <c r="K36" s="199">
        <v>8607</v>
      </c>
      <c r="L36" s="199">
        <v>4404</v>
      </c>
      <c r="M36" s="199">
        <v>8607</v>
      </c>
      <c r="N36" s="199">
        <v>8607</v>
      </c>
      <c r="O36" s="199">
        <v>8607</v>
      </c>
      <c r="P36" s="199">
        <v>8607</v>
      </c>
      <c r="Q36" s="199">
        <v>8607</v>
      </c>
      <c r="R36" s="117"/>
      <c r="S36" s="117"/>
    </row>
    <row r="37" spans="1:19" s="110" customFormat="1" ht="11.4" x14ac:dyDescent="0.2">
      <c r="A37" s="1"/>
      <c r="B37" s="1"/>
      <c r="C37" s="6" t="s">
        <v>402</v>
      </c>
      <c r="D37" s="2" t="s">
        <v>10</v>
      </c>
      <c r="E37" s="2" t="s">
        <v>346</v>
      </c>
      <c r="F37" s="111"/>
      <c r="G37" s="199">
        <v>2821</v>
      </c>
      <c r="H37" s="199">
        <v>2821</v>
      </c>
      <c r="I37" s="199">
        <v>2821</v>
      </c>
      <c r="J37" s="199">
        <v>1870</v>
      </c>
      <c r="K37" s="199">
        <v>2821</v>
      </c>
      <c r="L37" s="199">
        <v>2821</v>
      </c>
      <c r="M37" s="199">
        <v>2821</v>
      </c>
      <c r="N37" s="199">
        <v>2821</v>
      </c>
      <c r="O37" s="199">
        <v>2821</v>
      </c>
      <c r="P37" s="199">
        <v>2821</v>
      </c>
      <c r="Q37" s="199">
        <v>2821</v>
      </c>
      <c r="R37" s="117"/>
      <c r="S37" s="117"/>
    </row>
    <row r="38" spans="1:19" s="110" customFormat="1" ht="11.4" x14ac:dyDescent="0.2">
      <c r="A38" s="1"/>
      <c r="B38" s="1"/>
      <c r="C38" s="5" t="s">
        <v>179</v>
      </c>
      <c r="D38" s="10" t="s">
        <v>4</v>
      </c>
      <c r="E38" s="10" t="s">
        <v>346</v>
      </c>
      <c r="F38" s="116"/>
      <c r="G38" s="209">
        <f>G35+G36+G37</f>
        <v>49544</v>
      </c>
      <c r="H38" s="209">
        <f t="shared" ref="H38:Q38" si="6">H35+H36+H37</f>
        <v>49544</v>
      </c>
      <c r="I38" s="209">
        <f t="shared" si="6"/>
        <v>36678</v>
      </c>
      <c r="J38" s="209">
        <f t="shared" si="6"/>
        <v>22861</v>
      </c>
      <c r="K38" s="209">
        <f t="shared" si="6"/>
        <v>11428</v>
      </c>
      <c r="L38" s="209">
        <f t="shared" si="6"/>
        <v>7225</v>
      </c>
      <c r="M38" s="209">
        <f t="shared" si="6"/>
        <v>11428</v>
      </c>
      <c r="N38" s="209">
        <f t="shared" si="6"/>
        <v>11428</v>
      </c>
      <c r="O38" s="209">
        <f t="shared" si="6"/>
        <v>11428</v>
      </c>
      <c r="P38" s="209">
        <f t="shared" si="6"/>
        <v>11428</v>
      </c>
      <c r="Q38" s="209">
        <f t="shared" si="6"/>
        <v>11428</v>
      </c>
      <c r="R38" s="118"/>
      <c r="S38" s="118"/>
    </row>
    <row r="39" spans="1:19" s="110" customFormat="1" ht="11.4" x14ac:dyDescent="0.2">
      <c r="A39" s="1"/>
      <c r="B39" s="1"/>
      <c r="C39" s="5"/>
      <c r="D39" s="1"/>
      <c r="E39" s="1"/>
      <c r="F39" s="111"/>
      <c r="G39" s="111"/>
      <c r="H39" s="111"/>
      <c r="I39" s="111"/>
      <c r="J39" s="111"/>
      <c r="K39" s="111"/>
      <c r="L39" s="111"/>
      <c r="M39" s="111"/>
      <c r="N39" s="111"/>
      <c r="O39" s="111"/>
      <c r="P39" s="111"/>
      <c r="Q39" s="111"/>
      <c r="R39" s="111"/>
      <c r="S39" s="111"/>
    </row>
    <row r="40" spans="1:19" s="110" customFormat="1" ht="11.4" x14ac:dyDescent="0.2">
      <c r="A40" s="1"/>
      <c r="B40" s="1"/>
      <c r="C40" s="7" t="s">
        <v>178</v>
      </c>
      <c r="D40" s="1"/>
      <c r="E40" s="1"/>
      <c r="F40" s="111"/>
      <c r="G40" s="111"/>
      <c r="H40" s="111"/>
      <c r="I40" s="111"/>
      <c r="J40" s="111"/>
      <c r="K40" s="111"/>
      <c r="L40" s="111"/>
      <c r="M40" s="111"/>
      <c r="N40" s="111"/>
      <c r="O40" s="111"/>
      <c r="P40" s="111"/>
      <c r="Q40" s="111"/>
      <c r="R40" s="111"/>
      <c r="S40" s="111"/>
    </row>
    <row r="41" spans="1:19" s="110" customFormat="1" ht="11.4" x14ac:dyDescent="0.2">
      <c r="A41" s="1"/>
      <c r="B41" s="1"/>
      <c r="C41" s="6" t="s">
        <v>177</v>
      </c>
      <c r="D41" s="2" t="s">
        <v>10</v>
      </c>
      <c r="E41" s="2" t="s">
        <v>346</v>
      </c>
      <c r="F41" s="111"/>
      <c r="G41" s="199">
        <v>1760</v>
      </c>
      <c r="H41" s="199">
        <v>1760</v>
      </c>
      <c r="I41" s="199">
        <v>1760</v>
      </c>
      <c r="J41" s="199">
        <v>1760</v>
      </c>
      <c r="K41" s="199">
        <v>1760</v>
      </c>
      <c r="L41" s="199">
        <v>1760</v>
      </c>
      <c r="M41" s="199">
        <v>1760</v>
      </c>
      <c r="N41" s="199">
        <v>1760</v>
      </c>
      <c r="O41" s="199">
        <v>1760</v>
      </c>
      <c r="P41" s="199">
        <v>1760</v>
      </c>
      <c r="Q41" s="199">
        <v>1760</v>
      </c>
      <c r="R41" s="117"/>
      <c r="S41" s="117"/>
    </row>
    <row r="42" spans="1:19" s="110" customFormat="1" ht="11.4" x14ac:dyDescent="0.2">
      <c r="A42" s="1"/>
      <c r="B42" s="1"/>
      <c r="C42" s="6" t="s">
        <v>406</v>
      </c>
      <c r="D42" s="2" t="s">
        <v>10</v>
      </c>
      <c r="E42" s="2" t="s">
        <v>346</v>
      </c>
      <c r="F42" s="111"/>
      <c r="G42" s="199">
        <v>18116</v>
      </c>
      <c r="H42" s="199">
        <v>11148</v>
      </c>
      <c r="I42" s="199">
        <v>8608</v>
      </c>
      <c r="J42" s="199">
        <v>12789</v>
      </c>
      <c r="K42" s="199">
        <v>11073</v>
      </c>
      <c r="L42" s="199">
        <v>18116</v>
      </c>
      <c r="M42" s="199">
        <v>18116</v>
      </c>
      <c r="N42" s="199">
        <v>13184</v>
      </c>
      <c r="O42" s="199">
        <v>18116</v>
      </c>
      <c r="P42" s="199">
        <v>23964</v>
      </c>
      <c r="Q42" s="199">
        <v>18116</v>
      </c>
      <c r="R42" s="117"/>
      <c r="S42" s="117"/>
    </row>
    <row r="43" spans="1:19" s="110" customFormat="1" ht="11.4" x14ac:dyDescent="0.2">
      <c r="A43" s="1"/>
      <c r="B43" s="1"/>
      <c r="C43" s="6" t="s">
        <v>403</v>
      </c>
      <c r="D43" s="2" t="s">
        <v>4</v>
      </c>
      <c r="E43" s="2" t="s">
        <v>346</v>
      </c>
      <c r="F43" s="111"/>
      <c r="G43" s="199">
        <v>69094</v>
      </c>
      <c r="H43" s="117">
        <f>G43+IS!G24-IS!G27</f>
        <v>71613</v>
      </c>
      <c r="I43" s="117">
        <f>H43+IS!H24-IS!H27</f>
        <v>74368.250115758827</v>
      </c>
      <c r="J43" s="117">
        <f>I43+IS!I24-IS!I27</f>
        <v>77556.080620554552</v>
      </c>
      <c r="K43" s="117">
        <f>J43+IS!J24-IS!J27</f>
        <v>81191.025381151543</v>
      </c>
      <c r="L43" s="117">
        <f>K43+IS!K24-IS!K27</f>
        <v>85307.343505202734</v>
      </c>
      <c r="M43" s="117">
        <f>L43+IS!L24-IS!L27</f>
        <v>89947.279662576242</v>
      </c>
      <c r="N43" s="117">
        <f>M43+IS!M24-IS!M27</f>
        <v>95161.257267070148</v>
      </c>
      <c r="O43" s="117">
        <f>N43+IS!N24-IS!N27</f>
        <v>101005.66234522931</v>
      </c>
      <c r="P43" s="117">
        <f>O43+IS!O24-IS!O27</f>
        <v>107542.07775855342</v>
      </c>
      <c r="Q43" s="117">
        <f>P43+IS!P24-IS!P27</f>
        <v>114837.75211784129</v>
      </c>
      <c r="R43" s="117"/>
      <c r="S43" s="117"/>
    </row>
    <row r="44" spans="1:19" s="110" customFormat="1" ht="11.4" x14ac:dyDescent="0.2">
      <c r="A44" s="1"/>
      <c r="B44" s="1"/>
      <c r="C44" s="6" t="s">
        <v>407</v>
      </c>
      <c r="D44" s="2" t="s">
        <v>10</v>
      </c>
      <c r="E44" s="2" t="s">
        <v>346</v>
      </c>
      <c r="F44" s="111"/>
      <c r="G44" s="224">
        <v>-14330</v>
      </c>
      <c r="H44" s="224">
        <v>-14330</v>
      </c>
      <c r="I44" s="224">
        <v>-14330</v>
      </c>
      <c r="J44" s="224">
        <v>-17568</v>
      </c>
      <c r="K44" s="224">
        <v>-14330</v>
      </c>
      <c r="L44" s="224">
        <v>-24970</v>
      </c>
      <c r="M44" s="224">
        <v>-14330</v>
      </c>
      <c r="N44" s="224">
        <v>-14330</v>
      </c>
      <c r="O44" s="224">
        <v>-14330</v>
      </c>
      <c r="P44" s="224">
        <v>-14330</v>
      </c>
      <c r="Q44" s="224">
        <v>-14330</v>
      </c>
      <c r="R44" s="117"/>
      <c r="S44" s="117"/>
    </row>
    <row r="45" spans="1:19" s="110" customFormat="1" ht="11.4" x14ac:dyDescent="0.2">
      <c r="A45" s="1"/>
      <c r="B45" s="1"/>
      <c r="C45" s="6" t="s">
        <v>408</v>
      </c>
      <c r="D45" s="2" t="s">
        <v>10</v>
      </c>
      <c r="E45" s="2" t="s">
        <v>346</v>
      </c>
      <c r="F45" s="111"/>
      <c r="G45" s="224">
        <v>-51641</v>
      </c>
      <c r="H45" s="224">
        <v>-51641</v>
      </c>
      <c r="I45" s="224">
        <v>-57241</v>
      </c>
      <c r="J45" s="224">
        <v>-61678</v>
      </c>
      <c r="K45" s="224">
        <v>-57652</v>
      </c>
      <c r="L45" s="224">
        <v>-51641</v>
      </c>
      <c r="M45" s="224">
        <v>-63456</v>
      </c>
      <c r="N45" s="224">
        <v>-51641</v>
      </c>
      <c r="O45" s="224">
        <v>-51641</v>
      </c>
      <c r="P45" s="224">
        <v>-51641</v>
      </c>
      <c r="Q45" s="224">
        <v>-39527</v>
      </c>
      <c r="R45" s="117"/>
      <c r="S45" s="117"/>
    </row>
    <row r="46" spans="1:19" s="110" customFormat="1" ht="11.4" x14ac:dyDescent="0.2">
      <c r="A46" s="1"/>
      <c r="B46" s="1"/>
      <c r="C46" s="5" t="s">
        <v>176</v>
      </c>
      <c r="D46" s="10" t="s">
        <v>4</v>
      </c>
      <c r="E46" s="10" t="s">
        <v>346</v>
      </c>
      <c r="F46" s="116"/>
      <c r="G46" s="209">
        <f>SUM(G41:G45)</f>
        <v>22999</v>
      </c>
      <c r="H46" s="209">
        <f t="shared" ref="H46:Q46" si="7">SUM(H41:H45)</f>
        <v>18550</v>
      </c>
      <c r="I46" s="209">
        <f t="shared" si="7"/>
        <v>13165.250115758827</v>
      </c>
      <c r="J46" s="209">
        <f t="shared" si="7"/>
        <v>12859.080620554552</v>
      </c>
      <c r="K46" s="209">
        <f t="shared" si="7"/>
        <v>22042.025381151543</v>
      </c>
      <c r="L46" s="209">
        <f t="shared" si="7"/>
        <v>28572.343505202734</v>
      </c>
      <c r="M46" s="209">
        <f t="shared" si="7"/>
        <v>32037.279662576242</v>
      </c>
      <c r="N46" s="209">
        <f t="shared" si="7"/>
        <v>44134.257267070148</v>
      </c>
      <c r="O46" s="209">
        <f t="shared" si="7"/>
        <v>54910.662345229313</v>
      </c>
      <c r="P46" s="209">
        <f t="shared" si="7"/>
        <v>67295.077758553438</v>
      </c>
      <c r="Q46" s="209">
        <f t="shared" si="7"/>
        <v>80856.752117841272</v>
      </c>
      <c r="R46" s="118"/>
      <c r="S46" s="118"/>
    </row>
    <row r="47" spans="1:19" s="110" customFormat="1" ht="11.4" x14ac:dyDescent="0.2">
      <c r="A47" s="1"/>
      <c r="B47" s="1"/>
      <c r="C47" s="5"/>
      <c r="D47" s="1"/>
      <c r="E47" s="1"/>
      <c r="F47" s="111"/>
      <c r="G47" s="111"/>
      <c r="H47" s="111"/>
      <c r="I47" s="111"/>
      <c r="J47" s="111"/>
      <c r="K47" s="111"/>
      <c r="L47" s="111"/>
      <c r="M47" s="111"/>
      <c r="N47" s="111"/>
      <c r="O47" s="111"/>
      <c r="P47" s="111"/>
      <c r="Q47" s="111"/>
      <c r="R47" s="111"/>
      <c r="S47" s="111"/>
    </row>
    <row r="48" spans="1:19" s="110" customFormat="1" ht="11.4" x14ac:dyDescent="0.2">
      <c r="A48" s="1"/>
      <c r="B48" s="1"/>
      <c r="C48" s="115" t="s">
        <v>175</v>
      </c>
      <c r="D48" s="114"/>
      <c r="E48" s="114"/>
      <c r="F48" s="113"/>
      <c r="G48" s="112">
        <f>G6-G26</f>
        <v>0</v>
      </c>
      <c r="H48" s="112">
        <f>MAX(H6-H26)</f>
        <v>-0.44958736981789116</v>
      </c>
      <c r="I48" s="112">
        <f t="shared" ref="I48:Q48" si="8">MAX(I6-I26)</f>
        <v>0.2978089658281533</v>
      </c>
      <c r="J48" s="112">
        <f t="shared" si="8"/>
        <v>0.29991790908388793</v>
      </c>
      <c r="K48" s="112">
        <f t="shared" si="8"/>
        <v>0.4485608178874827</v>
      </c>
      <c r="L48" s="112">
        <f t="shared" si="8"/>
        <v>-0.24710218618565705</v>
      </c>
      <c r="M48" s="112">
        <f t="shared" si="8"/>
        <v>-0.39945597619225737</v>
      </c>
      <c r="N48" s="112">
        <f t="shared" si="8"/>
        <v>2.0949675439624116E-2</v>
      </c>
      <c r="O48" s="112">
        <f t="shared" si="8"/>
        <v>-0.45396271934441756</v>
      </c>
      <c r="P48" s="112">
        <f t="shared" si="8"/>
        <v>3.832479719130788E-2</v>
      </c>
      <c r="Q48" s="112">
        <f t="shared" si="8"/>
        <v>-7.2698744799708948E-2</v>
      </c>
      <c r="R48" s="112"/>
      <c r="S48" s="112"/>
    </row>
    <row r="49" spans="1:19" s="110" customFormat="1" ht="11.4" x14ac:dyDescent="0.2">
      <c r="A49" s="1"/>
      <c r="B49" s="1"/>
      <c r="C49" s="5"/>
      <c r="D49" s="1"/>
      <c r="E49" s="1"/>
      <c r="F49" s="111"/>
      <c r="G49" s="111"/>
      <c r="H49" s="111"/>
      <c r="I49" s="111"/>
      <c r="J49" s="111"/>
      <c r="K49" s="111"/>
      <c r="L49" s="111"/>
      <c r="M49" s="111"/>
      <c r="N49" s="111"/>
      <c r="O49" s="111"/>
      <c r="P49" s="111"/>
      <c r="Q49" s="111"/>
      <c r="R49" s="111"/>
      <c r="S49" s="111"/>
    </row>
    <row r="50" spans="1:19" s="110" customFormat="1" ht="11.4" x14ac:dyDescent="0.2">
      <c r="A50" s="1"/>
      <c r="B50" s="1"/>
      <c r="C50" s="5"/>
      <c r="D50" s="1"/>
      <c r="E50" s="1"/>
      <c r="F50" s="111"/>
      <c r="G50" s="111"/>
      <c r="H50" s="111"/>
      <c r="I50" s="111"/>
      <c r="J50" s="111"/>
      <c r="K50" s="111"/>
      <c r="L50" s="111"/>
      <c r="M50" s="111"/>
      <c r="N50" s="111"/>
      <c r="O50" s="111"/>
      <c r="P50" s="111"/>
      <c r="Q50" s="111"/>
      <c r="R50" s="111"/>
      <c r="S50" s="111"/>
    </row>
    <row r="51" spans="1:19" s="110" customFormat="1" ht="11.4" x14ac:dyDescent="0.2">
      <c r="A51" s="1"/>
      <c r="B51" s="1"/>
      <c r="C51" s="5"/>
      <c r="D51" s="1"/>
      <c r="E51" s="1"/>
      <c r="F51" s="111"/>
      <c r="G51" s="111"/>
      <c r="H51" s="111"/>
      <c r="I51" s="111"/>
      <c r="J51" s="111"/>
      <c r="K51" s="111"/>
      <c r="L51" s="111"/>
      <c r="M51" s="111"/>
      <c r="N51" s="111"/>
      <c r="O51" s="111"/>
      <c r="P51" s="111"/>
      <c r="Q51" s="111"/>
      <c r="R51" s="111"/>
      <c r="S51" s="111"/>
    </row>
    <row r="52" spans="1:19" s="110" customFormat="1" ht="11.4" x14ac:dyDescent="0.2">
      <c r="A52" s="1"/>
      <c r="B52" s="1"/>
      <c r="C52" s="5"/>
      <c r="D52" s="1"/>
      <c r="E52" s="1"/>
      <c r="F52" s="111"/>
      <c r="G52" s="111"/>
      <c r="H52" s="111"/>
      <c r="I52" s="111"/>
      <c r="J52" s="111"/>
      <c r="K52" s="111"/>
      <c r="L52" s="111"/>
      <c r="M52" s="111"/>
      <c r="N52" s="111"/>
      <c r="O52" s="111"/>
      <c r="P52" s="111"/>
      <c r="Q52" s="111"/>
      <c r="R52" s="111"/>
      <c r="S52" s="111"/>
    </row>
    <row r="53" spans="1:19" s="110" customFormat="1" ht="11.4" x14ac:dyDescent="0.2">
      <c r="A53" s="1"/>
      <c r="B53" s="1"/>
      <c r="C53" s="5"/>
      <c r="D53" s="1"/>
      <c r="E53" s="1"/>
      <c r="F53" s="111"/>
      <c r="G53" s="111"/>
      <c r="H53" s="111"/>
      <c r="I53" s="111"/>
      <c r="J53" s="111"/>
      <c r="K53" s="111"/>
      <c r="L53" s="111"/>
      <c r="M53" s="111"/>
      <c r="N53" s="111"/>
      <c r="O53" s="111"/>
      <c r="P53" s="111"/>
      <c r="Q53" s="111"/>
      <c r="R53" s="111"/>
      <c r="S53" s="111"/>
    </row>
    <row r="54" spans="1:19" x14ac:dyDescent="0.3"/>
    <row r="55" spans="1:19" x14ac:dyDescent="0.3"/>
    <row r="56" spans="1:19" x14ac:dyDescent="0.3"/>
    <row r="57" spans="1:19" x14ac:dyDescent="0.3"/>
    <row r="58" spans="1:19" x14ac:dyDescent="0.3"/>
    <row r="59" spans="1:19" x14ac:dyDescent="0.3"/>
    <row r="65" customFormat="1" hidden="1" x14ac:dyDescent="0.3"/>
    <row r="66" customFormat="1" hidden="1" x14ac:dyDescent="0.3"/>
    <row r="67" customFormat="1" hidden="1" x14ac:dyDescent="0.3"/>
    <row r="68" customFormat="1" hidden="1" x14ac:dyDescent="0.3"/>
    <row r="69" customFormat="1" hidden="1" x14ac:dyDescent="0.3"/>
    <row r="70" customFormat="1" hidden="1" x14ac:dyDescent="0.3"/>
    <row r="71" customFormat="1" hidden="1" x14ac:dyDescent="0.3"/>
    <row r="72" customFormat="1" hidden="1" x14ac:dyDescent="0.3"/>
    <row r="73" customFormat="1" hidden="1" x14ac:dyDescent="0.3"/>
    <row r="74" customFormat="1" hidden="1" x14ac:dyDescent="0.3"/>
    <row r="75" customFormat="1" hidden="1" x14ac:dyDescent="0.3"/>
    <row r="76" customFormat="1" hidden="1" x14ac:dyDescent="0.3"/>
    <row r="77" customFormat="1" hidden="1" x14ac:dyDescent="0.3"/>
    <row r="78" customFormat="1" hidden="1" x14ac:dyDescent="0.3"/>
    <row r="79" customFormat="1" hidden="1" x14ac:dyDescent="0.3"/>
    <row r="80" customFormat="1" hidden="1" x14ac:dyDescent="0.3"/>
    <row r="81" customFormat="1" hidden="1" x14ac:dyDescent="0.3"/>
    <row r="82" customFormat="1" hidden="1" x14ac:dyDescent="0.3"/>
    <row r="83" customFormat="1" hidden="1" x14ac:dyDescent="0.3"/>
    <row r="84" customFormat="1" hidden="1" x14ac:dyDescent="0.3"/>
    <row r="85" customFormat="1" hidden="1" x14ac:dyDescent="0.3"/>
    <row r="86" customFormat="1" hidden="1" x14ac:dyDescent="0.3"/>
    <row r="87" customFormat="1" hidden="1" x14ac:dyDescent="0.3"/>
    <row r="88" customFormat="1" hidden="1" x14ac:dyDescent="0.3"/>
    <row r="89" customFormat="1" hidden="1" x14ac:dyDescent="0.3"/>
    <row r="90" customFormat="1" hidden="1" x14ac:dyDescent="0.3"/>
    <row r="91" customFormat="1" hidden="1" x14ac:dyDescent="0.3"/>
    <row r="92" customFormat="1" hidden="1" x14ac:dyDescent="0.3"/>
    <row r="93" customFormat="1" hidden="1" x14ac:dyDescent="0.3"/>
    <row r="94" customFormat="1" hidden="1" x14ac:dyDescent="0.3"/>
    <row r="95" customFormat="1" hidden="1" x14ac:dyDescent="0.3"/>
    <row r="96" customFormat="1" hidden="1" x14ac:dyDescent="0.3"/>
    <row r="97" customFormat="1" hidden="1" x14ac:dyDescent="0.3"/>
    <row r="98" customFormat="1" hidden="1" x14ac:dyDescent="0.3"/>
    <row r="99" customFormat="1" hidden="1" x14ac:dyDescent="0.3"/>
    <row r="100" customFormat="1" hidden="1" x14ac:dyDescent="0.3"/>
    <row r="101" customFormat="1" hidden="1" x14ac:dyDescent="0.3"/>
    <row r="102" customFormat="1" hidden="1" x14ac:dyDescent="0.3"/>
    <row r="103" customFormat="1" hidden="1" x14ac:dyDescent="0.3"/>
    <row r="104" customFormat="1" x14ac:dyDescent="0.3"/>
    <row r="105" customFormat="1" x14ac:dyDescent="0.3"/>
    <row r="106" customFormat="1" x14ac:dyDescent="0.3"/>
    <row r="107" customFormat="1" x14ac:dyDescent="0.3"/>
    <row r="108" customFormat="1" hidden="1" x14ac:dyDescent="0.3"/>
    <row r="109" customFormat="1" hidden="1" x14ac:dyDescent="0.3"/>
    <row r="110" customFormat="1" hidden="1" x14ac:dyDescent="0.3"/>
    <row r="111" customFormat="1" hidden="1" x14ac:dyDescent="0.3"/>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39997558519241921"/>
  </sheetPr>
  <dimension ref="A1:CC103"/>
  <sheetViews>
    <sheetView showGridLines="0" zoomScale="106" zoomScaleNormal="106" workbookViewId="0">
      <selection activeCell="G4" sqref="G4:Q4"/>
    </sheetView>
  </sheetViews>
  <sheetFormatPr defaultColWidth="0" defaultRowHeight="14.4" zeroHeight="1" x14ac:dyDescent="0.3"/>
  <cols>
    <col min="1" max="1" width="3" customWidth="1"/>
    <col min="2" max="2" width="5.88671875" customWidth="1"/>
    <col min="3" max="3" width="37.88671875" customWidth="1"/>
    <col min="4" max="19" width="9.109375" customWidth="1"/>
    <col min="20" max="81" width="0" hidden="1" customWidth="1"/>
    <col min="82" max="16384" width="9.109375" hidden="1"/>
  </cols>
  <sheetData>
    <row r="1" spans="1:19" ht="15.6" x14ac:dyDescent="0.3">
      <c r="A1" s="33" t="s">
        <v>345</v>
      </c>
      <c r="B1" s="30"/>
      <c r="C1" s="30"/>
      <c r="D1" s="30"/>
      <c r="E1" s="30"/>
      <c r="F1" s="30"/>
      <c r="G1" s="30"/>
      <c r="H1" s="30"/>
      <c r="I1" s="30"/>
      <c r="J1" s="30"/>
      <c r="K1" s="30"/>
      <c r="L1" s="30"/>
      <c r="M1" s="30"/>
      <c r="N1" s="30"/>
      <c r="O1" s="30"/>
      <c r="P1" s="30"/>
      <c r="Q1" s="30"/>
      <c r="R1" s="30"/>
      <c r="S1" s="30"/>
    </row>
    <row r="2" spans="1:19" ht="15.6" x14ac:dyDescent="0.3">
      <c r="A2" s="32" t="s">
        <v>207</v>
      </c>
      <c r="B2" s="31"/>
      <c r="C2" s="31"/>
      <c r="D2" s="31"/>
      <c r="E2" s="31"/>
      <c r="F2" s="31"/>
      <c r="G2" s="31"/>
      <c r="H2" s="31"/>
      <c r="I2" s="31"/>
      <c r="J2" s="31"/>
      <c r="K2" s="31"/>
      <c r="L2" s="31"/>
      <c r="M2" s="31"/>
      <c r="N2" s="31"/>
      <c r="O2" s="31"/>
      <c r="P2" s="31"/>
      <c r="Q2" s="31"/>
      <c r="R2" s="31"/>
      <c r="S2" s="31"/>
    </row>
    <row r="3" spans="1:19" x14ac:dyDescent="0.3">
      <c r="A3" s="30"/>
      <c r="B3" s="29" t="s">
        <v>44</v>
      </c>
      <c r="C3" s="28" t="s">
        <v>43</v>
      </c>
      <c r="D3" s="27" t="s">
        <v>42</v>
      </c>
      <c r="E3" s="27" t="s">
        <v>41</v>
      </c>
      <c r="F3" s="27" t="s">
        <v>40</v>
      </c>
      <c r="G3" s="27" t="str">
        <f t="shared" ref="G3:Q3" si="0">Time</f>
        <v>2021A</v>
      </c>
      <c r="H3" s="27" t="str">
        <f t="shared" si="0"/>
        <v>2022F</v>
      </c>
      <c r="I3" s="27" t="str">
        <f t="shared" si="0"/>
        <v>2023F</v>
      </c>
      <c r="J3" s="27" t="str">
        <f t="shared" si="0"/>
        <v>2024F</v>
      </c>
      <c r="K3" s="27" t="str">
        <f t="shared" si="0"/>
        <v>2025F</v>
      </c>
      <c r="L3" s="27" t="str">
        <f t="shared" si="0"/>
        <v>2026F</v>
      </c>
      <c r="M3" s="27" t="str">
        <f t="shared" si="0"/>
        <v>2027F</v>
      </c>
      <c r="N3" s="27" t="str">
        <f t="shared" si="0"/>
        <v>2028F</v>
      </c>
      <c r="O3" s="27" t="str">
        <f t="shared" si="0"/>
        <v>2029F</v>
      </c>
      <c r="P3" s="27" t="str">
        <f t="shared" si="0"/>
        <v>2030F</v>
      </c>
      <c r="Q3" s="27" t="str">
        <f t="shared" si="0"/>
        <v>2031F</v>
      </c>
      <c r="R3" s="27"/>
      <c r="S3" s="27"/>
    </row>
    <row r="4" spans="1:19" x14ac:dyDescent="0.3">
      <c r="A4" s="1"/>
      <c r="B4" s="1"/>
      <c r="C4" s="1"/>
      <c r="D4" s="1"/>
      <c r="E4" s="1"/>
      <c r="F4" s="1"/>
      <c r="G4" s="1"/>
      <c r="H4" s="1"/>
      <c r="I4" s="1"/>
      <c r="J4" s="1"/>
      <c r="K4" s="1"/>
      <c r="L4" s="1"/>
      <c r="M4" s="1"/>
      <c r="N4" s="1"/>
      <c r="O4" s="1"/>
      <c r="P4" s="1"/>
      <c r="Q4" s="1"/>
      <c r="R4" s="1"/>
      <c r="S4" s="1"/>
    </row>
    <row r="5" spans="1:19" s="4" customFormat="1" ht="11.4" x14ac:dyDescent="0.2">
      <c r="A5" s="1"/>
      <c r="B5" s="1"/>
      <c r="C5" s="8" t="s">
        <v>207</v>
      </c>
      <c r="D5" s="3"/>
      <c r="E5" s="3"/>
      <c r="F5" s="3"/>
      <c r="G5" s="3"/>
      <c r="H5" s="3"/>
      <c r="I5" s="3"/>
      <c r="J5" s="3"/>
      <c r="K5" s="3"/>
      <c r="L5" s="3"/>
      <c r="M5" s="3"/>
      <c r="N5" s="3"/>
      <c r="O5" s="3"/>
      <c r="P5" s="3"/>
      <c r="Q5" s="3"/>
      <c r="R5" s="3"/>
      <c r="S5" s="3"/>
    </row>
    <row r="6" spans="1:19" s="4" customFormat="1" ht="11.4" x14ac:dyDescent="0.2">
      <c r="A6" s="1"/>
      <c r="B6" s="1"/>
      <c r="C6" s="5" t="s">
        <v>206</v>
      </c>
      <c r="D6" s="10"/>
      <c r="E6" s="10"/>
      <c r="F6" s="1"/>
      <c r="G6" s="117"/>
      <c r="H6" s="117"/>
      <c r="I6" s="117"/>
      <c r="J6" s="117"/>
      <c r="K6" s="117"/>
      <c r="L6" s="117"/>
      <c r="M6" s="117"/>
      <c r="N6" s="117"/>
      <c r="O6" s="117"/>
      <c r="P6" s="117"/>
      <c r="Q6" s="117"/>
      <c r="R6" s="117"/>
      <c r="S6" s="117"/>
    </row>
    <row r="7" spans="1:19" s="110" customFormat="1" ht="11.4" x14ac:dyDescent="0.2">
      <c r="A7" s="1"/>
      <c r="B7" s="1"/>
      <c r="C7" s="6" t="s">
        <v>205</v>
      </c>
      <c r="D7" s="2" t="s">
        <v>10</v>
      </c>
      <c r="E7" s="2" t="s">
        <v>346</v>
      </c>
      <c r="F7" s="111"/>
      <c r="G7" s="117"/>
      <c r="H7" s="117">
        <f>+IS!H24</f>
        <v>11635.346772630181</v>
      </c>
      <c r="I7" s="117">
        <f>+IS!I24</f>
        <v>13462.122064171135</v>
      </c>
      <c r="J7" s="117">
        <f>+IS!J24</f>
        <v>15350.27348225081</v>
      </c>
      <c r="K7" s="117">
        <f>+IS!K24</f>
        <v>17383.100186027004</v>
      </c>
      <c r="L7" s="117">
        <f>+IS!L24</f>
        <v>19594.324988908433</v>
      </c>
      <c r="M7" s="117">
        <f>+IS!M24</f>
        <v>22018.486505464141</v>
      </c>
      <c r="N7" s="117">
        <f>+IS!N24</f>
        <v>24680.764688172112</v>
      </c>
      <c r="O7" s="117">
        <f>+IS!O24</f>
        <v>27603.105630591701</v>
      </c>
      <c r="P7" s="117">
        <f>+IS!P24</f>
        <v>30809.435638884526</v>
      </c>
      <c r="Q7" s="117">
        <f>+IS!Q24</f>
        <v>34325.838576855938</v>
      </c>
      <c r="R7" s="117"/>
      <c r="S7" s="117"/>
    </row>
    <row r="8" spans="1:19" s="110" customFormat="1" ht="11.4" x14ac:dyDescent="0.2">
      <c r="A8" s="1"/>
      <c r="B8" s="1"/>
      <c r="C8" s="6" t="s">
        <v>9</v>
      </c>
      <c r="D8" s="2" t="s">
        <v>10</v>
      </c>
      <c r="E8" s="2" t="s">
        <v>346</v>
      </c>
      <c r="F8" s="111"/>
      <c r="G8" s="117"/>
      <c r="H8" s="117">
        <f>Inputs!H54</f>
        <v>1645.2176400000001</v>
      </c>
      <c r="I8" s="117">
        <f>Inputs!I54</f>
        <v>1819.8862837946999</v>
      </c>
      <c r="J8" s="117">
        <f>Inputs!J54</f>
        <v>1992.1712785089765</v>
      </c>
      <c r="K8" s="117">
        <f>Inputs!K54</f>
        <v>2173.6202307268522</v>
      </c>
      <c r="L8" s="117">
        <f>Inputs!L54</f>
        <v>2368.1559809465598</v>
      </c>
      <c r="M8" s="117">
        <f>Inputs!M54</f>
        <v>2579.3528676393357</v>
      </c>
      <c r="N8" s="117">
        <f>Inputs!N54</f>
        <v>2809.3847150811466</v>
      </c>
      <c r="O8" s="117">
        <f>Inputs!O54</f>
        <v>3059.9312627415129</v>
      </c>
      <c r="P8" s="117">
        <f>Inputs!P54</f>
        <v>3332.8220526153268</v>
      </c>
      <c r="Q8" s="117">
        <f>Inputs!Q54</f>
        <v>3630.0497889116664</v>
      </c>
      <c r="R8" s="117"/>
      <c r="S8" s="117"/>
    </row>
    <row r="9" spans="1:19" s="110" customFormat="1" ht="11.4" x14ac:dyDescent="0.2">
      <c r="A9" s="1"/>
      <c r="B9" s="1"/>
      <c r="C9" s="6" t="s">
        <v>204</v>
      </c>
      <c r="D9" s="2" t="s">
        <v>4</v>
      </c>
      <c r="E9" s="2" t="s">
        <v>346</v>
      </c>
      <c r="F9" s="111"/>
      <c r="G9" s="117"/>
      <c r="H9" s="105">
        <f>-(BS!H9-BS!G9)</f>
        <v>-454.30097999999998</v>
      </c>
      <c r="I9" s="105">
        <f>-(BS!I9-BS!H9)</f>
        <v>-410.68784429414973</v>
      </c>
      <c r="J9" s="105">
        <f>-(BS!J9-BS!I9)</f>
        <v>-405.08331401827854</v>
      </c>
      <c r="K9" s="105">
        <f>-(BS!K9-BS!J9)</f>
        <v>-426.62997442963388</v>
      </c>
      <c r="L9" s="105">
        <f>-(BS!L9-BS!K9)</f>
        <v>-457.40017303724562</v>
      </c>
      <c r="M9" s="105">
        <f>-(BS!M9-BS!L9)</f>
        <v>-496.57449805036958</v>
      </c>
      <c r="N9" s="105">
        <f>-(BS!N9-BS!M9)</f>
        <v>-540.86000493549818</v>
      </c>
      <c r="O9" s="105">
        <f>-(BS!O9-BS!N9)</f>
        <v>-589.0949818956542</v>
      </c>
      <c r="P9" s="105">
        <f>-(BS!P9-BS!O9)</f>
        <v>-641.63165057107472</v>
      </c>
      <c r="Q9" s="105">
        <f>-(BS!Q9-BS!P9)</f>
        <v>-698.85364443230173</v>
      </c>
      <c r="R9" s="105"/>
      <c r="S9" s="117"/>
    </row>
    <row r="10" spans="1:19" s="110" customFormat="1" ht="11.4" x14ac:dyDescent="0.2">
      <c r="A10" s="1"/>
      <c r="B10" s="1"/>
      <c r="C10" s="6" t="s">
        <v>203</v>
      </c>
      <c r="D10" s="2" t="s">
        <v>4</v>
      </c>
      <c r="E10" s="2" t="s">
        <v>346</v>
      </c>
      <c r="F10" s="111"/>
      <c r="G10" s="117"/>
      <c r="H10" s="105">
        <f>-(BS!H11-BS!G11)</f>
        <v>-467.3418400000005</v>
      </c>
      <c r="I10" s="105">
        <f>-(BS!I11-BS!H11)</f>
        <v>-422.47677479819913</v>
      </c>
      <c r="J10" s="105">
        <f>-(BS!J11-BS!I11)</f>
        <v>-416.71136462571667</v>
      </c>
      <c r="K10" s="105">
        <f>-(BS!K11-BS!J11)</f>
        <v>-438.87652905590858</v>
      </c>
      <c r="L10" s="105">
        <f>-(BS!L11-BS!K11)</f>
        <v>-470.52999639918198</v>
      </c>
      <c r="M10" s="105">
        <f>-(BS!M11-BS!L11)</f>
        <v>-510.82883337811927</v>
      </c>
      <c r="N10" s="105">
        <f>-(BS!N11-BS!M11)</f>
        <v>-556.38557039644638</v>
      </c>
      <c r="O10" s="105">
        <f>-(BS!O11-BS!N11)</f>
        <v>-606.00514833554189</v>
      </c>
      <c r="P10" s="105">
        <f>-(BS!P11-BS!O11)</f>
        <v>-660.04989947440299</v>
      </c>
      <c r="Q10" s="105">
        <f>-(BS!Q11-BS!P11)</f>
        <v>-718.91446960932899</v>
      </c>
      <c r="R10" s="105"/>
      <c r="S10" s="117"/>
    </row>
    <row r="11" spans="1:19" s="110" customFormat="1" ht="11.4" x14ac:dyDescent="0.2">
      <c r="A11" s="1"/>
      <c r="B11" s="1"/>
      <c r="C11" s="6" t="s">
        <v>202</v>
      </c>
      <c r="D11" s="2" t="s">
        <v>4</v>
      </c>
      <c r="E11" s="2" t="s">
        <v>346</v>
      </c>
      <c r="F11" s="111"/>
      <c r="G11" s="117"/>
      <c r="H11" s="117">
        <f>+BS!H28-BS!G28</f>
        <v>1081.8060000000005</v>
      </c>
      <c r="I11" s="117">
        <f>+BS!I28-BS!H28</f>
        <v>761.48909099999946</v>
      </c>
      <c r="J11" s="117">
        <f>+BS!J28-BS!I28</f>
        <v>618.9822954215997</v>
      </c>
      <c r="K11" s="117">
        <f>+BS!K28-BS!J28</f>
        <v>584.17968661561827</v>
      </c>
      <c r="L11" s="117">
        <f>+BS!L28-BS!K28</f>
        <v>577.66044628831514</v>
      </c>
      <c r="M11" s="117">
        <f>+BS!M28-BS!L28</f>
        <v>591.07700762614695</v>
      </c>
      <c r="N11" s="117">
        <f>+BS!N28-BS!M28</f>
        <v>610.2279026732358</v>
      </c>
      <c r="O11" s="117">
        <f>+BS!O28-BS!N28</f>
        <v>629.99928671984526</v>
      </c>
      <c r="P11" s="117">
        <f>+BS!P28-BS!O28</f>
        <v>650.4112636095706</v>
      </c>
      <c r="Q11" s="117">
        <f>+BS!Q28-BS!P28</f>
        <v>671.48458855052013</v>
      </c>
      <c r="R11" s="117"/>
      <c r="S11" s="117"/>
    </row>
    <row r="12" spans="1:19" s="110" customFormat="1" ht="11.4" x14ac:dyDescent="0.2">
      <c r="A12" s="1"/>
      <c r="B12" s="1"/>
      <c r="C12" s="5" t="s">
        <v>201</v>
      </c>
      <c r="D12" s="10"/>
      <c r="E12" s="10" t="s">
        <v>346</v>
      </c>
      <c r="F12" s="116"/>
      <c r="G12" s="118"/>
      <c r="H12" s="118">
        <f t="shared" ref="H12:Q12" si="1">+SUM(H6:H11)</f>
        <v>13440.727592630181</v>
      </c>
      <c r="I12" s="118">
        <f t="shared" si="1"/>
        <v>15210.332819873487</v>
      </c>
      <c r="J12" s="118">
        <f t="shared" si="1"/>
        <v>17139.632377537393</v>
      </c>
      <c r="K12" s="118">
        <f t="shared" si="1"/>
        <v>19275.393599883933</v>
      </c>
      <c r="L12" s="118">
        <f t="shared" si="1"/>
        <v>21612.21124670688</v>
      </c>
      <c r="M12" s="118">
        <f t="shared" si="1"/>
        <v>24181.513049301135</v>
      </c>
      <c r="N12" s="118">
        <f t="shared" si="1"/>
        <v>27003.131730594549</v>
      </c>
      <c r="O12" s="118">
        <f t="shared" si="1"/>
        <v>30097.936049821863</v>
      </c>
      <c r="P12" s="118">
        <f t="shared" si="1"/>
        <v>33490.987405063948</v>
      </c>
      <c r="Q12" s="118">
        <f t="shared" si="1"/>
        <v>37209.604840276494</v>
      </c>
      <c r="R12" s="118"/>
      <c r="S12" s="118"/>
    </row>
    <row r="13" spans="1:19" s="110" customFormat="1" ht="11.4" x14ac:dyDescent="0.2">
      <c r="A13" s="1"/>
      <c r="B13" s="1"/>
      <c r="C13" s="5"/>
      <c r="D13" s="1"/>
      <c r="E13" s="1"/>
      <c r="F13" s="111"/>
      <c r="G13" s="111"/>
      <c r="H13" s="111"/>
      <c r="I13" s="111"/>
      <c r="J13" s="111"/>
      <c r="K13" s="111"/>
      <c r="L13" s="111"/>
      <c r="M13" s="111"/>
      <c r="N13" s="111"/>
      <c r="O13" s="111"/>
      <c r="P13" s="111"/>
      <c r="Q13" s="111"/>
      <c r="R13" s="111"/>
      <c r="S13" s="111"/>
    </row>
    <row r="14" spans="1:19" s="110" customFormat="1" ht="11.4" x14ac:dyDescent="0.2">
      <c r="A14" s="1"/>
      <c r="B14" s="1"/>
      <c r="C14" s="5" t="s">
        <v>200</v>
      </c>
      <c r="D14" s="10"/>
      <c r="E14" s="10"/>
      <c r="F14" s="1"/>
      <c r="G14" s="1"/>
      <c r="H14" s="1"/>
      <c r="I14" s="1"/>
      <c r="J14" s="1"/>
      <c r="K14" s="1"/>
      <c r="L14" s="1"/>
      <c r="M14" s="1"/>
      <c r="N14" s="1"/>
      <c r="O14" s="1"/>
      <c r="P14" s="1"/>
      <c r="Q14" s="1"/>
      <c r="R14" s="1"/>
      <c r="S14" s="1"/>
    </row>
    <row r="15" spans="1:19" s="110" customFormat="1" ht="11.4" x14ac:dyDescent="0.2">
      <c r="A15" s="1"/>
      <c r="B15" s="1"/>
      <c r="C15" s="6" t="s">
        <v>199</v>
      </c>
      <c r="D15" s="2" t="s">
        <v>10</v>
      </c>
      <c r="E15" s="2" t="s">
        <v>346</v>
      </c>
      <c r="F15" s="111"/>
      <c r="G15" s="117"/>
      <c r="H15" s="105">
        <f>-Inputs!G52</f>
        <v>-1400</v>
      </c>
      <c r="I15" s="105">
        <f>-Inputs!H52</f>
        <v>-1586.298</v>
      </c>
      <c r="J15" s="105">
        <f>-Inputs!I52</f>
        <v>-1754.7112929149998</v>
      </c>
      <c r="K15" s="105">
        <f>-Inputs!J52</f>
        <v>-1920.8263015926771</v>
      </c>
      <c r="L15" s="105">
        <f>-Inputs!K52</f>
        <v>-2095.7770819680395</v>
      </c>
      <c r="M15" s="105">
        <f>-Inputs!L52</f>
        <v>-2283.3459871385562</v>
      </c>
      <c r="N15" s="105">
        <f>-Inputs!M52</f>
        <v>-2486.9793489635467</v>
      </c>
      <c r="O15" s="105">
        <f>-Inputs!N52</f>
        <v>-2708.7731412628136</v>
      </c>
      <c r="P15" s="105">
        <f>-Inputs!O52</f>
        <v>-2950.3469475469133</v>
      </c>
      <c r="Q15" s="105">
        <f>-Inputs!P52</f>
        <v>-3213.4647890230422</v>
      </c>
      <c r="R15" s="105"/>
      <c r="S15" s="117"/>
    </row>
    <row r="16" spans="1:19" s="110" customFormat="1" ht="11.4" x14ac:dyDescent="0.2">
      <c r="A16" s="1"/>
      <c r="B16" s="1"/>
      <c r="C16" s="5" t="s">
        <v>389</v>
      </c>
      <c r="D16" s="10" t="s">
        <v>4</v>
      </c>
      <c r="E16" s="10" t="s">
        <v>346</v>
      </c>
      <c r="F16" s="116"/>
      <c r="G16" s="118"/>
      <c r="H16" s="216">
        <f t="shared" ref="H16:Q16" si="2">+H15</f>
        <v>-1400</v>
      </c>
      <c r="I16" s="216">
        <f t="shared" si="2"/>
        <v>-1586.298</v>
      </c>
      <c r="J16" s="216">
        <f t="shared" si="2"/>
        <v>-1754.7112929149998</v>
      </c>
      <c r="K16" s="216">
        <f t="shared" si="2"/>
        <v>-1920.8263015926771</v>
      </c>
      <c r="L16" s="216">
        <f t="shared" si="2"/>
        <v>-2095.7770819680395</v>
      </c>
      <c r="M16" s="216">
        <f t="shared" si="2"/>
        <v>-2283.3459871385562</v>
      </c>
      <c r="N16" s="216">
        <f t="shared" si="2"/>
        <v>-2486.9793489635467</v>
      </c>
      <c r="O16" s="216">
        <f t="shared" si="2"/>
        <v>-2708.7731412628136</v>
      </c>
      <c r="P16" s="216">
        <f t="shared" si="2"/>
        <v>-2950.3469475469133</v>
      </c>
      <c r="Q16" s="216">
        <f t="shared" si="2"/>
        <v>-3213.4647890230422</v>
      </c>
      <c r="R16" s="216"/>
      <c r="S16" s="118"/>
    </row>
    <row r="17" spans="1:19" s="110" customFormat="1" ht="11.4" x14ac:dyDescent="0.2">
      <c r="A17" s="1"/>
      <c r="B17" s="1"/>
      <c r="C17" s="5"/>
      <c r="D17" s="1"/>
      <c r="E17" s="1"/>
      <c r="F17" s="111"/>
      <c r="G17" s="111"/>
      <c r="H17" s="111"/>
      <c r="I17" s="111"/>
      <c r="J17" s="111"/>
      <c r="K17" s="111"/>
      <c r="L17" s="111"/>
      <c r="M17" s="111"/>
      <c r="N17" s="111"/>
      <c r="O17" s="111"/>
      <c r="P17" s="111"/>
      <c r="Q17" s="111"/>
      <c r="R17" s="111"/>
      <c r="S17" s="111"/>
    </row>
    <row r="18" spans="1:19" s="110" customFormat="1" ht="11.4" x14ac:dyDescent="0.2">
      <c r="A18" s="1"/>
      <c r="B18" s="1"/>
      <c r="C18" s="5" t="s">
        <v>198</v>
      </c>
      <c r="D18" s="10"/>
      <c r="E18" s="10"/>
      <c r="F18" s="1"/>
      <c r="G18" s="1"/>
      <c r="H18" s="1"/>
      <c r="I18" s="1"/>
      <c r="J18" s="1"/>
      <c r="K18" s="1"/>
      <c r="L18" s="1"/>
      <c r="M18" s="1"/>
      <c r="N18" s="1"/>
      <c r="O18" s="1"/>
      <c r="P18" s="1"/>
      <c r="Q18" s="1"/>
      <c r="R18" s="1"/>
      <c r="S18" s="1"/>
    </row>
    <row r="19" spans="1:19" s="110" customFormat="1" ht="11.4" x14ac:dyDescent="0.2">
      <c r="A19" s="1"/>
      <c r="B19" s="1"/>
      <c r="C19" s="6" t="s">
        <v>197</v>
      </c>
      <c r="D19" s="2" t="s">
        <v>4</v>
      </c>
      <c r="E19" s="2" t="s">
        <v>346</v>
      </c>
      <c r="F19" s="111"/>
      <c r="G19" s="117"/>
      <c r="H19" s="105">
        <f>+BS!H35-BS!G35</f>
        <v>0</v>
      </c>
      <c r="I19" s="117">
        <f>+BS!I35-BS!H35</f>
        <v>-12866</v>
      </c>
      <c r="J19" s="117">
        <f>+BS!J35-BS!I35</f>
        <v>-12866</v>
      </c>
      <c r="K19" s="117">
        <f>+BS!K35-BS!J35</f>
        <v>-12384</v>
      </c>
      <c r="L19" s="117">
        <f>+BS!L35-BS!K35</f>
        <v>0</v>
      </c>
      <c r="M19" s="117">
        <f>+BS!M35-BS!L35</f>
        <v>0</v>
      </c>
      <c r="N19" s="117">
        <f>+BS!N35-BS!M35</f>
        <v>0</v>
      </c>
      <c r="O19" s="117">
        <f>+BS!O35-BS!N35</f>
        <v>0</v>
      </c>
      <c r="P19" s="117">
        <f>+BS!P35-BS!O35</f>
        <v>0</v>
      </c>
      <c r="Q19" s="117">
        <f>+BS!Q35-BS!P35</f>
        <v>0</v>
      </c>
      <c r="R19" s="117"/>
      <c r="S19" s="117"/>
    </row>
    <row r="20" spans="1:19" s="110" customFormat="1" ht="11.4" x14ac:dyDescent="0.2">
      <c r="A20" s="1"/>
      <c r="B20" s="1"/>
      <c r="C20" s="6" t="s">
        <v>409</v>
      </c>
      <c r="D20" s="2" t="s">
        <v>10</v>
      </c>
      <c r="E20" s="2" t="s">
        <v>346</v>
      </c>
      <c r="F20" s="111"/>
      <c r="G20" s="117"/>
      <c r="H20" s="105">
        <v>-12866</v>
      </c>
      <c r="I20" s="105">
        <v>-12866</v>
      </c>
      <c r="J20" s="105">
        <v>-12866</v>
      </c>
      <c r="K20" s="117"/>
      <c r="L20" s="117"/>
      <c r="M20" s="117"/>
      <c r="N20" s="117"/>
      <c r="O20" s="117"/>
      <c r="P20" s="117"/>
      <c r="Q20" s="117"/>
      <c r="R20" s="117"/>
      <c r="S20" s="117"/>
    </row>
    <row r="21" spans="1:19" s="110" customFormat="1" ht="11.4" x14ac:dyDescent="0.2">
      <c r="A21" s="1"/>
      <c r="B21" s="1"/>
      <c r="C21" s="6" t="s">
        <v>13</v>
      </c>
      <c r="D21" s="2" t="s">
        <v>10</v>
      </c>
      <c r="E21" s="2" t="s">
        <v>346</v>
      </c>
      <c r="F21" s="111"/>
      <c r="G21" s="117"/>
      <c r="H21" s="105">
        <f>-Inputs!G83</f>
        <v>-7252</v>
      </c>
      <c r="I21" s="105">
        <f>-Inputs!H83</f>
        <v>-8880.0966568713538</v>
      </c>
      <c r="J21" s="105">
        <f>-Inputs!I83</f>
        <v>-10274.29155937541</v>
      </c>
      <c r="K21" s="105">
        <f>-Inputs!J83</f>
        <v>-11715.328721653817</v>
      </c>
      <c r="L21" s="105">
        <f>-Inputs!K83</f>
        <v>-13266.782061975809</v>
      </c>
      <c r="M21" s="105">
        <f>-Inputs!L83</f>
        <v>-14954.388831534916</v>
      </c>
      <c r="N21" s="105">
        <f>-Inputs!M83</f>
        <v>-16804.508900970231</v>
      </c>
      <c r="O21" s="105">
        <f>-Inputs!N83</f>
        <v>-18836.359610012954</v>
      </c>
      <c r="P21" s="105">
        <f>-Inputs!O83</f>
        <v>-21066.690217267587</v>
      </c>
      <c r="Q21" s="105">
        <f>-Inputs!P83</f>
        <v>-23513.761279596671</v>
      </c>
      <c r="R21" s="105"/>
      <c r="S21" s="117"/>
    </row>
    <row r="22" spans="1:19" s="110" customFormat="1" ht="11.4" x14ac:dyDescent="0.2">
      <c r="A22" s="1"/>
      <c r="B22" s="1"/>
      <c r="C22" s="5" t="s">
        <v>390</v>
      </c>
      <c r="D22" s="10" t="s">
        <v>4</v>
      </c>
      <c r="E22" s="10" t="s">
        <v>346</v>
      </c>
      <c r="F22" s="116"/>
      <c r="G22" s="118"/>
      <c r="H22" s="216">
        <f>+SUM(H19:H21)</f>
        <v>-20118</v>
      </c>
      <c r="I22" s="216">
        <f t="shared" ref="I22:Q22" si="3">+SUM(I19:I21)</f>
        <v>-34612.096656871356</v>
      </c>
      <c r="J22" s="216">
        <f t="shared" si="3"/>
        <v>-36006.291559375408</v>
      </c>
      <c r="K22" s="216">
        <f t="shared" si="3"/>
        <v>-24099.328721653816</v>
      </c>
      <c r="L22" s="216">
        <f t="shared" si="3"/>
        <v>-13266.782061975809</v>
      </c>
      <c r="M22" s="216">
        <f t="shared" si="3"/>
        <v>-14954.388831534916</v>
      </c>
      <c r="N22" s="216">
        <f t="shared" si="3"/>
        <v>-16804.508900970231</v>
      </c>
      <c r="O22" s="216">
        <f t="shared" si="3"/>
        <v>-18836.359610012954</v>
      </c>
      <c r="P22" s="216">
        <f t="shared" si="3"/>
        <v>-21066.690217267587</v>
      </c>
      <c r="Q22" s="216">
        <f t="shared" si="3"/>
        <v>-23513.761279596671</v>
      </c>
      <c r="R22" s="216"/>
      <c r="S22" s="118"/>
    </row>
    <row r="23" spans="1:19" s="110" customFormat="1" ht="11.4" x14ac:dyDescent="0.2">
      <c r="A23" s="1"/>
      <c r="B23" s="1"/>
      <c r="C23" s="5"/>
      <c r="D23" s="1"/>
      <c r="E23" s="1"/>
      <c r="F23" s="111"/>
      <c r="G23" s="111"/>
      <c r="H23" s="111"/>
      <c r="I23" s="111"/>
      <c r="J23" s="111"/>
      <c r="K23" s="111"/>
      <c r="L23" s="111"/>
      <c r="M23" s="111"/>
      <c r="N23" s="111"/>
      <c r="O23" s="111"/>
      <c r="P23" s="111"/>
      <c r="Q23" s="111"/>
      <c r="R23" s="111"/>
      <c r="S23" s="111"/>
    </row>
    <row r="24" spans="1:19" s="110" customFormat="1" ht="11.4" x14ac:dyDescent="0.2">
      <c r="A24" s="1"/>
      <c r="B24" s="1"/>
      <c r="C24" s="8" t="s">
        <v>196</v>
      </c>
      <c r="D24" s="3"/>
      <c r="E24" s="3"/>
      <c r="F24" s="121"/>
      <c r="G24" s="121"/>
      <c r="H24" s="121"/>
      <c r="I24" s="121"/>
      <c r="J24" s="121"/>
      <c r="K24" s="121"/>
      <c r="L24" s="121"/>
      <c r="M24" s="121"/>
      <c r="N24" s="121"/>
      <c r="O24" s="121"/>
      <c r="P24" s="121"/>
      <c r="Q24" s="121"/>
      <c r="R24" s="121"/>
      <c r="S24" s="121"/>
    </row>
    <row r="25" spans="1:19" s="120" customFormat="1" x14ac:dyDescent="0.2">
      <c r="A25" s="1"/>
      <c r="B25" s="1"/>
      <c r="C25" s="1" t="s">
        <v>195</v>
      </c>
      <c r="D25" s="2" t="s">
        <v>4</v>
      </c>
      <c r="E25" s="2" t="s">
        <v>346</v>
      </c>
      <c r="F25" s="111"/>
      <c r="G25" s="111"/>
      <c r="H25" s="117">
        <f>+H12+H16+H22</f>
        <v>-8077.2724073698191</v>
      </c>
      <c r="I25" s="117">
        <f t="shared" ref="I25:Q25" si="4">+I12+I16+I22</f>
        <v>-20988.061836997869</v>
      </c>
      <c r="J25" s="117">
        <f t="shared" si="4"/>
        <v>-20621.370474753014</v>
      </c>
      <c r="K25" s="117">
        <f t="shared" si="4"/>
        <v>-6744.7614233625609</v>
      </c>
      <c r="L25" s="117">
        <f t="shared" si="4"/>
        <v>6249.6521027630297</v>
      </c>
      <c r="M25" s="117">
        <f t="shared" si="4"/>
        <v>6943.7782306276622</v>
      </c>
      <c r="N25" s="117">
        <f t="shared" si="4"/>
        <v>7711.6434806607685</v>
      </c>
      <c r="O25" s="117">
        <f t="shared" si="4"/>
        <v>8552.8032985460959</v>
      </c>
      <c r="P25" s="117">
        <f t="shared" si="4"/>
        <v>9473.9502402494472</v>
      </c>
      <c r="Q25" s="117">
        <f t="shared" si="4"/>
        <v>10482.378771656782</v>
      </c>
      <c r="R25" s="117"/>
      <c r="S25" s="117"/>
    </row>
    <row r="26" spans="1:19" s="110" customFormat="1" ht="11.4" x14ac:dyDescent="0.2">
      <c r="A26" s="1"/>
      <c r="B26" s="1"/>
      <c r="C26" s="5"/>
      <c r="D26" s="1"/>
      <c r="E26" s="1"/>
      <c r="F26" s="111"/>
      <c r="G26" s="111"/>
      <c r="H26" s="111"/>
      <c r="I26" s="111"/>
      <c r="J26" s="111"/>
      <c r="K26" s="111"/>
      <c r="L26" s="111"/>
      <c r="M26" s="111"/>
      <c r="N26" s="111"/>
      <c r="O26" s="111"/>
      <c r="P26" s="111"/>
      <c r="Q26" s="111"/>
      <c r="R26" s="111"/>
      <c r="S26" s="111"/>
    </row>
    <row r="27" spans="1:19" s="110" customFormat="1" ht="11.4" x14ac:dyDescent="0.2">
      <c r="A27" s="1"/>
      <c r="B27" s="1"/>
      <c r="C27" s="5"/>
      <c r="D27" s="1"/>
      <c r="E27" s="1"/>
      <c r="F27" s="111"/>
      <c r="G27" s="111"/>
      <c r="H27" s="111"/>
      <c r="I27" s="111"/>
      <c r="J27" s="111"/>
      <c r="K27" s="111"/>
      <c r="L27" s="111"/>
      <c r="M27" s="111"/>
      <c r="N27" s="111"/>
      <c r="O27" s="111"/>
      <c r="P27" s="111"/>
      <c r="Q27" s="111"/>
      <c r="R27" s="111"/>
      <c r="S27" s="111"/>
    </row>
    <row r="28" spans="1:19" s="110" customFormat="1" ht="11.4" x14ac:dyDescent="0.2">
      <c r="A28" s="1"/>
      <c r="B28" s="1"/>
      <c r="C28" s="5"/>
      <c r="D28" s="1"/>
      <c r="E28" s="1"/>
      <c r="F28" s="111"/>
      <c r="G28" s="111"/>
      <c r="H28" s="111"/>
      <c r="I28" s="111"/>
      <c r="J28" s="111"/>
      <c r="K28" s="111"/>
      <c r="L28" s="111"/>
      <c r="M28" s="111"/>
      <c r="N28" s="111"/>
      <c r="O28" s="111"/>
      <c r="P28" s="111"/>
      <c r="Q28" s="111"/>
      <c r="R28" s="111"/>
      <c r="S28" s="111"/>
    </row>
    <row r="29" spans="1:19" s="110" customFormat="1" ht="11.4" x14ac:dyDescent="0.2">
      <c r="A29" s="1"/>
      <c r="B29" s="1"/>
      <c r="C29" s="5"/>
      <c r="D29" s="1"/>
      <c r="E29" s="1"/>
      <c r="F29" s="111"/>
      <c r="G29" s="111"/>
      <c r="H29" s="111"/>
      <c r="I29" s="111"/>
      <c r="J29" s="111"/>
      <c r="K29" s="111"/>
      <c r="L29" s="111"/>
      <c r="M29" s="111"/>
      <c r="N29" s="111"/>
      <c r="O29" s="111"/>
      <c r="P29" s="111"/>
      <c r="Q29" s="111"/>
      <c r="R29" s="111"/>
      <c r="S29" s="111"/>
    </row>
    <row r="65" x14ac:dyDescent="0.3"/>
    <row r="80" x14ac:dyDescent="0.3"/>
    <row r="81" x14ac:dyDescent="0.3"/>
    <row r="82" x14ac:dyDescent="0.3"/>
    <row r="83" x14ac:dyDescent="0.3"/>
    <row r="84" x14ac:dyDescent="0.3"/>
    <row r="85" x14ac:dyDescent="0.3"/>
    <row r="86" x14ac:dyDescent="0.3"/>
    <row r="87" x14ac:dyDescent="0.3"/>
    <row r="88" x14ac:dyDescent="0.3"/>
    <row r="89" x14ac:dyDescent="0.3"/>
    <row r="90" x14ac:dyDescent="0.3"/>
    <row r="91" x14ac:dyDescent="0.3"/>
    <row r="92" x14ac:dyDescent="0.3"/>
    <row r="93" x14ac:dyDescent="0.3"/>
    <row r="94" x14ac:dyDescent="0.3"/>
    <row r="95" x14ac:dyDescent="0.3"/>
    <row r="96" x14ac:dyDescent="0.3"/>
    <row r="97" x14ac:dyDescent="0.3"/>
    <row r="98" x14ac:dyDescent="0.3"/>
    <row r="99" x14ac:dyDescent="0.3"/>
    <row r="100" x14ac:dyDescent="0.3"/>
    <row r="101" x14ac:dyDescent="0.3"/>
    <row r="102" x14ac:dyDescent="0.3"/>
    <row r="103" x14ac:dyDescent="0.3"/>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58"/>
  <sheetViews>
    <sheetView showGridLines="0" zoomScale="122" zoomScaleNormal="145" workbookViewId="0">
      <selection activeCell="F18" sqref="F18"/>
    </sheetView>
  </sheetViews>
  <sheetFormatPr defaultRowHeight="14.4" x14ac:dyDescent="0.3"/>
  <cols>
    <col min="1" max="1" width="2" customWidth="1"/>
    <col min="2" max="2" width="42.88671875" bestFit="1" customWidth="1"/>
    <col min="3" max="5" width="13.109375" customWidth="1"/>
    <col min="6" max="6" width="14.44140625" bestFit="1" customWidth="1"/>
  </cols>
  <sheetData>
    <row r="1" spans="1:7" x14ac:dyDescent="0.3">
      <c r="A1" s="15"/>
      <c r="B1" s="15"/>
      <c r="C1" s="15"/>
      <c r="D1" s="15"/>
      <c r="E1" s="15"/>
      <c r="F1" s="15"/>
      <c r="G1" s="15"/>
    </row>
    <row r="2" spans="1:7" x14ac:dyDescent="0.3">
      <c r="A2" s="15"/>
      <c r="B2" s="124" t="s">
        <v>219</v>
      </c>
      <c r="C2" s="123"/>
      <c r="D2" s="123"/>
      <c r="E2" s="123"/>
      <c r="F2" s="123"/>
      <c r="G2" s="123"/>
    </row>
    <row r="3" spans="1:7" x14ac:dyDescent="0.3">
      <c r="A3" s="15"/>
      <c r="B3" s="17" t="s">
        <v>216</v>
      </c>
      <c r="C3" s="122" t="s">
        <v>63</v>
      </c>
      <c r="D3" s="122" t="s">
        <v>62</v>
      </c>
      <c r="E3" s="15"/>
      <c r="F3" s="15"/>
      <c r="G3" s="15"/>
    </row>
    <row r="4" spans="1:7" x14ac:dyDescent="0.3">
      <c r="A4" s="15"/>
      <c r="B4" s="15" t="s">
        <v>59</v>
      </c>
      <c r="C4" s="82">
        <f>Control!E9</f>
        <v>565.57401273816208</v>
      </c>
      <c r="D4" s="231">
        <f>Control!F9</f>
        <v>544.35151252110268</v>
      </c>
      <c r="E4" s="15"/>
      <c r="F4" s="15"/>
      <c r="G4" s="15"/>
    </row>
    <row r="5" spans="1:7" x14ac:dyDescent="0.3">
      <c r="A5" s="15"/>
      <c r="B5" s="15" t="s">
        <v>104</v>
      </c>
      <c r="C5" s="82">
        <f>Control!E10</f>
        <v>444.29867719065015</v>
      </c>
      <c r="D5" s="231">
        <f>Control!F10</f>
        <v>410.69995171712497</v>
      </c>
      <c r="E5" s="15"/>
      <c r="F5" s="15"/>
      <c r="G5" s="15"/>
    </row>
    <row r="6" spans="1:7" x14ac:dyDescent="0.3">
      <c r="A6" s="15"/>
      <c r="B6" s="15" t="s">
        <v>103</v>
      </c>
      <c r="C6" s="82">
        <f>Control!E11</f>
        <v>664.66936932063447</v>
      </c>
      <c r="D6" s="231">
        <f>Control!F11</f>
        <v>654.25011371757421</v>
      </c>
      <c r="E6" s="15"/>
      <c r="F6" s="15"/>
      <c r="G6" s="15"/>
    </row>
    <row r="7" spans="1:7" x14ac:dyDescent="0.3">
      <c r="A7" s="15"/>
      <c r="B7" s="17" t="str">
        <f>Control!D12</f>
        <v>Multiples-based valuation (based on mean multiple)</v>
      </c>
      <c r="C7" s="82"/>
      <c r="D7" s="15"/>
      <c r="E7" s="15"/>
      <c r="F7" s="15"/>
      <c r="G7" s="15"/>
    </row>
    <row r="8" spans="1:7" x14ac:dyDescent="0.3">
      <c r="A8" s="15"/>
      <c r="B8" s="15" t="str">
        <f>Control!D13</f>
        <v>EV/Revenue 2021</v>
      </c>
      <c r="C8" s="82">
        <f>Control!E13</f>
        <v>207.36349999999999</v>
      </c>
      <c r="D8" s="77">
        <f>Control!F13</f>
        <v>6.1</v>
      </c>
      <c r="E8" s="15"/>
      <c r="F8" s="15"/>
      <c r="G8" s="15"/>
    </row>
    <row r="9" spans="1:7" x14ac:dyDescent="0.3">
      <c r="A9" s="15"/>
      <c r="B9" s="15" t="str">
        <f>Control!D14</f>
        <v>EV/Revenue 2031</v>
      </c>
      <c r="C9" s="82">
        <f>Control!E14</f>
        <v>327.67799516698108</v>
      </c>
      <c r="D9" s="77">
        <f>Control!F14</f>
        <v>6.1</v>
      </c>
      <c r="E9" s="15"/>
      <c r="F9" s="15"/>
      <c r="G9" s="15"/>
    </row>
    <row r="10" spans="1:7" x14ac:dyDescent="0.3">
      <c r="A10" s="15"/>
      <c r="B10" s="15" t="str">
        <f>Control!D15</f>
        <v>EV/EBIT 2031</v>
      </c>
      <c r="C10" s="82">
        <f>Control!E15</f>
        <v>544.35151252110268</v>
      </c>
      <c r="D10" s="77">
        <f>Control!F15</f>
        <v>23.4</v>
      </c>
      <c r="E10" s="15"/>
      <c r="F10" s="15"/>
      <c r="G10" s="15"/>
    </row>
    <row r="11" spans="1:7" x14ac:dyDescent="0.3">
      <c r="A11" s="15"/>
      <c r="B11" s="15"/>
      <c r="C11" s="15"/>
      <c r="D11" s="15"/>
      <c r="E11" s="15"/>
      <c r="F11" s="15"/>
      <c r="G11" s="15"/>
    </row>
    <row r="12" spans="1:7" x14ac:dyDescent="0.3">
      <c r="A12" s="15"/>
      <c r="B12" s="124" t="s">
        <v>424</v>
      </c>
      <c r="C12" s="123"/>
      <c r="D12" s="123"/>
      <c r="E12" s="123"/>
      <c r="F12" s="123"/>
      <c r="G12" s="123"/>
    </row>
    <row r="13" spans="1:7" x14ac:dyDescent="0.3">
      <c r="A13" s="15"/>
      <c r="B13" s="125" t="s">
        <v>48</v>
      </c>
      <c r="C13" s="122" t="s">
        <v>136</v>
      </c>
      <c r="D13" s="122" t="s">
        <v>218</v>
      </c>
      <c r="E13" s="122" t="s">
        <v>135</v>
      </c>
      <c r="F13" s="122" t="s">
        <v>217</v>
      </c>
      <c r="G13" s="15"/>
    </row>
    <row r="14" spans="1:7" x14ac:dyDescent="0.3">
      <c r="A14" s="15"/>
      <c r="B14" s="15" t="s">
        <v>427</v>
      </c>
      <c r="C14" s="82">
        <f>Valuation!G86/Valuation!F64</f>
        <v>46.251091305201861</v>
      </c>
      <c r="D14" s="82">
        <f>E14-C14</f>
        <v>50.567173127593286</v>
      </c>
      <c r="E14" s="82">
        <f>Valuation!H86/Valuation!F64</f>
        <v>96.818264432795146</v>
      </c>
      <c r="F14" s="82">
        <f>Valuation!F86/Valuation!F64</f>
        <v>75.851387770134508</v>
      </c>
      <c r="G14" s="15"/>
    </row>
    <row r="15" spans="1:7" x14ac:dyDescent="0.3">
      <c r="A15" s="15"/>
      <c r="B15" s="15" t="s">
        <v>430</v>
      </c>
      <c r="C15" s="82">
        <f>Valuation!G95/Valuation!F64</f>
        <v>110.46750902807915</v>
      </c>
      <c r="D15" s="82">
        <f>E15-C15</f>
        <v>18.219058905437606</v>
      </c>
      <c r="E15" s="82">
        <f>Valuation!H95/Valuation!F64</f>
        <v>128.68656793351676</v>
      </c>
      <c r="F15" s="82">
        <f>Valuation!F95/Valuation!F64</f>
        <v>126.00729456507007</v>
      </c>
      <c r="G15" s="15"/>
    </row>
    <row r="16" spans="1:7" x14ac:dyDescent="0.3">
      <c r="A16" s="15"/>
      <c r="B16" s="15" t="s">
        <v>57</v>
      </c>
      <c r="C16" s="82">
        <f>Valuation!G77/Valuation!F64</f>
        <v>26.525810185185186</v>
      </c>
      <c r="D16" s="82">
        <f>E16-C16</f>
        <v>36.686458333333334</v>
      </c>
      <c r="E16" s="82">
        <f>Valuation!H77/Valuation!F64</f>
        <v>63.21226851851852</v>
      </c>
      <c r="F16" s="82">
        <f>Valuation!F77/Valuation!F64</f>
        <v>48.000810185185188</v>
      </c>
      <c r="G16" s="15"/>
    </row>
    <row r="17" spans="1:18" x14ac:dyDescent="0.3">
      <c r="A17" s="15"/>
      <c r="B17" s="15" t="s">
        <v>216</v>
      </c>
      <c r="C17" s="82">
        <f>Control!E10/Valuation!F64*1000</f>
        <v>102.8469160163542</v>
      </c>
      <c r="D17" s="82">
        <f>E17-C17</f>
        <v>51.011734289348212</v>
      </c>
      <c r="E17" s="82">
        <f>Control!E11/Valuation!F64*1000</f>
        <v>153.85865030570241</v>
      </c>
      <c r="F17" s="82">
        <f>Control!E9/Valuation!F64*1000</f>
        <v>130.91991035605605</v>
      </c>
      <c r="G17" s="15"/>
    </row>
    <row r="18" spans="1:18" x14ac:dyDescent="0.3">
      <c r="A18" s="15"/>
      <c r="B18" s="15"/>
      <c r="C18" s="15"/>
      <c r="D18" s="15"/>
      <c r="E18" s="15"/>
      <c r="F18" s="15"/>
      <c r="G18" s="15"/>
      <c r="H18" s="15"/>
      <c r="I18" s="15"/>
      <c r="J18" s="15"/>
      <c r="K18" s="15"/>
      <c r="L18" s="15"/>
      <c r="M18" s="15"/>
      <c r="N18" s="15"/>
      <c r="O18" s="15"/>
      <c r="P18" s="15"/>
      <c r="Q18" s="15"/>
      <c r="R18" s="15"/>
    </row>
    <row r="19" spans="1:18" x14ac:dyDescent="0.3">
      <c r="A19" s="15"/>
      <c r="B19" s="15"/>
      <c r="C19" s="15"/>
      <c r="D19" s="15"/>
      <c r="E19" s="15"/>
      <c r="F19" s="15"/>
      <c r="G19" s="15"/>
      <c r="H19" s="15"/>
      <c r="I19" s="15"/>
      <c r="J19" s="15"/>
      <c r="K19" s="15"/>
      <c r="L19" s="15"/>
      <c r="M19" s="15"/>
      <c r="N19" s="15"/>
      <c r="O19" s="15"/>
      <c r="P19" s="15"/>
      <c r="Q19" s="15"/>
      <c r="R19" s="15"/>
    </row>
    <row r="20" spans="1:18" x14ac:dyDescent="0.3">
      <c r="A20" s="15"/>
      <c r="B20" s="15"/>
      <c r="C20" s="15"/>
      <c r="D20" s="15"/>
      <c r="E20" s="15"/>
      <c r="F20" s="15"/>
      <c r="G20" s="15"/>
      <c r="H20" s="15"/>
      <c r="I20" s="15"/>
      <c r="J20" s="15"/>
      <c r="K20" s="15"/>
      <c r="L20" s="15"/>
      <c r="M20" s="15"/>
      <c r="N20" s="15"/>
      <c r="O20" s="15"/>
      <c r="P20" s="15"/>
      <c r="Q20" s="15"/>
      <c r="R20" s="15"/>
    </row>
    <row r="21" spans="1:18" x14ac:dyDescent="0.3">
      <c r="A21" s="15"/>
      <c r="B21" s="15"/>
      <c r="C21" s="15"/>
      <c r="D21" s="15"/>
      <c r="E21" s="15"/>
      <c r="F21" s="15"/>
      <c r="G21" s="15"/>
      <c r="H21" s="15"/>
      <c r="I21" s="15"/>
      <c r="J21" s="15"/>
      <c r="K21" s="15"/>
      <c r="L21" s="15"/>
      <c r="M21" s="15"/>
      <c r="N21" s="15"/>
      <c r="O21" s="15"/>
      <c r="P21" s="15"/>
      <c r="Q21" s="15"/>
      <c r="R21" s="15"/>
    </row>
    <row r="22" spans="1:18" x14ac:dyDescent="0.3">
      <c r="A22" s="15"/>
      <c r="B22" s="124" t="s">
        <v>215</v>
      </c>
      <c r="C22" s="123"/>
      <c r="D22" s="123"/>
      <c r="E22" s="123"/>
      <c r="F22" s="123"/>
      <c r="G22" s="123"/>
      <c r="H22" s="123"/>
      <c r="I22" s="123"/>
      <c r="J22" s="123"/>
      <c r="K22" s="123"/>
      <c r="L22" s="123"/>
      <c r="M22" s="123"/>
      <c r="N22" s="122"/>
      <c r="O22" s="122"/>
      <c r="P22" s="122"/>
      <c r="Q22" s="15"/>
      <c r="R22" s="15"/>
    </row>
    <row r="23" spans="1:18" x14ac:dyDescent="0.3">
      <c r="A23" s="15"/>
      <c r="B23" s="17" t="s">
        <v>214</v>
      </c>
      <c r="C23" s="122" t="str">
        <f>Inputs!G3</f>
        <v>2021A</v>
      </c>
      <c r="D23" s="122" t="str">
        <f>Inputs!H3</f>
        <v>2022F</v>
      </c>
      <c r="E23" s="122" t="str">
        <f>Inputs!I3</f>
        <v>2023F</v>
      </c>
      <c r="F23" s="122" t="str">
        <f>Inputs!J3</f>
        <v>2024F</v>
      </c>
      <c r="G23" s="122" t="str">
        <f>Inputs!K3</f>
        <v>2025F</v>
      </c>
      <c r="H23" s="122" t="str">
        <f>Inputs!L3</f>
        <v>2026F</v>
      </c>
      <c r="I23" s="122" t="str">
        <f>Inputs!M3</f>
        <v>2027F</v>
      </c>
      <c r="J23" s="122" t="str">
        <f>Inputs!N3</f>
        <v>2028F</v>
      </c>
      <c r="K23" s="122" t="str">
        <f>Inputs!O3</f>
        <v>2029F</v>
      </c>
      <c r="L23" s="122" t="str">
        <f>Inputs!P3</f>
        <v>2030F</v>
      </c>
      <c r="M23" s="122" t="str">
        <f>Inputs!Q3</f>
        <v>2031F</v>
      </c>
      <c r="N23" s="122"/>
      <c r="O23" s="122"/>
      <c r="P23" s="122"/>
      <c r="Q23" s="15"/>
      <c r="R23" s="15"/>
    </row>
    <row r="24" spans="1:18" x14ac:dyDescent="0.3">
      <c r="A24" s="15"/>
      <c r="B24" s="16" t="s">
        <v>213</v>
      </c>
      <c r="C24" s="15"/>
      <c r="D24" s="15"/>
      <c r="E24" s="15"/>
      <c r="F24" s="15"/>
      <c r="G24" s="15"/>
      <c r="H24" s="15"/>
      <c r="I24" s="15"/>
      <c r="J24" s="15"/>
      <c r="K24" s="15"/>
      <c r="L24" s="15"/>
      <c r="M24" s="15"/>
      <c r="N24" s="15"/>
      <c r="O24" s="15"/>
      <c r="P24" s="15"/>
      <c r="Q24" s="15"/>
      <c r="R24" s="15"/>
    </row>
    <row r="25" spans="1:18" x14ac:dyDescent="0.3">
      <c r="A25" s="15"/>
      <c r="B25" s="15" t="s">
        <v>105</v>
      </c>
      <c r="C25" s="225">
        <f>Inputs!G21</f>
        <v>1.2349840255591054</v>
      </c>
      <c r="D25" s="225">
        <f>Inputs!H21</f>
        <v>1.3263728434504793</v>
      </c>
      <c r="E25" s="225">
        <f>Inputs!I21</f>
        <v>1.3907019263578275</v>
      </c>
      <c r="F25" s="225">
        <f>Inputs!J21</f>
        <v>1.442992318788882</v>
      </c>
      <c r="G25" s="225">
        <f>Inputs!K21</f>
        <v>1.4923426560914619</v>
      </c>
      <c r="H25" s="225">
        <f>Inputs!L21</f>
        <v>1.5411422609456527</v>
      </c>
      <c r="I25" s="225">
        <f>Inputs!M21</f>
        <v>1.5910752702002917</v>
      </c>
      <c r="J25" s="225">
        <f>Inputs!N21</f>
        <v>1.6426261089547811</v>
      </c>
      <c r="K25" s="225">
        <f>Inputs!O21</f>
        <v>1.6958471948849161</v>
      </c>
      <c r="L25" s="225">
        <f>Inputs!P21</f>
        <v>1.7507926439991874</v>
      </c>
      <c r="M25" s="225">
        <f>Inputs!Q21</f>
        <v>1.8075183256647611</v>
      </c>
      <c r="N25" s="82"/>
      <c r="O25" s="82"/>
      <c r="P25" s="82"/>
      <c r="Q25" s="15"/>
      <c r="R25" s="15"/>
    </row>
    <row r="26" spans="1:18" x14ac:dyDescent="0.3">
      <c r="A26" s="15"/>
      <c r="B26" s="15" t="s">
        <v>212</v>
      </c>
      <c r="C26" s="82">
        <f>Inputs!G30</f>
        <v>31300</v>
      </c>
      <c r="D26" s="82">
        <f>Inputs!H30</f>
        <v>33021.5</v>
      </c>
      <c r="E26" s="82">
        <f>Inputs!I30</f>
        <v>34837.682499999995</v>
      </c>
      <c r="F26" s="82">
        <f>Inputs!J30</f>
        <v>36753.755037499992</v>
      </c>
      <c r="G26" s="82">
        <f>Inputs!K30</f>
        <v>38775.211564562487</v>
      </c>
      <c r="H26" s="82">
        <f>Inputs!L30</f>
        <v>40907.848200613422</v>
      </c>
      <c r="I26" s="82">
        <f>Inputs!M30</f>
        <v>43157.779851647159</v>
      </c>
      <c r="J26" s="82">
        <f>Inputs!N30</f>
        <v>45531.45774348775</v>
      </c>
      <c r="K26" s="82">
        <f>Inputs!O30</f>
        <v>48035.687919379576</v>
      </c>
      <c r="L26" s="82">
        <f>Inputs!P30</f>
        <v>50677.650754945447</v>
      </c>
      <c r="M26" s="82">
        <f>Inputs!Q30</f>
        <v>53464.921546467442</v>
      </c>
      <c r="N26" s="82"/>
      <c r="O26" s="82"/>
      <c r="P26" s="82"/>
      <c r="Q26" s="15"/>
      <c r="R26" s="15"/>
    </row>
    <row r="27" spans="1:18" x14ac:dyDescent="0.3">
      <c r="A27" s="15"/>
      <c r="B27" s="15" t="s">
        <v>211</v>
      </c>
      <c r="C27" s="225">
        <f>Valuation!G111+Valuation!G112</f>
        <v>0.9503833865814697</v>
      </c>
      <c r="D27" s="225">
        <f>Valuation!H111+Valuation!H112</f>
        <v>0.99898815044743583</v>
      </c>
      <c r="E27" s="225">
        <f>Valuation!I111+Valuation!I112</f>
        <v>1.0258493111299145</v>
      </c>
      <c r="F27" s="225">
        <f>Valuation!J111+Valuation!J112</f>
        <v>1.043187558248573</v>
      </c>
      <c r="G27" s="225">
        <f>Valuation!K111+Valuation!K112</f>
        <v>1.0580495214851897</v>
      </c>
      <c r="H27" s="225">
        <f>Valuation!L111+Valuation!L112</f>
        <v>1.0722726664950644</v>
      </c>
      <c r="I27" s="225">
        <f>Valuation!M111+Valuation!M112</f>
        <v>1.0870756973336806</v>
      </c>
      <c r="J27" s="225">
        <f>Valuation!N111+Valuation!N112</f>
        <v>1.1027854671680191</v>
      </c>
      <c r="K27" s="225">
        <f>Valuation!O111+Valuation!O112</f>
        <v>1.1194222046448572</v>
      </c>
      <c r="L27" s="225">
        <f>Valuation!P111+Valuation!P112</f>
        <v>1.1370069898221085</v>
      </c>
      <c r="M27" s="225">
        <f>Valuation!Q111+Valuation!Q112</f>
        <v>1.1555617775558074</v>
      </c>
      <c r="N27" s="82"/>
      <c r="O27" s="82"/>
      <c r="P27" s="82"/>
      <c r="Q27" s="15"/>
      <c r="R27" s="15"/>
    </row>
    <row r="28" spans="1:18" x14ac:dyDescent="0.3">
      <c r="A28" s="15"/>
      <c r="B28" s="15"/>
      <c r="C28" s="15"/>
      <c r="D28" s="15"/>
      <c r="E28" s="15"/>
      <c r="F28" s="15"/>
      <c r="G28" s="15"/>
      <c r="H28" s="15"/>
      <c r="I28" s="15"/>
      <c r="J28" s="15"/>
      <c r="K28" s="15"/>
      <c r="L28" s="15"/>
      <c r="M28" s="15"/>
      <c r="N28" s="15"/>
      <c r="O28" s="15"/>
      <c r="P28" s="15"/>
      <c r="Q28" s="15"/>
      <c r="R28" s="15"/>
    </row>
    <row r="29" spans="1:18" x14ac:dyDescent="0.3">
      <c r="A29" s="15"/>
      <c r="B29" s="16" t="s">
        <v>210</v>
      </c>
      <c r="C29" s="82"/>
      <c r="D29" s="82"/>
      <c r="E29" s="82"/>
      <c r="F29" s="82"/>
      <c r="G29" s="82"/>
      <c r="H29" s="82"/>
      <c r="I29" s="82"/>
      <c r="J29" s="82"/>
      <c r="K29" s="82"/>
      <c r="L29" s="82"/>
      <c r="M29" s="82"/>
      <c r="N29" s="82"/>
      <c r="O29" s="82"/>
      <c r="P29" s="82"/>
      <c r="Q29" s="15"/>
      <c r="R29" s="15"/>
    </row>
    <row r="30" spans="1:18" x14ac:dyDescent="0.3">
      <c r="A30" s="15"/>
      <c r="B30" s="15" t="s">
        <v>209</v>
      </c>
      <c r="C30" s="82">
        <f>Valuation!G37</f>
        <v>10392</v>
      </c>
      <c r="D30" s="82">
        <f>Valuation!H37</f>
        <v>-1480.9882673698212</v>
      </c>
      <c r="E30" s="82">
        <f>Valuation!I37</f>
        <v>381.73098881193437</v>
      </c>
      <c r="F30" s="82">
        <f>Valuation!J37</f>
        <v>2761.8675447621681</v>
      </c>
      <c r="G30" s="82">
        <f>Valuation!K37</f>
        <v>17170.525039362714</v>
      </c>
      <c r="H30" s="82">
        <f>Valuation!L37</f>
        <v>19367.770600133379</v>
      </c>
      <c r="I30" s="82">
        <f>Valuation!M37</f>
        <v>21772.828643510446</v>
      </c>
      <c r="J30" s="82">
        <f>Valuation!N37</f>
        <v>24413.198566773663</v>
      </c>
      <c r="K30" s="82">
        <f>Valuation!O37</f>
        <v>27311.677427354694</v>
      </c>
      <c r="L30" s="82">
        <f>Valuation!P37</f>
        <v>30492.017285626436</v>
      </c>
      <c r="M30" s="82">
        <f>Valuation!Q37</f>
        <v>33980.112220017581</v>
      </c>
      <c r="N30" s="82"/>
      <c r="O30" s="82"/>
      <c r="P30" s="82"/>
      <c r="Q30" s="15"/>
      <c r="R30" s="15"/>
    </row>
    <row r="31" spans="1:18" x14ac:dyDescent="0.3">
      <c r="A31" s="15"/>
      <c r="B31" s="15" t="s">
        <v>208</v>
      </c>
      <c r="C31" s="82">
        <f>Calculation!G38+Calculation!G37</f>
        <v>2477.54</v>
      </c>
      <c r="D31" s="82">
        <f>Calculation!H38+Calculation!H37</f>
        <v>14925.395</v>
      </c>
      <c r="E31" s="82">
        <f>Calculation!I38+Calculation!I37</f>
        <v>14089.105</v>
      </c>
      <c r="F31" s="82">
        <f>Calculation!J38+Calculation!J37</f>
        <v>12786.48</v>
      </c>
      <c r="G31" s="82">
        <f>Calculation!K38+Calculation!K37</f>
        <v>0</v>
      </c>
      <c r="H31" s="82">
        <f>Calculation!L38+Calculation!L37</f>
        <v>0</v>
      </c>
      <c r="I31" s="82">
        <f>Calculation!M38+Calculation!M37</f>
        <v>0</v>
      </c>
      <c r="J31" s="82">
        <f>Calculation!N38+Calculation!N37</f>
        <v>0</v>
      </c>
      <c r="K31" s="82">
        <f>Calculation!O38+Calculation!O37</f>
        <v>0</v>
      </c>
      <c r="L31" s="82">
        <f>Calculation!P38+Calculation!P37</f>
        <v>0</v>
      </c>
      <c r="M31" s="82">
        <f>Calculation!Q38+Calculation!Q37</f>
        <v>0</v>
      </c>
      <c r="N31" s="82"/>
      <c r="O31" s="82"/>
      <c r="P31" s="82"/>
      <c r="Q31" s="15"/>
      <c r="R31" s="15"/>
    </row>
    <row r="32" spans="1:18" x14ac:dyDescent="0.3">
      <c r="A32" s="15"/>
      <c r="B32" s="15"/>
      <c r="C32" s="15"/>
      <c r="D32" s="15"/>
      <c r="E32" s="15"/>
      <c r="F32" s="15"/>
      <c r="G32" s="15"/>
      <c r="H32" s="15"/>
      <c r="I32" s="15"/>
      <c r="J32" s="15"/>
      <c r="K32" s="15"/>
      <c r="L32" s="15"/>
      <c r="M32" s="15"/>
      <c r="N32" s="15"/>
      <c r="O32" s="15"/>
      <c r="P32" s="15"/>
      <c r="Q32" s="15"/>
      <c r="R32" s="15"/>
    </row>
    <row r="33" spans="1:18" x14ac:dyDescent="0.3">
      <c r="A33" s="15"/>
      <c r="B33" s="16" t="s">
        <v>132</v>
      </c>
      <c r="C33" s="15"/>
      <c r="D33" s="15"/>
      <c r="E33" s="15"/>
      <c r="F33" s="15"/>
      <c r="G33" s="15"/>
      <c r="H33" s="15"/>
      <c r="I33" s="15"/>
      <c r="J33" s="15"/>
      <c r="K33" s="15"/>
      <c r="L33" s="15"/>
      <c r="M33" s="15"/>
      <c r="N33" s="15"/>
      <c r="O33" s="15"/>
      <c r="P33" s="15"/>
      <c r="Q33" s="15"/>
      <c r="R33" s="15"/>
    </row>
    <row r="34" spans="1:18" x14ac:dyDescent="0.3">
      <c r="A34" s="15"/>
      <c r="B34" s="15" t="s">
        <v>130</v>
      </c>
      <c r="C34" s="11">
        <f>Valuation!G104</f>
        <v>0.3214331910490234</v>
      </c>
      <c r="D34" s="11">
        <f>Valuation!H104</f>
        <v>0.33781139635406415</v>
      </c>
      <c r="E34" s="11">
        <f>Valuation!I104</f>
        <v>0.35333576157211222</v>
      </c>
      <c r="F34" s="11">
        <f>Valuation!J104</f>
        <v>0.36805079969348492</v>
      </c>
      <c r="G34" s="11">
        <f>Valuation!K104</f>
        <v>0.38199870312606554</v>
      </c>
      <c r="H34" s="11">
        <f>Valuation!L104</f>
        <v>0.39521946467353536</v>
      </c>
      <c r="I34" s="11">
        <f>Valuation!M104</f>
        <v>0.40775099220668221</v>
      </c>
      <c r="J34" s="11">
        <f>Valuation!N104</f>
        <v>0.41962921735658432</v>
      </c>
      <c r="K34" s="11">
        <f>Valuation!O104</f>
        <v>0.43088819854132571</v>
      </c>
      <c r="L34" s="11">
        <f>Valuation!P104</f>
        <v>0.44156021862164935</v>
      </c>
      <c r="M34" s="11">
        <f>Valuation!Q104</f>
        <v>0.45167587746555782</v>
      </c>
      <c r="N34" s="11"/>
      <c r="O34" s="11"/>
      <c r="P34" s="11"/>
      <c r="Q34" s="15"/>
      <c r="R34" s="15"/>
    </row>
    <row r="35" spans="1:18" x14ac:dyDescent="0.3">
      <c r="A35" s="15"/>
      <c r="B35" s="15" t="s">
        <v>129</v>
      </c>
      <c r="C35" s="11">
        <f>Valuation!G105</f>
        <v>0.25277454404346139</v>
      </c>
      <c r="D35" s="11">
        <f>Valuation!H105</f>
        <v>0.26565433833203705</v>
      </c>
      <c r="E35" s="11">
        <f>Valuation!I105</f>
        <v>0.27786267415059218</v>
      </c>
      <c r="F35" s="11">
        <f>Valuation!J105</f>
        <v>0.28943455644306165</v>
      </c>
      <c r="G35" s="11">
        <f>Valuation!K105</f>
        <v>0.3004031652510894</v>
      </c>
      <c r="H35" s="11">
        <f>Valuation!L105</f>
        <v>0.31079995085111584</v>
      </c>
      <c r="I35" s="11">
        <f>Valuation!M105</f>
        <v>0.32065472393170957</v>
      </c>
      <c r="J35" s="11">
        <f>Valuation!N105</f>
        <v>0.32999574106971313</v>
      </c>
      <c r="K35" s="11">
        <f>Valuation!O105</f>
        <v>0.33884978575028518</v>
      </c>
      <c r="L35" s="11">
        <f>Valuation!P105</f>
        <v>0.34724224516314972</v>
      </c>
      <c r="M35" s="11">
        <f>Valuation!Q105</f>
        <v>0.35519718299524872</v>
      </c>
      <c r="N35" s="11"/>
      <c r="O35" s="11"/>
      <c r="P35" s="11"/>
      <c r="Q35" s="15"/>
      <c r="R35" s="15"/>
    </row>
    <row r="36" spans="1:18" x14ac:dyDescent="0.3">
      <c r="A36" s="15"/>
      <c r="B36" s="15"/>
      <c r="C36" s="15"/>
      <c r="D36" s="15"/>
      <c r="E36" s="15"/>
      <c r="F36" s="15"/>
      <c r="G36" s="15"/>
      <c r="H36" s="15"/>
      <c r="I36" s="15"/>
      <c r="J36" s="15"/>
      <c r="K36" s="15"/>
      <c r="L36" s="15"/>
      <c r="M36" s="15"/>
      <c r="N36" s="15"/>
      <c r="O36" s="15"/>
      <c r="P36" s="15"/>
      <c r="Q36" s="15"/>
      <c r="R36" s="15"/>
    </row>
    <row r="37" spans="1:18" x14ac:dyDescent="0.3">
      <c r="A37" s="15"/>
      <c r="B37" s="16" t="s">
        <v>128</v>
      </c>
      <c r="C37" s="15"/>
      <c r="D37" s="15"/>
      <c r="E37" s="15"/>
      <c r="F37" s="15"/>
      <c r="G37" s="15"/>
      <c r="H37" s="15"/>
      <c r="I37" s="15"/>
      <c r="J37" s="15"/>
      <c r="K37" s="15"/>
      <c r="L37" s="15"/>
      <c r="M37" s="15"/>
      <c r="N37" s="15"/>
      <c r="O37" s="15"/>
      <c r="P37" s="15"/>
      <c r="Q37" s="15"/>
      <c r="R37" s="15"/>
    </row>
    <row r="38" spans="1:18" x14ac:dyDescent="0.3">
      <c r="A38" s="15"/>
      <c r="B38" s="15" t="s">
        <v>127</v>
      </c>
      <c r="C38" s="11">
        <f>Valuation!G107</f>
        <v>0</v>
      </c>
      <c r="D38" s="11">
        <f>Valuation!H107</f>
        <v>0.1330700000000001</v>
      </c>
      <c r="E38" s="11">
        <f>Valuation!I107</f>
        <v>0.10616749999999982</v>
      </c>
      <c r="F38" s="11">
        <f>Valuation!J107</f>
        <v>9.4668000000000044E-2</v>
      </c>
      <c r="G38" s="11">
        <f>Valuation!K107</f>
        <v>9.1080999999999912E-2</v>
      </c>
      <c r="H38" s="11">
        <f>Valuation!L107</f>
        <v>8.9498499999999981E-2</v>
      </c>
      <c r="I38" s="11">
        <f>Valuation!M107</f>
        <v>8.9181999999999997E-2</v>
      </c>
      <c r="J38" s="11">
        <f>Valuation!N107</f>
        <v>8.9181999999999886E-2</v>
      </c>
      <c r="K38" s="11">
        <f>Valuation!O107</f>
        <v>8.9181999999999831E-2</v>
      </c>
      <c r="L38" s="11">
        <f>Valuation!P107</f>
        <v>8.9182000000000011E-2</v>
      </c>
      <c r="M38" s="11">
        <f>Valuation!Q107</f>
        <v>8.9181999999999845E-2</v>
      </c>
      <c r="N38" s="11"/>
      <c r="O38" s="11"/>
      <c r="P38" s="11"/>
      <c r="Q38" s="15"/>
      <c r="R38" s="15"/>
    </row>
    <row r="39" spans="1:18" x14ac:dyDescent="0.3">
      <c r="A39" s="15"/>
      <c r="B39" s="15" t="s">
        <v>126</v>
      </c>
      <c r="C39" s="11">
        <f>Valuation!G108</f>
        <v>0</v>
      </c>
      <c r="D39" s="11">
        <f>Valuation!H108</f>
        <v>0.1908040909456741</v>
      </c>
      <c r="E39" s="11">
        <f>Valuation!I108</f>
        <v>0.15700222152708646</v>
      </c>
      <c r="F39" s="11">
        <f>Valuation!J108</f>
        <v>0.14025659617995201</v>
      </c>
      <c r="G39" s="11">
        <f>Valuation!K108</f>
        <v>0.13242934766776043</v>
      </c>
      <c r="H39" s="11">
        <f>Valuation!L108</f>
        <v>0.12720543396849712</v>
      </c>
      <c r="I39" s="11">
        <f>Valuation!M108</f>
        <v>0.12371753137339157</v>
      </c>
      <c r="J39" s="11">
        <f>Valuation!N108</f>
        <v>0.12091104363813991</v>
      </c>
      <c r="K39" s="11">
        <f>Valuation!O108</f>
        <v>0.1184056077411603</v>
      </c>
      <c r="L39" s="11">
        <f>Valuation!P108</f>
        <v>0.1161583066486311</v>
      </c>
      <c r="M39" s="11">
        <f>Valuation!Q108</f>
        <v>0.11413396140023306</v>
      </c>
      <c r="N39" s="11"/>
      <c r="O39" s="11"/>
      <c r="P39" s="11"/>
      <c r="Q39" s="15"/>
      <c r="R39" s="15"/>
    </row>
    <row r="40" spans="1:18" x14ac:dyDescent="0.3">
      <c r="A40" s="15"/>
      <c r="B40" s="15"/>
      <c r="C40" s="15"/>
      <c r="D40" s="15"/>
      <c r="E40" s="15"/>
      <c r="F40" s="15"/>
      <c r="G40" s="15"/>
      <c r="H40" s="15"/>
      <c r="I40" s="15"/>
      <c r="J40" s="15"/>
      <c r="K40" s="15"/>
      <c r="L40" s="15"/>
      <c r="M40" s="15"/>
      <c r="N40" s="15"/>
      <c r="O40" s="15"/>
      <c r="P40" s="15"/>
      <c r="Q40" s="15"/>
      <c r="R40" s="15"/>
    </row>
    <row r="41" spans="1:18" x14ac:dyDescent="0.3">
      <c r="A41" s="15"/>
      <c r="B41" s="15"/>
      <c r="C41" s="15"/>
      <c r="D41" s="15"/>
      <c r="E41" s="15"/>
      <c r="F41" s="15"/>
      <c r="G41" s="15"/>
      <c r="H41" s="15"/>
      <c r="I41" s="15"/>
      <c r="J41" s="15"/>
      <c r="K41" s="15"/>
      <c r="L41" s="15"/>
      <c r="M41" s="15"/>
      <c r="N41" s="15"/>
      <c r="O41" s="15"/>
      <c r="P41" s="15"/>
      <c r="Q41" s="15"/>
      <c r="R41" s="15"/>
    </row>
    <row r="42" spans="1:18" x14ac:dyDescent="0.3">
      <c r="A42" s="15"/>
      <c r="B42" s="15"/>
      <c r="C42" s="15"/>
      <c r="D42" s="15"/>
      <c r="E42" s="15"/>
      <c r="F42" s="15"/>
      <c r="G42" s="15"/>
      <c r="H42" s="15"/>
      <c r="I42" s="15"/>
      <c r="J42" s="15"/>
      <c r="K42" s="15"/>
      <c r="L42" s="15"/>
      <c r="M42" s="15"/>
      <c r="N42" s="15"/>
      <c r="O42" s="15"/>
      <c r="P42" s="15"/>
      <c r="Q42" s="15"/>
      <c r="R42" s="15"/>
    </row>
    <row r="43" spans="1:18" x14ac:dyDescent="0.3">
      <c r="A43" s="15"/>
      <c r="B43" s="15"/>
      <c r="C43" s="15"/>
      <c r="D43" s="15"/>
      <c r="E43" s="15"/>
      <c r="F43" s="15"/>
      <c r="G43" s="15"/>
      <c r="H43" s="15"/>
      <c r="I43" s="15"/>
      <c r="J43" s="15"/>
      <c r="K43" s="15"/>
      <c r="L43" s="15"/>
      <c r="M43" s="15"/>
      <c r="N43" s="15"/>
      <c r="O43" s="15"/>
      <c r="P43" s="15"/>
      <c r="Q43" s="15"/>
      <c r="R43" s="15"/>
    </row>
    <row r="44" spans="1:18" x14ac:dyDescent="0.3">
      <c r="A44" s="15"/>
      <c r="B44" s="15"/>
      <c r="C44" s="15"/>
      <c r="D44" s="15"/>
      <c r="E44" s="15"/>
      <c r="F44" s="15"/>
      <c r="G44" s="15"/>
      <c r="H44" s="15"/>
      <c r="I44" s="15"/>
      <c r="J44" s="15"/>
      <c r="K44" s="15"/>
      <c r="L44" s="15"/>
      <c r="M44" s="15"/>
      <c r="N44" s="15"/>
      <c r="O44" s="15"/>
      <c r="P44" s="15"/>
      <c r="Q44" s="15"/>
      <c r="R44" s="15"/>
    </row>
    <row r="45" spans="1:18" x14ac:dyDescent="0.3">
      <c r="A45" s="15"/>
      <c r="B45" s="15"/>
      <c r="C45" s="15"/>
      <c r="D45" s="15"/>
      <c r="E45" s="15"/>
      <c r="F45" s="15"/>
      <c r="G45" s="15"/>
      <c r="H45" s="15"/>
      <c r="I45" s="15"/>
      <c r="J45" s="15"/>
      <c r="K45" s="15"/>
      <c r="L45" s="15"/>
      <c r="M45" s="15"/>
      <c r="N45" s="15"/>
      <c r="O45" s="15"/>
      <c r="P45" s="15"/>
      <c r="Q45" s="15"/>
      <c r="R45" s="15"/>
    </row>
    <row r="46" spans="1:18" x14ac:dyDescent="0.3">
      <c r="A46" s="15"/>
      <c r="B46" s="15"/>
      <c r="C46" s="15"/>
      <c r="D46" s="15"/>
      <c r="E46" s="15"/>
      <c r="F46" s="15"/>
      <c r="G46" s="15"/>
      <c r="H46" s="15"/>
      <c r="I46" s="15"/>
      <c r="J46" s="15"/>
      <c r="K46" s="15"/>
      <c r="L46" s="15"/>
      <c r="M46" s="15"/>
      <c r="N46" s="15"/>
      <c r="O46" s="15"/>
      <c r="P46" s="15"/>
      <c r="Q46" s="15"/>
      <c r="R46" s="15"/>
    </row>
    <row r="47" spans="1:18" x14ac:dyDescent="0.3">
      <c r="A47" s="15"/>
      <c r="B47" s="15"/>
      <c r="C47" s="15"/>
      <c r="D47" s="15"/>
      <c r="E47" s="15"/>
      <c r="F47" s="15"/>
      <c r="G47" s="15"/>
      <c r="H47" s="15"/>
      <c r="I47" s="15"/>
      <c r="J47" s="15"/>
      <c r="K47" s="15"/>
      <c r="L47" s="15"/>
      <c r="M47" s="15"/>
      <c r="N47" s="15"/>
      <c r="O47" s="15"/>
      <c r="P47" s="15"/>
      <c r="Q47" s="15"/>
      <c r="R47" s="15"/>
    </row>
    <row r="48" spans="1:18" x14ac:dyDescent="0.3">
      <c r="A48" s="15"/>
      <c r="B48" s="15"/>
      <c r="C48" s="15"/>
      <c r="D48" s="15"/>
      <c r="E48" s="15"/>
      <c r="F48" s="15"/>
      <c r="G48" s="15"/>
      <c r="H48" s="15"/>
      <c r="I48" s="15"/>
      <c r="J48" s="15"/>
      <c r="K48" s="15"/>
      <c r="L48" s="15"/>
      <c r="M48" s="15"/>
      <c r="N48" s="15"/>
      <c r="O48" s="15"/>
      <c r="P48" s="15"/>
      <c r="Q48" s="15"/>
      <c r="R48" s="15"/>
    </row>
    <row r="49" spans="1:18" x14ac:dyDescent="0.3">
      <c r="A49" s="15"/>
      <c r="B49" s="15"/>
      <c r="C49" s="15"/>
      <c r="D49" s="15"/>
      <c r="E49" s="15"/>
      <c r="F49" s="15"/>
      <c r="G49" s="15"/>
      <c r="H49" s="15"/>
      <c r="I49" s="15"/>
      <c r="J49" s="15"/>
      <c r="K49" s="15"/>
      <c r="L49" s="15"/>
      <c r="M49" s="15"/>
      <c r="N49" s="15"/>
      <c r="O49" s="15"/>
      <c r="P49" s="15"/>
      <c r="Q49" s="15"/>
      <c r="R49" s="15"/>
    </row>
    <row r="50" spans="1:18" x14ac:dyDescent="0.3">
      <c r="A50" s="15"/>
      <c r="B50" s="15"/>
      <c r="C50" s="15"/>
      <c r="D50" s="15"/>
      <c r="E50" s="15"/>
      <c r="F50" s="15"/>
      <c r="G50" s="15"/>
      <c r="H50" s="15"/>
      <c r="I50" s="15"/>
      <c r="J50" s="15"/>
      <c r="K50" s="15"/>
      <c r="L50" s="15"/>
      <c r="M50" s="15"/>
      <c r="N50" s="15"/>
      <c r="O50" s="15"/>
      <c r="P50" s="15"/>
      <c r="Q50" s="15"/>
      <c r="R50" s="15"/>
    </row>
    <row r="51" spans="1:18" x14ac:dyDescent="0.3">
      <c r="A51" s="15"/>
      <c r="B51" s="15"/>
      <c r="C51" s="15"/>
      <c r="D51" s="15"/>
      <c r="E51" s="15"/>
      <c r="F51" s="15"/>
      <c r="G51" s="15"/>
      <c r="H51" s="15"/>
      <c r="I51" s="15"/>
      <c r="J51" s="15"/>
      <c r="K51" s="15"/>
      <c r="L51" s="15"/>
      <c r="M51" s="15"/>
      <c r="N51" s="15"/>
      <c r="O51" s="15"/>
      <c r="P51" s="15"/>
      <c r="Q51" s="15"/>
      <c r="R51" s="15"/>
    </row>
    <row r="52" spans="1:18" x14ac:dyDescent="0.3">
      <c r="A52" s="15"/>
      <c r="B52" s="15"/>
      <c r="C52" s="15"/>
      <c r="D52" s="15"/>
      <c r="E52" s="15"/>
      <c r="F52" s="15"/>
      <c r="G52" s="15"/>
      <c r="H52" s="15"/>
      <c r="I52" s="15"/>
      <c r="J52" s="15"/>
      <c r="K52" s="15"/>
      <c r="L52" s="15"/>
      <c r="M52" s="15"/>
      <c r="N52" s="15"/>
      <c r="O52" s="15"/>
      <c r="P52" s="15"/>
      <c r="Q52" s="15"/>
      <c r="R52" s="15"/>
    </row>
    <row r="53" spans="1:18" x14ac:dyDescent="0.3">
      <c r="A53" s="15"/>
      <c r="B53" s="15"/>
      <c r="C53" s="15"/>
      <c r="D53" s="15"/>
      <c r="E53" s="15"/>
      <c r="F53" s="15"/>
      <c r="G53" s="15"/>
      <c r="H53" s="15"/>
      <c r="I53" s="15"/>
      <c r="J53" s="15"/>
      <c r="K53" s="15"/>
      <c r="L53" s="15"/>
      <c r="M53" s="15"/>
      <c r="N53" s="15"/>
      <c r="O53" s="15"/>
      <c r="P53" s="15"/>
      <c r="Q53" s="15"/>
      <c r="R53" s="15"/>
    </row>
    <row r="54" spans="1:18" x14ac:dyDescent="0.3">
      <c r="A54" s="15"/>
      <c r="B54" s="15"/>
      <c r="C54" s="15"/>
      <c r="D54" s="15"/>
      <c r="E54" s="15"/>
      <c r="F54" s="15"/>
      <c r="G54" s="15"/>
      <c r="H54" s="15"/>
      <c r="I54" s="15"/>
      <c r="J54" s="15"/>
      <c r="K54" s="15"/>
      <c r="L54" s="15"/>
      <c r="M54" s="15"/>
      <c r="N54" s="15"/>
      <c r="O54" s="15"/>
      <c r="P54" s="15"/>
      <c r="Q54" s="15"/>
      <c r="R54" s="15"/>
    </row>
    <row r="55" spans="1:18" x14ac:dyDescent="0.3">
      <c r="A55" s="15"/>
      <c r="B55" s="15"/>
      <c r="C55" s="15"/>
      <c r="D55" s="15"/>
      <c r="E55" s="15"/>
      <c r="F55" s="15"/>
      <c r="G55" s="15"/>
      <c r="H55" s="15"/>
      <c r="I55" s="15"/>
      <c r="J55" s="15"/>
      <c r="K55" s="15"/>
      <c r="L55" s="15"/>
      <c r="M55" s="15"/>
      <c r="N55" s="15"/>
      <c r="O55" s="15"/>
      <c r="P55" s="15"/>
      <c r="Q55" s="15"/>
      <c r="R55" s="15"/>
    </row>
    <row r="56" spans="1:18" x14ac:dyDescent="0.3">
      <c r="A56" s="15"/>
      <c r="B56" s="15"/>
      <c r="C56" s="15"/>
      <c r="D56" s="15"/>
      <c r="E56" s="15"/>
      <c r="F56" s="15"/>
      <c r="G56" s="15"/>
      <c r="H56" s="15"/>
      <c r="I56" s="15"/>
      <c r="J56" s="15"/>
      <c r="K56" s="15"/>
      <c r="L56" s="15"/>
      <c r="M56" s="15"/>
      <c r="N56" s="15"/>
      <c r="O56" s="15"/>
      <c r="P56" s="15"/>
      <c r="Q56" s="15"/>
      <c r="R56" s="15"/>
    </row>
    <row r="57" spans="1:18" x14ac:dyDescent="0.3">
      <c r="A57" s="15"/>
      <c r="B57" s="15"/>
      <c r="C57" s="15"/>
      <c r="D57" s="15"/>
      <c r="E57" s="15"/>
      <c r="F57" s="15"/>
      <c r="G57" s="15"/>
      <c r="H57" s="15"/>
      <c r="I57" s="15"/>
      <c r="J57" s="15"/>
      <c r="K57" s="15"/>
      <c r="L57" s="15"/>
      <c r="M57" s="15"/>
      <c r="N57" s="15"/>
      <c r="O57" s="15"/>
      <c r="P57" s="15"/>
      <c r="Q57" s="15"/>
      <c r="R57" s="15"/>
    </row>
    <row r="58" spans="1:18" x14ac:dyDescent="0.3">
      <c r="A58" s="15"/>
      <c r="B58" s="15"/>
      <c r="C58" s="15"/>
      <c r="D58" s="15"/>
      <c r="E58" s="15"/>
      <c r="F58" s="15"/>
      <c r="G58" s="15"/>
      <c r="H58" s="15"/>
      <c r="I58" s="15"/>
      <c r="J58" s="15"/>
      <c r="K58" s="15"/>
      <c r="L58" s="15"/>
      <c r="M58" s="15"/>
      <c r="N58" s="15"/>
      <c r="O58" s="15"/>
      <c r="P58" s="15"/>
      <c r="Q58" s="15"/>
      <c r="R58" s="15"/>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A1:K104"/>
  <sheetViews>
    <sheetView zoomScale="85" zoomScaleNormal="85" workbookViewId="0">
      <selection activeCell="G127" sqref="G127:G130"/>
    </sheetView>
  </sheetViews>
  <sheetFormatPr defaultRowHeight="15.6" x14ac:dyDescent="0.3"/>
  <cols>
    <col min="1" max="1" width="28.109375" style="127" bestFit="1" customWidth="1"/>
    <col min="2" max="2" width="20.109375" style="126" customWidth="1"/>
    <col min="3" max="3" width="12.6640625" style="126" customWidth="1"/>
    <col min="4" max="4" width="15.88671875" style="126" customWidth="1"/>
    <col min="5" max="5" width="13.5546875" style="126" customWidth="1"/>
    <col min="6" max="6" width="19" style="126" customWidth="1"/>
    <col min="7" max="7" width="20.109375" style="126" customWidth="1"/>
    <col min="8" max="8" width="37.109375" style="126" customWidth="1"/>
    <col min="9" max="9" width="13.33203125" style="126" customWidth="1"/>
    <col min="10" max="10" width="31.88671875" style="126" customWidth="1"/>
    <col min="11" max="11" width="54.44140625" style="126" customWidth="1"/>
    <col min="12" max="256" width="12.5546875" style="126" customWidth="1"/>
    <col min="257" max="257" width="28.109375" style="126" bestFit="1" customWidth="1"/>
    <col min="258" max="258" width="20.109375" style="126" customWidth="1"/>
    <col min="259" max="259" width="12.6640625" style="126" customWidth="1"/>
    <col min="260" max="260" width="15.88671875" style="126" customWidth="1"/>
    <col min="261" max="261" width="13.5546875" style="126" customWidth="1"/>
    <col min="262" max="262" width="19" style="126" customWidth="1"/>
    <col min="263" max="263" width="20.109375" style="126" customWidth="1"/>
    <col min="264" max="264" width="37.109375" style="126" customWidth="1"/>
    <col min="265" max="265" width="13.33203125" style="126" customWidth="1"/>
    <col min="266" max="266" width="31.88671875" style="126" customWidth="1"/>
    <col min="267" max="267" width="54.44140625" style="126" customWidth="1"/>
    <col min="268" max="512" width="12.5546875" style="126" customWidth="1"/>
    <col min="513" max="513" width="28.109375" style="126" bestFit="1" customWidth="1"/>
    <col min="514" max="514" width="20.109375" style="126" customWidth="1"/>
    <col min="515" max="515" width="12.6640625" style="126" customWidth="1"/>
    <col min="516" max="516" width="15.88671875" style="126" customWidth="1"/>
    <col min="517" max="517" width="13.5546875" style="126" customWidth="1"/>
    <col min="518" max="518" width="19" style="126" customWidth="1"/>
    <col min="519" max="519" width="20.109375" style="126" customWidth="1"/>
    <col min="520" max="520" width="37.109375" style="126" customWidth="1"/>
    <col min="521" max="521" width="13.33203125" style="126" customWidth="1"/>
    <col min="522" max="522" width="31.88671875" style="126" customWidth="1"/>
    <col min="523" max="523" width="54.44140625" style="126" customWidth="1"/>
    <col min="524" max="768" width="12.5546875" style="126" customWidth="1"/>
    <col min="769" max="769" width="28.109375" style="126" bestFit="1" customWidth="1"/>
    <col min="770" max="770" width="20.109375" style="126" customWidth="1"/>
    <col min="771" max="771" width="12.6640625" style="126" customWidth="1"/>
    <col min="772" max="772" width="15.88671875" style="126" customWidth="1"/>
    <col min="773" max="773" width="13.5546875" style="126" customWidth="1"/>
    <col min="774" max="774" width="19" style="126" customWidth="1"/>
    <col min="775" max="775" width="20.109375" style="126" customWidth="1"/>
    <col min="776" max="776" width="37.109375" style="126" customWidth="1"/>
    <col min="777" max="777" width="13.33203125" style="126" customWidth="1"/>
    <col min="778" max="778" width="31.88671875" style="126" customWidth="1"/>
    <col min="779" max="779" width="54.44140625" style="126" customWidth="1"/>
    <col min="780" max="1024" width="12.5546875" style="126" customWidth="1"/>
    <col min="1025" max="1025" width="28.109375" style="126" bestFit="1" customWidth="1"/>
    <col min="1026" max="1026" width="20.109375" style="126" customWidth="1"/>
    <col min="1027" max="1027" width="12.6640625" style="126" customWidth="1"/>
    <col min="1028" max="1028" width="15.88671875" style="126" customWidth="1"/>
    <col min="1029" max="1029" width="13.5546875" style="126" customWidth="1"/>
    <col min="1030" max="1030" width="19" style="126" customWidth="1"/>
    <col min="1031" max="1031" width="20.109375" style="126" customWidth="1"/>
    <col min="1032" max="1032" width="37.109375" style="126" customWidth="1"/>
    <col min="1033" max="1033" width="13.33203125" style="126" customWidth="1"/>
    <col min="1034" max="1034" width="31.88671875" style="126" customWidth="1"/>
    <col min="1035" max="1035" width="54.44140625" style="126" customWidth="1"/>
    <col min="1036" max="1280" width="12.5546875" style="126" customWidth="1"/>
    <col min="1281" max="1281" width="28.109375" style="126" bestFit="1" customWidth="1"/>
    <col min="1282" max="1282" width="20.109375" style="126" customWidth="1"/>
    <col min="1283" max="1283" width="12.6640625" style="126" customWidth="1"/>
    <col min="1284" max="1284" width="15.88671875" style="126" customWidth="1"/>
    <col min="1285" max="1285" width="13.5546875" style="126" customWidth="1"/>
    <col min="1286" max="1286" width="19" style="126" customWidth="1"/>
    <col min="1287" max="1287" width="20.109375" style="126" customWidth="1"/>
    <col min="1288" max="1288" width="37.109375" style="126" customWidth="1"/>
    <col min="1289" max="1289" width="13.33203125" style="126" customWidth="1"/>
    <col min="1290" max="1290" width="31.88671875" style="126" customWidth="1"/>
    <col min="1291" max="1291" width="54.44140625" style="126" customWidth="1"/>
    <col min="1292" max="1536" width="12.5546875" style="126" customWidth="1"/>
    <col min="1537" max="1537" width="28.109375" style="126" bestFit="1" customWidth="1"/>
    <col min="1538" max="1538" width="20.109375" style="126" customWidth="1"/>
    <col min="1539" max="1539" width="12.6640625" style="126" customWidth="1"/>
    <col min="1540" max="1540" width="15.88671875" style="126" customWidth="1"/>
    <col min="1541" max="1541" width="13.5546875" style="126" customWidth="1"/>
    <col min="1542" max="1542" width="19" style="126" customWidth="1"/>
    <col min="1543" max="1543" width="20.109375" style="126" customWidth="1"/>
    <col min="1544" max="1544" width="37.109375" style="126" customWidth="1"/>
    <col min="1545" max="1545" width="13.33203125" style="126" customWidth="1"/>
    <col min="1546" max="1546" width="31.88671875" style="126" customWidth="1"/>
    <col min="1547" max="1547" width="54.44140625" style="126" customWidth="1"/>
    <col min="1548" max="1792" width="12.5546875" style="126" customWidth="1"/>
    <col min="1793" max="1793" width="28.109375" style="126" bestFit="1" customWidth="1"/>
    <col min="1794" max="1794" width="20.109375" style="126" customWidth="1"/>
    <col min="1795" max="1795" width="12.6640625" style="126" customWidth="1"/>
    <col min="1796" max="1796" width="15.88671875" style="126" customWidth="1"/>
    <col min="1797" max="1797" width="13.5546875" style="126" customWidth="1"/>
    <col min="1798" max="1798" width="19" style="126" customWidth="1"/>
    <col min="1799" max="1799" width="20.109375" style="126" customWidth="1"/>
    <col min="1800" max="1800" width="37.109375" style="126" customWidth="1"/>
    <col min="1801" max="1801" width="13.33203125" style="126" customWidth="1"/>
    <col min="1802" max="1802" width="31.88671875" style="126" customWidth="1"/>
    <col min="1803" max="1803" width="54.44140625" style="126" customWidth="1"/>
    <col min="1804" max="2048" width="12.5546875" style="126" customWidth="1"/>
    <col min="2049" max="2049" width="28.109375" style="126" bestFit="1" customWidth="1"/>
    <col min="2050" max="2050" width="20.109375" style="126" customWidth="1"/>
    <col min="2051" max="2051" width="12.6640625" style="126" customWidth="1"/>
    <col min="2052" max="2052" width="15.88671875" style="126" customWidth="1"/>
    <col min="2053" max="2053" width="13.5546875" style="126" customWidth="1"/>
    <col min="2054" max="2054" width="19" style="126" customWidth="1"/>
    <col min="2055" max="2055" width="20.109375" style="126" customWidth="1"/>
    <col min="2056" max="2056" width="37.109375" style="126" customWidth="1"/>
    <col min="2057" max="2057" width="13.33203125" style="126" customWidth="1"/>
    <col min="2058" max="2058" width="31.88671875" style="126" customWidth="1"/>
    <col min="2059" max="2059" width="54.44140625" style="126" customWidth="1"/>
    <col min="2060" max="2304" width="12.5546875" style="126" customWidth="1"/>
    <col min="2305" max="2305" width="28.109375" style="126" bestFit="1" customWidth="1"/>
    <col min="2306" max="2306" width="20.109375" style="126" customWidth="1"/>
    <col min="2307" max="2307" width="12.6640625" style="126" customWidth="1"/>
    <col min="2308" max="2308" width="15.88671875" style="126" customWidth="1"/>
    <col min="2309" max="2309" width="13.5546875" style="126" customWidth="1"/>
    <col min="2310" max="2310" width="19" style="126" customWidth="1"/>
    <col min="2311" max="2311" width="20.109375" style="126" customWidth="1"/>
    <col min="2312" max="2312" width="37.109375" style="126" customWidth="1"/>
    <col min="2313" max="2313" width="13.33203125" style="126" customWidth="1"/>
    <col min="2314" max="2314" width="31.88671875" style="126" customWidth="1"/>
    <col min="2315" max="2315" width="54.44140625" style="126" customWidth="1"/>
    <col min="2316" max="2560" width="12.5546875" style="126" customWidth="1"/>
    <col min="2561" max="2561" width="28.109375" style="126" bestFit="1" customWidth="1"/>
    <col min="2562" max="2562" width="20.109375" style="126" customWidth="1"/>
    <col min="2563" max="2563" width="12.6640625" style="126" customWidth="1"/>
    <col min="2564" max="2564" width="15.88671875" style="126" customWidth="1"/>
    <col min="2565" max="2565" width="13.5546875" style="126" customWidth="1"/>
    <col min="2566" max="2566" width="19" style="126" customWidth="1"/>
    <col min="2567" max="2567" width="20.109375" style="126" customWidth="1"/>
    <col min="2568" max="2568" width="37.109375" style="126" customWidth="1"/>
    <col min="2569" max="2569" width="13.33203125" style="126" customWidth="1"/>
    <col min="2570" max="2570" width="31.88671875" style="126" customWidth="1"/>
    <col min="2571" max="2571" width="54.44140625" style="126" customWidth="1"/>
    <col min="2572" max="2816" width="12.5546875" style="126" customWidth="1"/>
    <col min="2817" max="2817" width="28.109375" style="126" bestFit="1" customWidth="1"/>
    <col min="2818" max="2818" width="20.109375" style="126" customWidth="1"/>
    <col min="2819" max="2819" width="12.6640625" style="126" customWidth="1"/>
    <col min="2820" max="2820" width="15.88671875" style="126" customWidth="1"/>
    <col min="2821" max="2821" width="13.5546875" style="126" customWidth="1"/>
    <col min="2822" max="2822" width="19" style="126" customWidth="1"/>
    <col min="2823" max="2823" width="20.109375" style="126" customWidth="1"/>
    <col min="2824" max="2824" width="37.109375" style="126" customWidth="1"/>
    <col min="2825" max="2825" width="13.33203125" style="126" customWidth="1"/>
    <col min="2826" max="2826" width="31.88671875" style="126" customWidth="1"/>
    <col min="2827" max="2827" width="54.44140625" style="126" customWidth="1"/>
    <col min="2828" max="3072" width="12.5546875" style="126" customWidth="1"/>
    <col min="3073" max="3073" width="28.109375" style="126" bestFit="1" customWidth="1"/>
    <col min="3074" max="3074" width="20.109375" style="126" customWidth="1"/>
    <col min="3075" max="3075" width="12.6640625" style="126" customWidth="1"/>
    <col min="3076" max="3076" width="15.88671875" style="126" customWidth="1"/>
    <col min="3077" max="3077" width="13.5546875" style="126" customWidth="1"/>
    <col min="3078" max="3078" width="19" style="126" customWidth="1"/>
    <col min="3079" max="3079" width="20.109375" style="126" customWidth="1"/>
    <col min="3080" max="3080" width="37.109375" style="126" customWidth="1"/>
    <col min="3081" max="3081" width="13.33203125" style="126" customWidth="1"/>
    <col min="3082" max="3082" width="31.88671875" style="126" customWidth="1"/>
    <col min="3083" max="3083" width="54.44140625" style="126" customWidth="1"/>
    <col min="3084" max="3328" width="12.5546875" style="126" customWidth="1"/>
    <col min="3329" max="3329" width="28.109375" style="126" bestFit="1" customWidth="1"/>
    <col min="3330" max="3330" width="20.109375" style="126" customWidth="1"/>
    <col min="3331" max="3331" width="12.6640625" style="126" customWidth="1"/>
    <col min="3332" max="3332" width="15.88671875" style="126" customWidth="1"/>
    <col min="3333" max="3333" width="13.5546875" style="126" customWidth="1"/>
    <col min="3334" max="3334" width="19" style="126" customWidth="1"/>
    <col min="3335" max="3335" width="20.109375" style="126" customWidth="1"/>
    <col min="3336" max="3336" width="37.109375" style="126" customWidth="1"/>
    <col min="3337" max="3337" width="13.33203125" style="126" customWidth="1"/>
    <col min="3338" max="3338" width="31.88671875" style="126" customWidth="1"/>
    <col min="3339" max="3339" width="54.44140625" style="126" customWidth="1"/>
    <col min="3340" max="3584" width="12.5546875" style="126" customWidth="1"/>
    <col min="3585" max="3585" width="28.109375" style="126" bestFit="1" customWidth="1"/>
    <col min="3586" max="3586" width="20.109375" style="126" customWidth="1"/>
    <col min="3587" max="3587" width="12.6640625" style="126" customWidth="1"/>
    <col min="3588" max="3588" width="15.88671875" style="126" customWidth="1"/>
    <col min="3589" max="3589" width="13.5546875" style="126" customWidth="1"/>
    <col min="3590" max="3590" width="19" style="126" customWidth="1"/>
    <col min="3591" max="3591" width="20.109375" style="126" customWidth="1"/>
    <col min="3592" max="3592" width="37.109375" style="126" customWidth="1"/>
    <col min="3593" max="3593" width="13.33203125" style="126" customWidth="1"/>
    <col min="3594" max="3594" width="31.88671875" style="126" customWidth="1"/>
    <col min="3595" max="3595" width="54.44140625" style="126" customWidth="1"/>
    <col min="3596" max="3840" width="12.5546875" style="126" customWidth="1"/>
    <col min="3841" max="3841" width="28.109375" style="126" bestFit="1" customWidth="1"/>
    <col min="3842" max="3842" width="20.109375" style="126" customWidth="1"/>
    <col min="3843" max="3843" width="12.6640625" style="126" customWidth="1"/>
    <col min="3844" max="3844" width="15.88671875" style="126" customWidth="1"/>
    <col min="3845" max="3845" width="13.5546875" style="126" customWidth="1"/>
    <col min="3846" max="3846" width="19" style="126" customWidth="1"/>
    <col min="3847" max="3847" width="20.109375" style="126" customWidth="1"/>
    <col min="3848" max="3848" width="37.109375" style="126" customWidth="1"/>
    <col min="3849" max="3849" width="13.33203125" style="126" customWidth="1"/>
    <col min="3850" max="3850" width="31.88671875" style="126" customWidth="1"/>
    <col min="3851" max="3851" width="54.44140625" style="126" customWidth="1"/>
    <col min="3852" max="4096" width="12.5546875" style="126" customWidth="1"/>
    <col min="4097" max="4097" width="28.109375" style="126" bestFit="1" customWidth="1"/>
    <col min="4098" max="4098" width="20.109375" style="126" customWidth="1"/>
    <col min="4099" max="4099" width="12.6640625" style="126" customWidth="1"/>
    <col min="4100" max="4100" width="15.88671875" style="126" customWidth="1"/>
    <col min="4101" max="4101" width="13.5546875" style="126" customWidth="1"/>
    <col min="4102" max="4102" width="19" style="126" customWidth="1"/>
    <col min="4103" max="4103" width="20.109375" style="126" customWidth="1"/>
    <col min="4104" max="4104" width="37.109375" style="126" customWidth="1"/>
    <col min="4105" max="4105" width="13.33203125" style="126" customWidth="1"/>
    <col min="4106" max="4106" width="31.88671875" style="126" customWidth="1"/>
    <col min="4107" max="4107" width="54.44140625" style="126" customWidth="1"/>
    <col min="4108" max="4352" width="12.5546875" style="126" customWidth="1"/>
    <col min="4353" max="4353" width="28.109375" style="126" bestFit="1" customWidth="1"/>
    <col min="4354" max="4354" width="20.109375" style="126" customWidth="1"/>
    <col min="4355" max="4355" width="12.6640625" style="126" customWidth="1"/>
    <col min="4356" max="4356" width="15.88671875" style="126" customWidth="1"/>
    <col min="4357" max="4357" width="13.5546875" style="126" customWidth="1"/>
    <col min="4358" max="4358" width="19" style="126" customWidth="1"/>
    <col min="4359" max="4359" width="20.109375" style="126" customWidth="1"/>
    <col min="4360" max="4360" width="37.109375" style="126" customWidth="1"/>
    <col min="4361" max="4361" width="13.33203125" style="126" customWidth="1"/>
    <col min="4362" max="4362" width="31.88671875" style="126" customWidth="1"/>
    <col min="4363" max="4363" width="54.44140625" style="126" customWidth="1"/>
    <col min="4364" max="4608" width="12.5546875" style="126" customWidth="1"/>
    <col min="4609" max="4609" width="28.109375" style="126" bestFit="1" customWidth="1"/>
    <col min="4610" max="4610" width="20.109375" style="126" customWidth="1"/>
    <col min="4611" max="4611" width="12.6640625" style="126" customWidth="1"/>
    <col min="4612" max="4612" width="15.88671875" style="126" customWidth="1"/>
    <col min="4613" max="4613" width="13.5546875" style="126" customWidth="1"/>
    <col min="4614" max="4614" width="19" style="126" customWidth="1"/>
    <col min="4615" max="4615" width="20.109375" style="126" customWidth="1"/>
    <col min="4616" max="4616" width="37.109375" style="126" customWidth="1"/>
    <col min="4617" max="4617" width="13.33203125" style="126" customWidth="1"/>
    <col min="4618" max="4618" width="31.88671875" style="126" customWidth="1"/>
    <col min="4619" max="4619" width="54.44140625" style="126" customWidth="1"/>
    <col min="4620" max="4864" width="12.5546875" style="126" customWidth="1"/>
    <col min="4865" max="4865" width="28.109375" style="126" bestFit="1" customWidth="1"/>
    <col min="4866" max="4866" width="20.109375" style="126" customWidth="1"/>
    <col min="4867" max="4867" width="12.6640625" style="126" customWidth="1"/>
    <col min="4868" max="4868" width="15.88671875" style="126" customWidth="1"/>
    <col min="4869" max="4869" width="13.5546875" style="126" customWidth="1"/>
    <col min="4870" max="4870" width="19" style="126" customWidth="1"/>
    <col min="4871" max="4871" width="20.109375" style="126" customWidth="1"/>
    <col min="4872" max="4872" width="37.109375" style="126" customWidth="1"/>
    <col min="4873" max="4873" width="13.33203125" style="126" customWidth="1"/>
    <col min="4874" max="4874" width="31.88671875" style="126" customWidth="1"/>
    <col min="4875" max="4875" width="54.44140625" style="126" customWidth="1"/>
    <col min="4876" max="5120" width="12.5546875" style="126" customWidth="1"/>
    <col min="5121" max="5121" width="28.109375" style="126" bestFit="1" customWidth="1"/>
    <col min="5122" max="5122" width="20.109375" style="126" customWidth="1"/>
    <col min="5123" max="5123" width="12.6640625" style="126" customWidth="1"/>
    <col min="5124" max="5124" width="15.88671875" style="126" customWidth="1"/>
    <col min="5125" max="5125" width="13.5546875" style="126" customWidth="1"/>
    <col min="5126" max="5126" width="19" style="126" customWidth="1"/>
    <col min="5127" max="5127" width="20.109375" style="126" customWidth="1"/>
    <col min="5128" max="5128" width="37.109375" style="126" customWidth="1"/>
    <col min="5129" max="5129" width="13.33203125" style="126" customWidth="1"/>
    <col min="5130" max="5130" width="31.88671875" style="126" customWidth="1"/>
    <col min="5131" max="5131" width="54.44140625" style="126" customWidth="1"/>
    <col min="5132" max="5376" width="12.5546875" style="126" customWidth="1"/>
    <col min="5377" max="5377" width="28.109375" style="126" bestFit="1" customWidth="1"/>
    <col min="5378" max="5378" width="20.109375" style="126" customWidth="1"/>
    <col min="5379" max="5379" width="12.6640625" style="126" customWidth="1"/>
    <col min="5380" max="5380" width="15.88671875" style="126" customWidth="1"/>
    <col min="5381" max="5381" width="13.5546875" style="126" customWidth="1"/>
    <col min="5382" max="5382" width="19" style="126" customWidth="1"/>
    <col min="5383" max="5383" width="20.109375" style="126" customWidth="1"/>
    <col min="5384" max="5384" width="37.109375" style="126" customWidth="1"/>
    <col min="5385" max="5385" width="13.33203125" style="126" customWidth="1"/>
    <col min="5386" max="5386" width="31.88671875" style="126" customWidth="1"/>
    <col min="5387" max="5387" width="54.44140625" style="126" customWidth="1"/>
    <col min="5388" max="5632" width="12.5546875" style="126" customWidth="1"/>
    <col min="5633" max="5633" width="28.109375" style="126" bestFit="1" customWidth="1"/>
    <col min="5634" max="5634" width="20.109375" style="126" customWidth="1"/>
    <col min="5635" max="5635" width="12.6640625" style="126" customWidth="1"/>
    <col min="5636" max="5636" width="15.88671875" style="126" customWidth="1"/>
    <col min="5637" max="5637" width="13.5546875" style="126" customWidth="1"/>
    <col min="5638" max="5638" width="19" style="126" customWidth="1"/>
    <col min="5639" max="5639" width="20.109375" style="126" customWidth="1"/>
    <col min="5640" max="5640" width="37.109375" style="126" customWidth="1"/>
    <col min="5641" max="5641" width="13.33203125" style="126" customWidth="1"/>
    <col min="5642" max="5642" width="31.88671875" style="126" customWidth="1"/>
    <col min="5643" max="5643" width="54.44140625" style="126" customWidth="1"/>
    <col min="5644" max="5888" width="12.5546875" style="126" customWidth="1"/>
    <col min="5889" max="5889" width="28.109375" style="126" bestFit="1" customWidth="1"/>
    <col min="5890" max="5890" width="20.109375" style="126" customWidth="1"/>
    <col min="5891" max="5891" width="12.6640625" style="126" customWidth="1"/>
    <col min="5892" max="5892" width="15.88671875" style="126" customWidth="1"/>
    <col min="5893" max="5893" width="13.5546875" style="126" customWidth="1"/>
    <col min="5894" max="5894" width="19" style="126" customWidth="1"/>
    <col min="5895" max="5895" width="20.109375" style="126" customWidth="1"/>
    <col min="5896" max="5896" width="37.109375" style="126" customWidth="1"/>
    <col min="5897" max="5897" width="13.33203125" style="126" customWidth="1"/>
    <col min="5898" max="5898" width="31.88671875" style="126" customWidth="1"/>
    <col min="5899" max="5899" width="54.44140625" style="126" customWidth="1"/>
    <col min="5900" max="6144" width="12.5546875" style="126" customWidth="1"/>
    <col min="6145" max="6145" width="28.109375" style="126" bestFit="1" customWidth="1"/>
    <col min="6146" max="6146" width="20.109375" style="126" customWidth="1"/>
    <col min="6147" max="6147" width="12.6640625" style="126" customWidth="1"/>
    <col min="6148" max="6148" width="15.88671875" style="126" customWidth="1"/>
    <col min="6149" max="6149" width="13.5546875" style="126" customWidth="1"/>
    <col min="6150" max="6150" width="19" style="126" customWidth="1"/>
    <col min="6151" max="6151" width="20.109375" style="126" customWidth="1"/>
    <col min="6152" max="6152" width="37.109375" style="126" customWidth="1"/>
    <col min="6153" max="6153" width="13.33203125" style="126" customWidth="1"/>
    <col min="6154" max="6154" width="31.88671875" style="126" customWidth="1"/>
    <col min="6155" max="6155" width="54.44140625" style="126" customWidth="1"/>
    <col min="6156" max="6400" width="12.5546875" style="126" customWidth="1"/>
    <col min="6401" max="6401" width="28.109375" style="126" bestFit="1" customWidth="1"/>
    <col min="6402" max="6402" width="20.109375" style="126" customWidth="1"/>
    <col min="6403" max="6403" width="12.6640625" style="126" customWidth="1"/>
    <col min="6404" max="6404" width="15.88671875" style="126" customWidth="1"/>
    <col min="6405" max="6405" width="13.5546875" style="126" customWidth="1"/>
    <col min="6406" max="6406" width="19" style="126" customWidth="1"/>
    <col min="6407" max="6407" width="20.109375" style="126" customWidth="1"/>
    <col min="6408" max="6408" width="37.109375" style="126" customWidth="1"/>
    <col min="6409" max="6409" width="13.33203125" style="126" customWidth="1"/>
    <col min="6410" max="6410" width="31.88671875" style="126" customWidth="1"/>
    <col min="6411" max="6411" width="54.44140625" style="126" customWidth="1"/>
    <col min="6412" max="6656" width="12.5546875" style="126" customWidth="1"/>
    <col min="6657" max="6657" width="28.109375" style="126" bestFit="1" customWidth="1"/>
    <col min="6658" max="6658" width="20.109375" style="126" customWidth="1"/>
    <col min="6659" max="6659" width="12.6640625" style="126" customWidth="1"/>
    <col min="6660" max="6660" width="15.88671875" style="126" customWidth="1"/>
    <col min="6661" max="6661" width="13.5546875" style="126" customWidth="1"/>
    <col min="6662" max="6662" width="19" style="126" customWidth="1"/>
    <col min="6663" max="6663" width="20.109375" style="126" customWidth="1"/>
    <col min="6664" max="6664" width="37.109375" style="126" customWidth="1"/>
    <col min="6665" max="6665" width="13.33203125" style="126" customWidth="1"/>
    <col min="6666" max="6666" width="31.88671875" style="126" customWidth="1"/>
    <col min="6667" max="6667" width="54.44140625" style="126" customWidth="1"/>
    <col min="6668" max="6912" width="12.5546875" style="126" customWidth="1"/>
    <col min="6913" max="6913" width="28.109375" style="126" bestFit="1" customWidth="1"/>
    <col min="6914" max="6914" width="20.109375" style="126" customWidth="1"/>
    <col min="6915" max="6915" width="12.6640625" style="126" customWidth="1"/>
    <col min="6916" max="6916" width="15.88671875" style="126" customWidth="1"/>
    <col min="6917" max="6917" width="13.5546875" style="126" customWidth="1"/>
    <col min="6918" max="6918" width="19" style="126" customWidth="1"/>
    <col min="6919" max="6919" width="20.109375" style="126" customWidth="1"/>
    <col min="6920" max="6920" width="37.109375" style="126" customWidth="1"/>
    <col min="6921" max="6921" width="13.33203125" style="126" customWidth="1"/>
    <col min="6922" max="6922" width="31.88671875" style="126" customWidth="1"/>
    <col min="6923" max="6923" width="54.44140625" style="126" customWidth="1"/>
    <col min="6924" max="7168" width="12.5546875" style="126" customWidth="1"/>
    <col min="7169" max="7169" width="28.109375" style="126" bestFit="1" customWidth="1"/>
    <col min="7170" max="7170" width="20.109375" style="126" customWidth="1"/>
    <col min="7171" max="7171" width="12.6640625" style="126" customWidth="1"/>
    <col min="7172" max="7172" width="15.88671875" style="126" customWidth="1"/>
    <col min="7173" max="7173" width="13.5546875" style="126" customWidth="1"/>
    <col min="7174" max="7174" width="19" style="126" customWidth="1"/>
    <col min="7175" max="7175" width="20.109375" style="126" customWidth="1"/>
    <col min="7176" max="7176" width="37.109375" style="126" customWidth="1"/>
    <col min="7177" max="7177" width="13.33203125" style="126" customWidth="1"/>
    <col min="7178" max="7178" width="31.88671875" style="126" customWidth="1"/>
    <col min="7179" max="7179" width="54.44140625" style="126" customWidth="1"/>
    <col min="7180" max="7424" width="12.5546875" style="126" customWidth="1"/>
    <col min="7425" max="7425" width="28.109375" style="126" bestFit="1" customWidth="1"/>
    <col min="7426" max="7426" width="20.109375" style="126" customWidth="1"/>
    <col min="7427" max="7427" width="12.6640625" style="126" customWidth="1"/>
    <col min="7428" max="7428" width="15.88671875" style="126" customWidth="1"/>
    <col min="7429" max="7429" width="13.5546875" style="126" customWidth="1"/>
    <col min="7430" max="7430" width="19" style="126" customWidth="1"/>
    <col min="7431" max="7431" width="20.109375" style="126" customWidth="1"/>
    <col min="7432" max="7432" width="37.109375" style="126" customWidth="1"/>
    <col min="7433" max="7433" width="13.33203125" style="126" customWidth="1"/>
    <col min="7434" max="7434" width="31.88671875" style="126" customWidth="1"/>
    <col min="7435" max="7435" width="54.44140625" style="126" customWidth="1"/>
    <col min="7436" max="7680" width="12.5546875" style="126" customWidth="1"/>
    <col min="7681" max="7681" width="28.109375" style="126" bestFit="1" customWidth="1"/>
    <col min="7682" max="7682" width="20.109375" style="126" customWidth="1"/>
    <col min="7683" max="7683" width="12.6640625" style="126" customWidth="1"/>
    <col min="7684" max="7684" width="15.88671875" style="126" customWidth="1"/>
    <col min="7685" max="7685" width="13.5546875" style="126" customWidth="1"/>
    <col min="7686" max="7686" width="19" style="126" customWidth="1"/>
    <col min="7687" max="7687" width="20.109375" style="126" customWidth="1"/>
    <col min="7688" max="7688" width="37.109375" style="126" customWidth="1"/>
    <col min="7689" max="7689" width="13.33203125" style="126" customWidth="1"/>
    <col min="7690" max="7690" width="31.88671875" style="126" customWidth="1"/>
    <col min="7691" max="7691" width="54.44140625" style="126" customWidth="1"/>
    <col min="7692" max="7936" width="12.5546875" style="126" customWidth="1"/>
    <col min="7937" max="7937" width="28.109375" style="126" bestFit="1" customWidth="1"/>
    <col min="7938" max="7938" width="20.109375" style="126" customWidth="1"/>
    <col min="7939" max="7939" width="12.6640625" style="126" customWidth="1"/>
    <col min="7940" max="7940" width="15.88671875" style="126" customWidth="1"/>
    <col min="7941" max="7941" width="13.5546875" style="126" customWidth="1"/>
    <col min="7942" max="7942" width="19" style="126" customWidth="1"/>
    <col min="7943" max="7943" width="20.109375" style="126" customWidth="1"/>
    <col min="7944" max="7944" width="37.109375" style="126" customWidth="1"/>
    <col min="7945" max="7945" width="13.33203125" style="126" customWidth="1"/>
    <col min="7946" max="7946" width="31.88671875" style="126" customWidth="1"/>
    <col min="7947" max="7947" width="54.44140625" style="126" customWidth="1"/>
    <col min="7948" max="8192" width="12.5546875" style="126" customWidth="1"/>
    <col min="8193" max="8193" width="28.109375" style="126" bestFit="1" customWidth="1"/>
    <col min="8194" max="8194" width="20.109375" style="126" customWidth="1"/>
    <col min="8195" max="8195" width="12.6640625" style="126" customWidth="1"/>
    <col min="8196" max="8196" width="15.88671875" style="126" customWidth="1"/>
    <col min="8197" max="8197" width="13.5546875" style="126" customWidth="1"/>
    <col min="8198" max="8198" width="19" style="126" customWidth="1"/>
    <col min="8199" max="8199" width="20.109375" style="126" customWidth="1"/>
    <col min="8200" max="8200" width="37.109375" style="126" customWidth="1"/>
    <col min="8201" max="8201" width="13.33203125" style="126" customWidth="1"/>
    <col min="8202" max="8202" width="31.88671875" style="126" customWidth="1"/>
    <col min="8203" max="8203" width="54.44140625" style="126" customWidth="1"/>
    <col min="8204" max="8448" width="12.5546875" style="126" customWidth="1"/>
    <col min="8449" max="8449" width="28.109375" style="126" bestFit="1" customWidth="1"/>
    <col min="8450" max="8450" width="20.109375" style="126" customWidth="1"/>
    <col min="8451" max="8451" width="12.6640625" style="126" customWidth="1"/>
    <col min="8452" max="8452" width="15.88671875" style="126" customWidth="1"/>
    <col min="8453" max="8453" width="13.5546875" style="126" customWidth="1"/>
    <col min="8454" max="8454" width="19" style="126" customWidth="1"/>
    <col min="8455" max="8455" width="20.109375" style="126" customWidth="1"/>
    <col min="8456" max="8456" width="37.109375" style="126" customWidth="1"/>
    <col min="8457" max="8457" width="13.33203125" style="126" customWidth="1"/>
    <col min="8458" max="8458" width="31.88671875" style="126" customWidth="1"/>
    <col min="8459" max="8459" width="54.44140625" style="126" customWidth="1"/>
    <col min="8460" max="8704" width="12.5546875" style="126" customWidth="1"/>
    <col min="8705" max="8705" width="28.109375" style="126" bestFit="1" customWidth="1"/>
    <col min="8706" max="8706" width="20.109375" style="126" customWidth="1"/>
    <col min="8707" max="8707" width="12.6640625" style="126" customWidth="1"/>
    <col min="8708" max="8708" width="15.88671875" style="126" customWidth="1"/>
    <col min="8709" max="8709" width="13.5546875" style="126" customWidth="1"/>
    <col min="8710" max="8710" width="19" style="126" customWidth="1"/>
    <col min="8711" max="8711" width="20.109375" style="126" customWidth="1"/>
    <col min="8712" max="8712" width="37.109375" style="126" customWidth="1"/>
    <col min="8713" max="8713" width="13.33203125" style="126" customWidth="1"/>
    <col min="8714" max="8714" width="31.88671875" style="126" customWidth="1"/>
    <col min="8715" max="8715" width="54.44140625" style="126" customWidth="1"/>
    <col min="8716" max="8960" width="12.5546875" style="126" customWidth="1"/>
    <col min="8961" max="8961" width="28.109375" style="126" bestFit="1" customWidth="1"/>
    <col min="8962" max="8962" width="20.109375" style="126" customWidth="1"/>
    <col min="8963" max="8963" width="12.6640625" style="126" customWidth="1"/>
    <col min="8964" max="8964" width="15.88671875" style="126" customWidth="1"/>
    <col min="8965" max="8965" width="13.5546875" style="126" customWidth="1"/>
    <col min="8966" max="8966" width="19" style="126" customWidth="1"/>
    <col min="8967" max="8967" width="20.109375" style="126" customWidth="1"/>
    <col min="8968" max="8968" width="37.109375" style="126" customWidth="1"/>
    <col min="8969" max="8969" width="13.33203125" style="126" customWidth="1"/>
    <col min="8970" max="8970" width="31.88671875" style="126" customWidth="1"/>
    <col min="8971" max="8971" width="54.44140625" style="126" customWidth="1"/>
    <col min="8972" max="9216" width="12.5546875" style="126" customWidth="1"/>
    <col min="9217" max="9217" width="28.109375" style="126" bestFit="1" customWidth="1"/>
    <col min="9218" max="9218" width="20.109375" style="126" customWidth="1"/>
    <col min="9219" max="9219" width="12.6640625" style="126" customWidth="1"/>
    <col min="9220" max="9220" width="15.88671875" style="126" customWidth="1"/>
    <col min="9221" max="9221" width="13.5546875" style="126" customWidth="1"/>
    <col min="9222" max="9222" width="19" style="126" customWidth="1"/>
    <col min="9223" max="9223" width="20.109375" style="126" customWidth="1"/>
    <col min="9224" max="9224" width="37.109375" style="126" customWidth="1"/>
    <col min="9225" max="9225" width="13.33203125" style="126" customWidth="1"/>
    <col min="9226" max="9226" width="31.88671875" style="126" customWidth="1"/>
    <col min="9227" max="9227" width="54.44140625" style="126" customWidth="1"/>
    <col min="9228" max="9472" width="12.5546875" style="126" customWidth="1"/>
    <col min="9473" max="9473" width="28.109375" style="126" bestFit="1" customWidth="1"/>
    <col min="9474" max="9474" width="20.109375" style="126" customWidth="1"/>
    <col min="9475" max="9475" width="12.6640625" style="126" customWidth="1"/>
    <col min="9476" max="9476" width="15.88671875" style="126" customWidth="1"/>
    <col min="9477" max="9477" width="13.5546875" style="126" customWidth="1"/>
    <col min="9478" max="9478" width="19" style="126" customWidth="1"/>
    <col min="9479" max="9479" width="20.109375" style="126" customWidth="1"/>
    <col min="9480" max="9480" width="37.109375" style="126" customWidth="1"/>
    <col min="9481" max="9481" width="13.33203125" style="126" customWidth="1"/>
    <col min="9482" max="9482" width="31.88671875" style="126" customWidth="1"/>
    <col min="9483" max="9483" width="54.44140625" style="126" customWidth="1"/>
    <col min="9484" max="9728" width="12.5546875" style="126" customWidth="1"/>
    <col min="9729" max="9729" width="28.109375" style="126" bestFit="1" customWidth="1"/>
    <col min="9730" max="9730" width="20.109375" style="126" customWidth="1"/>
    <col min="9731" max="9731" width="12.6640625" style="126" customWidth="1"/>
    <col min="9732" max="9732" width="15.88671875" style="126" customWidth="1"/>
    <col min="9733" max="9733" width="13.5546875" style="126" customWidth="1"/>
    <col min="9734" max="9734" width="19" style="126" customWidth="1"/>
    <col min="9735" max="9735" width="20.109375" style="126" customWidth="1"/>
    <col min="9736" max="9736" width="37.109375" style="126" customWidth="1"/>
    <col min="9737" max="9737" width="13.33203125" style="126" customWidth="1"/>
    <col min="9738" max="9738" width="31.88671875" style="126" customWidth="1"/>
    <col min="9739" max="9739" width="54.44140625" style="126" customWidth="1"/>
    <col min="9740" max="9984" width="12.5546875" style="126" customWidth="1"/>
    <col min="9985" max="9985" width="28.109375" style="126" bestFit="1" customWidth="1"/>
    <col min="9986" max="9986" width="20.109375" style="126" customWidth="1"/>
    <col min="9987" max="9987" width="12.6640625" style="126" customWidth="1"/>
    <col min="9988" max="9988" width="15.88671875" style="126" customWidth="1"/>
    <col min="9989" max="9989" width="13.5546875" style="126" customWidth="1"/>
    <col min="9990" max="9990" width="19" style="126" customWidth="1"/>
    <col min="9991" max="9991" width="20.109375" style="126" customWidth="1"/>
    <col min="9992" max="9992" width="37.109375" style="126" customWidth="1"/>
    <col min="9993" max="9993" width="13.33203125" style="126" customWidth="1"/>
    <col min="9994" max="9994" width="31.88671875" style="126" customWidth="1"/>
    <col min="9995" max="9995" width="54.44140625" style="126" customWidth="1"/>
    <col min="9996" max="10240" width="12.5546875" style="126" customWidth="1"/>
    <col min="10241" max="10241" width="28.109375" style="126" bestFit="1" customWidth="1"/>
    <col min="10242" max="10242" width="20.109375" style="126" customWidth="1"/>
    <col min="10243" max="10243" width="12.6640625" style="126" customWidth="1"/>
    <col min="10244" max="10244" width="15.88671875" style="126" customWidth="1"/>
    <col min="10245" max="10245" width="13.5546875" style="126" customWidth="1"/>
    <col min="10246" max="10246" width="19" style="126" customWidth="1"/>
    <col min="10247" max="10247" width="20.109375" style="126" customWidth="1"/>
    <col min="10248" max="10248" width="37.109375" style="126" customWidth="1"/>
    <col min="10249" max="10249" width="13.33203125" style="126" customWidth="1"/>
    <col min="10250" max="10250" width="31.88671875" style="126" customWidth="1"/>
    <col min="10251" max="10251" width="54.44140625" style="126" customWidth="1"/>
    <col min="10252" max="10496" width="12.5546875" style="126" customWidth="1"/>
    <col min="10497" max="10497" width="28.109375" style="126" bestFit="1" customWidth="1"/>
    <col min="10498" max="10498" width="20.109375" style="126" customWidth="1"/>
    <col min="10499" max="10499" width="12.6640625" style="126" customWidth="1"/>
    <col min="10500" max="10500" width="15.88671875" style="126" customWidth="1"/>
    <col min="10501" max="10501" width="13.5546875" style="126" customWidth="1"/>
    <col min="10502" max="10502" width="19" style="126" customWidth="1"/>
    <col min="10503" max="10503" width="20.109375" style="126" customWidth="1"/>
    <col min="10504" max="10504" width="37.109375" style="126" customWidth="1"/>
    <col min="10505" max="10505" width="13.33203125" style="126" customWidth="1"/>
    <col min="10506" max="10506" width="31.88671875" style="126" customWidth="1"/>
    <col min="10507" max="10507" width="54.44140625" style="126" customWidth="1"/>
    <col min="10508" max="10752" width="12.5546875" style="126" customWidth="1"/>
    <col min="10753" max="10753" width="28.109375" style="126" bestFit="1" customWidth="1"/>
    <col min="10754" max="10754" width="20.109375" style="126" customWidth="1"/>
    <col min="10755" max="10755" width="12.6640625" style="126" customWidth="1"/>
    <col min="10756" max="10756" width="15.88671875" style="126" customWidth="1"/>
    <col min="10757" max="10757" width="13.5546875" style="126" customWidth="1"/>
    <col min="10758" max="10758" width="19" style="126" customWidth="1"/>
    <col min="10759" max="10759" width="20.109375" style="126" customWidth="1"/>
    <col min="10760" max="10760" width="37.109375" style="126" customWidth="1"/>
    <col min="10761" max="10761" width="13.33203125" style="126" customWidth="1"/>
    <col min="10762" max="10762" width="31.88671875" style="126" customWidth="1"/>
    <col min="10763" max="10763" width="54.44140625" style="126" customWidth="1"/>
    <col min="10764" max="11008" width="12.5546875" style="126" customWidth="1"/>
    <col min="11009" max="11009" width="28.109375" style="126" bestFit="1" customWidth="1"/>
    <col min="11010" max="11010" width="20.109375" style="126" customWidth="1"/>
    <col min="11011" max="11011" width="12.6640625" style="126" customWidth="1"/>
    <col min="11012" max="11012" width="15.88671875" style="126" customWidth="1"/>
    <col min="11013" max="11013" width="13.5546875" style="126" customWidth="1"/>
    <col min="11014" max="11014" width="19" style="126" customWidth="1"/>
    <col min="11015" max="11015" width="20.109375" style="126" customWidth="1"/>
    <col min="11016" max="11016" width="37.109375" style="126" customWidth="1"/>
    <col min="11017" max="11017" width="13.33203125" style="126" customWidth="1"/>
    <col min="11018" max="11018" width="31.88671875" style="126" customWidth="1"/>
    <col min="11019" max="11019" width="54.44140625" style="126" customWidth="1"/>
    <col min="11020" max="11264" width="12.5546875" style="126" customWidth="1"/>
    <col min="11265" max="11265" width="28.109375" style="126" bestFit="1" customWidth="1"/>
    <col min="11266" max="11266" width="20.109375" style="126" customWidth="1"/>
    <col min="11267" max="11267" width="12.6640625" style="126" customWidth="1"/>
    <col min="11268" max="11268" width="15.88671875" style="126" customWidth="1"/>
    <col min="11269" max="11269" width="13.5546875" style="126" customWidth="1"/>
    <col min="11270" max="11270" width="19" style="126" customWidth="1"/>
    <col min="11271" max="11271" width="20.109375" style="126" customWidth="1"/>
    <col min="11272" max="11272" width="37.109375" style="126" customWidth="1"/>
    <col min="11273" max="11273" width="13.33203125" style="126" customWidth="1"/>
    <col min="11274" max="11274" width="31.88671875" style="126" customWidth="1"/>
    <col min="11275" max="11275" width="54.44140625" style="126" customWidth="1"/>
    <col min="11276" max="11520" width="12.5546875" style="126" customWidth="1"/>
    <col min="11521" max="11521" width="28.109375" style="126" bestFit="1" customWidth="1"/>
    <col min="11522" max="11522" width="20.109375" style="126" customWidth="1"/>
    <col min="11523" max="11523" width="12.6640625" style="126" customWidth="1"/>
    <col min="11524" max="11524" width="15.88671875" style="126" customWidth="1"/>
    <col min="11525" max="11525" width="13.5546875" style="126" customWidth="1"/>
    <col min="11526" max="11526" width="19" style="126" customWidth="1"/>
    <col min="11527" max="11527" width="20.109375" style="126" customWidth="1"/>
    <col min="11528" max="11528" width="37.109375" style="126" customWidth="1"/>
    <col min="11529" max="11529" width="13.33203125" style="126" customWidth="1"/>
    <col min="11530" max="11530" width="31.88671875" style="126" customWidth="1"/>
    <col min="11531" max="11531" width="54.44140625" style="126" customWidth="1"/>
    <col min="11532" max="11776" width="12.5546875" style="126" customWidth="1"/>
    <col min="11777" max="11777" width="28.109375" style="126" bestFit="1" customWidth="1"/>
    <col min="11778" max="11778" width="20.109375" style="126" customWidth="1"/>
    <col min="11779" max="11779" width="12.6640625" style="126" customWidth="1"/>
    <col min="11780" max="11780" width="15.88671875" style="126" customWidth="1"/>
    <col min="11781" max="11781" width="13.5546875" style="126" customWidth="1"/>
    <col min="11782" max="11782" width="19" style="126" customWidth="1"/>
    <col min="11783" max="11783" width="20.109375" style="126" customWidth="1"/>
    <col min="11784" max="11784" width="37.109375" style="126" customWidth="1"/>
    <col min="11785" max="11785" width="13.33203125" style="126" customWidth="1"/>
    <col min="11786" max="11786" width="31.88671875" style="126" customWidth="1"/>
    <col min="11787" max="11787" width="54.44140625" style="126" customWidth="1"/>
    <col min="11788" max="12032" width="12.5546875" style="126" customWidth="1"/>
    <col min="12033" max="12033" width="28.109375" style="126" bestFit="1" customWidth="1"/>
    <col min="12034" max="12034" width="20.109375" style="126" customWidth="1"/>
    <col min="12035" max="12035" width="12.6640625" style="126" customWidth="1"/>
    <col min="12036" max="12036" width="15.88671875" style="126" customWidth="1"/>
    <col min="12037" max="12037" width="13.5546875" style="126" customWidth="1"/>
    <col min="12038" max="12038" width="19" style="126" customWidth="1"/>
    <col min="12039" max="12039" width="20.109375" style="126" customWidth="1"/>
    <col min="12040" max="12040" width="37.109375" style="126" customWidth="1"/>
    <col min="12041" max="12041" width="13.33203125" style="126" customWidth="1"/>
    <col min="12042" max="12042" width="31.88671875" style="126" customWidth="1"/>
    <col min="12043" max="12043" width="54.44140625" style="126" customWidth="1"/>
    <col min="12044" max="12288" width="12.5546875" style="126" customWidth="1"/>
    <col min="12289" max="12289" width="28.109375" style="126" bestFit="1" customWidth="1"/>
    <col min="12290" max="12290" width="20.109375" style="126" customWidth="1"/>
    <col min="12291" max="12291" width="12.6640625" style="126" customWidth="1"/>
    <col min="12292" max="12292" width="15.88671875" style="126" customWidth="1"/>
    <col min="12293" max="12293" width="13.5546875" style="126" customWidth="1"/>
    <col min="12294" max="12294" width="19" style="126" customWidth="1"/>
    <col min="12295" max="12295" width="20.109375" style="126" customWidth="1"/>
    <col min="12296" max="12296" width="37.109375" style="126" customWidth="1"/>
    <col min="12297" max="12297" width="13.33203125" style="126" customWidth="1"/>
    <col min="12298" max="12298" width="31.88671875" style="126" customWidth="1"/>
    <col min="12299" max="12299" width="54.44140625" style="126" customWidth="1"/>
    <col min="12300" max="12544" width="12.5546875" style="126" customWidth="1"/>
    <col min="12545" max="12545" width="28.109375" style="126" bestFit="1" customWidth="1"/>
    <col min="12546" max="12546" width="20.109375" style="126" customWidth="1"/>
    <col min="12547" max="12547" width="12.6640625" style="126" customWidth="1"/>
    <col min="12548" max="12548" width="15.88671875" style="126" customWidth="1"/>
    <col min="12549" max="12549" width="13.5546875" style="126" customWidth="1"/>
    <col min="12550" max="12550" width="19" style="126" customWidth="1"/>
    <col min="12551" max="12551" width="20.109375" style="126" customWidth="1"/>
    <col min="12552" max="12552" width="37.109375" style="126" customWidth="1"/>
    <col min="12553" max="12553" width="13.33203125" style="126" customWidth="1"/>
    <col min="12554" max="12554" width="31.88671875" style="126" customWidth="1"/>
    <col min="12555" max="12555" width="54.44140625" style="126" customWidth="1"/>
    <col min="12556" max="12800" width="12.5546875" style="126" customWidth="1"/>
    <col min="12801" max="12801" width="28.109375" style="126" bestFit="1" customWidth="1"/>
    <col min="12802" max="12802" width="20.109375" style="126" customWidth="1"/>
    <col min="12803" max="12803" width="12.6640625" style="126" customWidth="1"/>
    <col min="12804" max="12804" width="15.88671875" style="126" customWidth="1"/>
    <col min="12805" max="12805" width="13.5546875" style="126" customWidth="1"/>
    <col min="12806" max="12806" width="19" style="126" customWidth="1"/>
    <col min="12807" max="12807" width="20.109375" style="126" customWidth="1"/>
    <col min="12808" max="12808" width="37.109375" style="126" customWidth="1"/>
    <col min="12809" max="12809" width="13.33203125" style="126" customWidth="1"/>
    <col min="12810" max="12810" width="31.88671875" style="126" customWidth="1"/>
    <col min="12811" max="12811" width="54.44140625" style="126" customWidth="1"/>
    <col min="12812" max="13056" width="12.5546875" style="126" customWidth="1"/>
    <col min="13057" max="13057" width="28.109375" style="126" bestFit="1" customWidth="1"/>
    <col min="13058" max="13058" width="20.109375" style="126" customWidth="1"/>
    <col min="13059" max="13059" width="12.6640625" style="126" customWidth="1"/>
    <col min="13060" max="13060" width="15.88671875" style="126" customWidth="1"/>
    <col min="13061" max="13061" width="13.5546875" style="126" customWidth="1"/>
    <col min="13062" max="13062" width="19" style="126" customWidth="1"/>
    <col min="13063" max="13063" width="20.109375" style="126" customWidth="1"/>
    <col min="13064" max="13064" width="37.109375" style="126" customWidth="1"/>
    <col min="13065" max="13065" width="13.33203125" style="126" customWidth="1"/>
    <col min="13066" max="13066" width="31.88671875" style="126" customWidth="1"/>
    <col min="13067" max="13067" width="54.44140625" style="126" customWidth="1"/>
    <col min="13068" max="13312" width="12.5546875" style="126" customWidth="1"/>
    <col min="13313" max="13313" width="28.109375" style="126" bestFit="1" customWidth="1"/>
    <col min="13314" max="13314" width="20.109375" style="126" customWidth="1"/>
    <col min="13315" max="13315" width="12.6640625" style="126" customWidth="1"/>
    <col min="13316" max="13316" width="15.88671875" style="126" customWidth="1"/>
    <col min="13317" max="13317" width="13.5546875" style="126" customWidth="1"/>
    <col min="13318" max="13318" width="19" style="126" customWidth="1"/>
    <col min="13319" max="13319" width="20.109375" style="126" customWidth="1"/>
    <col min="13320" max="13320" width="37.109375" style="126" customWidth="1"/>
    <col min="13321" max="13321" width="13.33203125" style="126" customWidth="1"/>
    <col min="13322" max="13322" width="31.88671875" style="126" customWidth="1"/>
    <col min="13323" max="13323" width="54.44140625" style="126" customWidth="1"/>
    <col min="13324" max="13568" width="12.5546875" style="126" customWidth="1"/>
    <col min="13569" max="13569" width="28.109375" style="126" bestFit="1" customWidth="1"/>
    <col min="13570" max="13570" width="20.109375" style="126" customWidth="1"/>
    <col min="13571" max="13571" width="12.6640625" style="126" customWidth="1"/>
    <col min="13572" max="13572" width="15.88671875" style="126" customWidth="1"/>
    <col min="13573" max="13573" width="13.5546875" style="126" customWidth="1"/>
    <col min="13574" max="13574" width="19" style="126" customWidth="1"/>
    <col min="13575" max="13575" width="20.109375" style="126" customWidth="1"/>
    <col min="13576" max="13576" width="37.109375" style="126" customWidth="1"/>
    <col min="13577" max="13577" width="13.33203125" style="126" customWidth="1"/>
    <col min="13578" max="13578" width="31.88671875" style="126" customWidth="1"/>
    <col min="13579" max="13579" width="54.44140625" style="126" customWidth="1"/>
    <col min="13580" max="13824" width="12.5546875" style="126" customWidth="1"/>
    <col min="13825" max="13825" width="28.109375" style="126" bestFit="1" customWidth="1"/>
    <col min="13826" max="13826" width="20.109375" style="126" customWidth="1"/>
    <col min="13827" max="13827" width="12.6640625" style="126" customWidth="1"/>
    <col min="13828" max="13828" width="15.88671875" style="126" customWidth="1"/>
    <col min="13829" max="13829" width="13.5546875" style="126" customWidth="1"/>
    <col min="13830" max="13830" width="19" style="126" customWidth="1"/>
    <col min="13831" max="13831" width="20.109375" style="126" customWidth="1"/>
    <col min="13832" max="13832" width="37.109375" style="126" customWidth="1"/>
    <col min="13833" max="13833" width="13.33203125" style="126" customWidth="1"/>
    <col min="13834" max="13834" width="31.88671875" style="126" customWidth="1"/>
    <col min="13835" max="13835" width="54.44140625" style="126" customWidth="1"/>
    <col min="13836" max="14080" width="12.5546875" style="126" customWidth="1"/>
    <col min="14081" max="14081" width="28.109375" style="126" bestFit="1" customWidth="1"/>
    <col min="14082" max="14082" width="20.109375" style="126" customWidth="1"/>
    <col min="14083" max="14083" width="12.6640625" style="126" customWidth="1"/>
    <col min="14084" max="14084" width="15.88671875" style="126" customWidth="1"/>
    <col min="14085" max="14085" width="13.5546875" style="126" customWidth="1"/>
    <col min="14086" max="14086" width="19" style="126" customWidth="1"/>
    <col min="14087" max="14087" width="20.109375" style="126" customWidth="1"/>
    <col min="14088" max="14088" width="37.109375" style="126" customWidth="1"/>
    <col min="14089" max="14089" width="13.33203125" style="126" customWidth="1"/>
    <col min="14090" max="14090" width="31.88671875" style="126" customWidth="1"/>
    <col min="14091" max="14091" width="54.44140625" style="126" customWidth="1"/>
    <col min="14092" max="14336" width="12.5546875" style="126" customWidth="1"/>
    <col min="14337" max="14337" width="28.109375" style="126" bestFit="1" customWidth="1"/>
    <col min="14338" max="14338" width="20.109375" style="126" customWidth="1"/>
    <col min="14339" max="14339" width="12.6640625" style="126" customWidth="1"/>
    <col min="14340" max="14340" width="15.88671875" style="126" customWidth="1"/>
    <col min="14341" max="14341" width="13.5546875" style="126" customWidth="1"/>
    <col min="14342" max="14342" width="19" style="126" customWidth="1"/>
    <col min="14343" max="14343" width="20.109375" style="126" customWidth="1"/>
    <col min="14344" max="14344" width="37.109375" style="126" customWidth="1"/>
    <col min="14345" max="14345" width="13.33203125" style="126" customWidth="1"/>
    <col min="14346" max="14346" width="31.88671875" style="126" customWidth="1"/>
    <col min="14347" max="14347" width="54.44140625" style="126" customWidth="1"/>
    <col min="14348" max="14592" width="12.5546875" style="126" customWidth="1"/>
    <col min="14593" max="14593" width="28.109375" style="126" bestFit="1" customWidth="1"/>
    <col min="14594" max="14594" width="20.109375" style="126" customWidth="1"/>
    <col min="14595" max="14595" width="12.6640625" style="126" customWidth="1"/>
    <col min="14596" max="14596" width="15.88671875" style="126" customWidth="1"/>
    <col min="14597" max="14597" width="13.5546875" style="126" customWidth="1"/>
    <col min="14598" max="14598" width="19" style="126" customWidth="1"/>
    <col min="14599" max="14599" width="20.109375" style="126" customWidth="1"/>
    <col min="14600" max="14600" width="37.109375" style="126" customWidth="1"/>
    <col min="14601" max="14601" width="13.33203125" style="126" customWidth="1"/>
    <col min="14602" max="14602" width="31.88671875" style="126" customWidth="1"/>
    <col min="14603" max="14603" width="54.44140625" style="126" customWidth="1"/>
    <col min="14604" max="14848" width="12.5546875" style="126" customWidth="1"/>
    <col min="14849" max="14849" width="28.109375" style="126" bestFit="1" customWidth="1"/>
    <col min="14850" max="14850" width="20.109375" style="126" customWidth="1"/>
    <col min="14851" max="14851" width="12.6640625" style="126" customWidth="1"/>
    <col min="14852" max="14852" width="15.88671875" style="126" customWidth="1"/>
    <col min="14853" max="14853" width="13.5546875" style="126" customWidth="1"/>
    <col min="14854" max="14854" width="19" style="126" customWidth="1"/>
    <col min="14855" max="14855" width="20.109375" style="126" customWidth="1"/>
    <col min="14856" max="14856" width="37.109375" style="126" customWidth="1"/>
    <col min="14857" max="14857" width="13.33203125" style="126" customWidth="1"/>
    <col min="14858" max="14858" width="31.88671875" style="126" customWidth="1"/>
    <col min="14859" max="14859" width="54.44140625" style="126" customWidth="1"/>
    <col min="14860" max="15104" width="12.5546875" style="126" customWidth="1"/>
    <col min="15105" max="15105" width="28.109375" style="126" bestFit="1" customWidth="1"/>
    <col min="15106" max="15106" width="20.109375" style="126" customWidth="1"/>
    <col min="15107" max="15107" width="12.6640625" style="126" customWidth="1"/>
    <col min="15108" max="15108" width="15.88671875" style="126" customWidth="1"/>
    <col min="15109" max="15109" width="13.5546875" style="126" customWidth="1"/>
    <col min="15110" max="15110" width="19" style="126" customWidth="1"/>
    <col min="15111" max="15111" width="20.109375" style="126" customWidth="1"/>
    <col min="15112" max="15112" width="37.109375" style="126" customWidth="1"/>
    <col min="15113" max="15113" width="13.33203125" style="126" customWidth="1"/>
    <col min="15114" max="15114" width="31.88671875" style="126" customWidth="1"/>
    <col min="15115" max="15115" width="54.44140625" style="126" customWidth="1"/>
    <col min="15116" max="15360" width="12.5546875" style="126" customWidth="1"/>
    <col min="15361" max="15361" width="28.109375" style="126" bestFit="1" customWidth="1"/>
    <col min="15362" max="15362" width="20.109375" style="126" customWidth="1"/>
    <col min="15363" max="15363" width="12.6640625" style="126" customWidth="1"/>
    <col min="15364" max="15364" width="15.88671875" style="126" customWidth="1"/>
    <col min="15365" max="15365" width="13.5546875" style="126" customWidth="1"/>
    <col min="15366" max="15366" width="19" style="126" customWidth="1"/>
    <col min="15367" max="15367" width="20.109375" style="126" customWidth="1"/>
    <col min="15368" max="15368" width="37.109375" style="126" customWidth="1"/>
    <col min="15369" max="15369" width="13.33203125" style="126" customWidth="1"/>
    <col min="15370" max="15370" width="31.88671875" style="126" customWidth="1"/>
    <col min="15371" max="15371" width="54.44140625" style="126" customWidth="1"/>
    <col min="15372" max="15616" width="12.5546875" style="126" customWidth="1"/>
    <col min="15617" max="15617" width="28.109375" style="126" bestFit="1" customWidth="1"/>
    <col min="15618" max="15618" width="20.109375" style="126" customWidth="1"/>
    <col min="15619" max="15619" width="12.6640625" style="126" customWidth="1"/>
    <col min="15620" max="15620" width="15.88671875" style="126" customWidth="1"/>
    <col min="15621" max="15621" width="13.5546875" style="126" customWidth="1"/>
    <col min="15622" max="15622" width="19" style="126" customWidth="1"/>
    <col min="15623" max="15623" width="20.109375" style="126" customWidth="1"/>
    <col min="15624" max="15624" width="37.109375" style="126" customWidth="1"/>
    <col min="15625" max="15625" width="13.33203125" style="126" customWidth="1"/>
    <col min="15626" max="15626" width="31.88671875" style="126" customWidth="1"/>
    <col min="15627" max="15627" width="54.44140625" style="126" customWidth="1"/>
    <col min="15628" max="15872" width="12.5546875" style="126" customWidth="1"/>
    <col min="15873" max="15873" width="28.109375" style="126" bestFit="1" customWidth="1"/>
    <col min="15874" max="15874" width="20.109375" style="126" customWidth="1"/>
    <col min="15875" max="15875" width="12.6640625" style="126" customWidth="1"/>
    <col min="15876" max="15876" width="15.88671875" style="126" customWidth="1"/>
    <col min="15877" max="15877" width="13.5546875" style="126" customWidth="1"/>
    <col min="15878" max="15878" width="19" style="126" customWidth="1"/>
    <col min="15879" max="15879" width="20.109375" style="126" customWidth="1"/>
    <col min="15880" max="15880" width="37.109375" style="126" customWidth="1"/>
    <col min="15881" max="15881" width="13.33203125" style="126" customWidth="1"/>
    <col min="15882" max="15882" width="31.88671875" style="126" customWidth="1"/>
    <col min="15883" max="15883" width="54.44140625" style="126" customWidth="1"/>
    <col min="15884" max="16128" width="12.5546875" style="126" customWidth="1"/>
    <col min="16129" max="16129" width="28.109375" style="126" bestFit="1" customWidth="1"/>
    <col min="16130" max="16130" width="20.109375" style="126" customWidth="1"/>
    <col min="16131" max="16131" width="12.6640625" style="126" customWidth="1"/>
    <col min="16132" max="16132" width="15.88671875" style="126" customWidth="1"/>
    <col min="16133" max="16133" width="13.5546875" style="126" customWidth="1"/>
    <col min="16134" max="16134" width="19" style="126" customWidth="1"/>
    <col min="16135" max="16135" width="20.109375" style="126" customWidth="1"/>
    <col min="16136" max="16136" width="37.109375" style="126" customWidth="1"/>
    <col min="16137" max="16137" width="13.33203125" style="126" customWidth="1"/>
    <col min="16138" max="16138" width="31.88671875" style="126" customWidth="1"/>
    <col min="16139" max="16139" width="54.44140625" style="126" customWidth="1"/>
    <col min="16140" max="16384" width="12.5546875" style="126" customWidth="1"/>
  </cols>
  <sheetData>
    <row r="1" spans="1:11" x14ac:dyDescent="0.3">
      <c r="A1" s="161" t="s">
        <v>340</v>
      </c>
      <c r="B1" s="245">
        <v>44201</v>
      </c>
      <c r="C1" s="246"/>
      <c r="D1" s="246"/>
      <c r="E1" s="246"/>
      <c r="F1" s="246"/>
      <c r="G1" s="247"/>
    </row>
    <row r="2" spans="1:11" x14ac:dyDescent="0.3">
      <c r="A2" s="159" t="s">
        <v>339</v>
      </c>
      <c r="B2" s="239" t="s">
        <v>338</v>
      </c>
      <c r="C2" s="240"/>
      <c r="D2" s="240"/>
      <c r="E2" s="240"/>
      <c r="F2" s="240"/>
      <c r="G2" s="241"/>
    </row>
    <row r="3" spans="1:11" x14ac:dyDescent="0.3">
      <c r="A3" s="159" t="s">
        <v>337</v>
      </c>
      <c r="B3" s="248" t="s">
        <v>336</v>
      </c>
      <c r="C3" s="249"/>
      <c r="D3" s="249"/>
      <c r="E3" s="250"/>
      <c r="F3" s="248" t="s">
        <v>335</v>
      </c>
      <c r="G3" s="251"/>
      <c r="H3" s="160"/>
      <c r="I3" s="160"/>
      <c r="J3" s="160"/>
    </row>
    <row r="4" spans="1:11" x14ac:dyDescent="0.3">
      <c r="A4" s="159" t="s">
        <v>334</v>
      </c>
      <c r="B4" s="252" t="s">
        <v>333</v>
      </c>
      <c r="C4" s="253"/>
      <c r="D4" s="253"/>
      <c r="E4" s="253"/>
      <c r="F4" s="253"/>
      <c r="G4" s="254"/>
    </row>
    <row r="5" spans="1:11" x14ac:dyDescent="0.3">
      <c r="A5" s="159" t="s">
        <v>332</v>
      </c>
      <c r="B5" s="255" t="s">
        <v>331</v>
      </c>
      <c r="C5" s="256"/>
      <c r="D5" s="256"/>
      <c r="E5" s="256"/>
      <c r="F5" s="256"/>
      <c r="G5" s="257"/>
    </row>
    <row r="6" spans="1:11" s="128" customFormat="1" x14ac:dyDescent="0.3">
      <c r="A6" s="159" t="s">
        <v>330</v>
      </c>
      <c r="B6" s="239" t="s">
        <v>329</v>
      </c>
      <c r="C6" s="240"/>
      <c r="D6" s="240"/>
      <c r="E6" s="240"/>
      <c r="F6" s="240"/>
      <c r="G6" s="241"/>
    </row>
    <row r="7" spans="1:11" x14ac:dyDescent="0.3">
      <c r="A7" s="158" t="s">
        <v>328</v>
      </c>
      <c r="B7" s="242" t="s">
        <v>327</v>
      </c>
      <c r="C7" s="243"/>
      <c r="D7" s="243"/>
      <c r="E7" s="243"/>
      <c r="F7" s="243"/>
      <c r="G7" s="244"/>
    </row>
    <row r="8" spans="1:11" x14ac:dyDescent="0.3">
      <c r="A8" s="157" t="s">
        <v>326</v>
      </c>
      <c r="B8" s="155" t="s">
        <v>325</v>
      </c>
      <c r="C8" s="156" t="s">
        <v>324</v>
      </c>
      <c r="D8" s="155" t="s">
        <v>323</v>
      </c>
      <c r="E8" s="155" t="s">
        <v>322</v>
      </c>
      <c r="F8" s="155" t="s">
        <v>321</v>
      </c>
      <c r="G8" s="155" t="s">
        <v>320</v>
      </c>
      <c r="H8" s="155" t="s">
        <v>319</v>
      </c>
      <c r="I8" s="155" t="s">
        <v>318</v>
      </c>
      <c r="J8" s="155" t="s">
        <v>317</v>
      </c>
      <c r="K8" s="154" t="s">
        <v>316</v>
      </c>
    </row>
    <row r="9" spans="1:11" hidden="1" x14ac:dyDescent="0.3">
      <c r="A9" s="146" t="s">
        <v>315</v>
      </c>
      <c r="B9" s="145">
        <v>251</v>
      </c>
      <c r="C9" s="144">
        <v>1.0688963789999999</v>
      </c>
      <c r="D9" s="142">
        <v>0.35840314725349348</v>
      </c>
      <c r="E9" s="142">
        <v>0.16036989900000001</v>
      </c>
      <c r="F9" s="144">
        <v>0.82164267674528746</v>
      </c>
      <c r="G9" s="142">
        <v>8.34143538088402E-2</v>
      </c>
      <c r="H9" s="144">
        <v>0.89641669620247211</v>
      </c>
      <c r="I9" s="143">
        <v>0.40990773400000002</v>
      </c>
      <c r="J9" s="142">
        <v>0.40861976500000002</v>
      </c>
      <c r="K9" s="141">
        <v>0.20858500695940504</v>
      </c>
    </row>
    <row r="10" spans="1:11" hidden="1" x14ac:dyDescent="0.3">
      <c r="A10" s="146" t="s">
        <v>314</v>
      </c>
      <c r="B10" s="145">
        <v>222</v>
      </c>
      <c r="C10" s="144">
        <v>1.122518135</v>
      </c>
      <c r="D10" s="142">
        <v>0.2580998486985816</v>
      </c>
      <c r="E10" s="142">
        <v>0.10765785999999999</v>
      </c>
      <c r="F10" s="144">
        <v>0.91238391873641478</v>
      </c>
      <c r="G10" s="142">
        <v>6.8661240600775303E-2</v>
      </c>
      <c r="H10" s="144">
        <v>0.97964774850019443</v>
      </c>
      <c r="I10" s="143">
        <v>0.416091251</v>
      </c>
      <c r="J10" s="142">
        <v>0.38256322199999998</v>
      </c>
      <c r="K10" s="141">
        <v>0.15641223905188514</v>
      </c>
    </row>
    <row r="11" spans="1:11" hidden="1" x14ac:dyDescent="0.3">
      <c r="A11" s="146" t="s">
        <v>313</v>
      </c>
      <c r="B11" s="145">
        <v>158</v>
      </c>
      <c r="C11" s="144">
        <v>0.86500678799999997</v>
      </c>
      <c r="D11" s="142">
        <v>0.91421439896670109</v>
      </c>
      <c r="E11" s="142">
        <v>0.18043731599999999</v>
      </c>
      <c r="F11" s="144">
        <v>0.49449982435494305</v>
      </c>
      <c r="G11" s="142">
        <v>7.2852940150096426E-2</v>
      </c>
      <c r="H11" s="144">
        <v>0.53335640673335893</v>
      </c>
      <c r="I11" s="143">
        <v>0.31531809700000002</v>
      </c>
      <c r="J11" s="142">
        <v>0.28385738500000002</v>
      </c>
      <c r="K11" s="141">
        <v>0.63715677387180902</v>
      </c>
    </row>
    <row r="12" spans="1:11" hidden="1" x14ac:dyDescent="0.3">
      <c r="A12" s="146" t="s">
        <v>312</v>
      </c>
      <c r="B12" s="145">
        <v>1171</v>
      </c>
      <c r="C12" s="144">
        <v>0.81521439699999998</v>
      </c>
      <c r="D12" s="142">
        <v>0.25436629317105836</v>
      </c>
      <c r="E12" s="142">
        <v>0.14759640900000001</v>
      </c>
      <c r="F12" s="144">
        <v>0.66995328821852351</v>
      </c>
      <c r="G12" s="142">
        <v>6.1122307073795484E-2</v>
      </c>
      <c r="H12" s="144">
        <v>0.7135682243450443</v>
      </c>
      <c r="I12" s="143">
        <v>0.35131490399999998</v>
      </c>
      <c r="J12" s="142">
        <v>0.35715790400000003</v>
      </c>
      <c r="K12" s="141">
        <v>0.23822943175834987</v>
      </c>
    </row>
    <row r="13" spans="1:11" hidden="1" x14ac:dyDescent="0.3">
      <c r="A13" s="146" t="s">
        <v>311</v>
      </c>
      <c r="B13" s="145">
        <v>128</v>
      </c>
      <c r="C13" s="144">
        <v>1.2683030209999999</v>
      </c>
      <c r="D13" s="142">
        <v>0.93698602397463937</v>
      </c>
      <c r="E13" s="142">
        <v>0.14584108800000001</v>
      </c>
      <c r="F13" s="144">
        <v>0.70448169213427603</v>
      </c>
      <c r="G13" s="142">
        <v>0.12171766267648905</v>
      </c>
      <c r="H13" s="144">
        <v>0.80211301331770235</v>
      </c>
      <c r="I13" s="143">
        <v>0.35314690999999998</v>
      </c>
      <c r="J13" s="142">
        <v>0.29896355699999999</v>
      </c>
      <c r="K13" s="141">
        <v>0.52983085688986353</v>
      </c>
    </row>
    <row r="14" spans="1:11" hidden="1" x14ac:dyDescent="0.3">
      <c r="A14" s="146" t="s">
        <v>310</v>
      </c>
      <c r="B14" s="145">
        <v>642</v>
      </c>
      <c r="C14" s="144">
        <v>1.1980222540000001</v>
      </c>
      <c r="D14" s="142">
        <v>0.26481511159216586</v>
      </c>
      <c r="E14" s="142">
        <v>0.19135919900000001</v>
      </c>
      <c r="F14" s="144">
        <v>0.98672472209159656</v>
      </c>
      <c r="G14" s="142">
        <v>0.1113495328023149</v>
      </c>
      <c r="H14" s="144">
        <v>1.110363138842636</v>
      </c>
      <c r="I14" s="143">
        <v>0.33906960000000003</v>
      </c>
      <c r="J14" s="142">
        <v>0.32899959699999998</v>
      </c>
      <c r="K14" s="141">
        <v>0.42083084366246476</v>
      </c>
    </row>
    <row r="15" spans="1:11" hidden="1" x14ac:dyDescent="0.3">
      <c r="A15" s="146" t="s">
        <v>309</v>
      </c>
      <c r="B15" s="145">
        <v>623</v>
      </c>
      <c r="C15" s="144">
        <v>0.88448869799999996</v>
      </c>
      <c r="D15" s="142">
        <v>2.7377662813567736</v>
      </c>
      <c r="E15" s="142">
        <v>0.20082466700000001</v>
      </c>
      <c r="F15" s="144">
        <v>0.27744702181539838</v>
      </c>
      <c r="G15" s="142">
        <v>0.23829564686999657</v>
      </c>
      <c r="H15" s="144">
        <v>0.36424502587560409</v>
      </c>
      <c r="I15" s="143">
        <v>0.225861439</v>
      </c>
      <c r="J15" s="142">
        <v>0.21372010899999999</v>
      </c>
      <c r="K15" s="141">
        <v>0.14915694001168184</v>
      </c>
    </row>
    <row r="16" spans="1:11" hidden="1" x14ac:dyDescent="0.3">
      <c r="A16" s="146" t="s">
        <v>308</v>
      </c>
      <c r="B16" s="145">
        <v>889</v>
      </c>
      <c r="C16" s="144">
        <v>0.56897617499999997</v>
      </c>
      <c r="D16" s="142">
        <v>1.1915701938743757</v>
      </c>
      <c r="E16" s="142">
        <v>0.24772994100000001</v>
      </c>
      <c r="F16" s="144">
        <v>0.30003237795268239</v>
      </c>
      <c r="G16" s="142">
        <v>0.33171741434558</v>
      </c>
      <c r="H16" s="144">
        <v>0.4489603416178708</v>
      </c>
      <c r="I16" s="143">
        <v>0.23153021900000001</v>
      </c>
      <c r="J16" s="142">
        <v>0.22893824800000001</v>
      </c>
      <c r="K16" s="141">
        <v>1.5018515672097419</v>
      </c>
    </row>
    <row r="17" spans="1:11" hidden="1" x14ac:dyDescent="0.3">
      <c r="A17" s="146" t="s">
        <v>307</v>
      </c>
      <c r="B17" s="145">
        <v>223</v>
      </c>
      <c r="C17" s="144">
        <v>0.73147513399999997</v>
      </c>
      <c r="D17" s="142">
        <v>0.28821408509071883</v>
      </c>
      <c r="E17" s="142">
        <v>0.20022409399999999</v>
      </c>
      <c r="F17" s="144">
        <v>0.59445035551571002</v>
      </c>
      <c r="G17" s="142">
        <v>4.6236886270163625E-2</v>
      </c>
      <c r="H17" s="144">
        <v>0.62326834300712375</v>
      </c>
      <c r="I17" s="143">
        <v>0.28331290399999998</v>
      </c>
      <c r="J17" s="142">
        <v>0.28252437699999999</v>
      </c>
      <c r="K17" s="141">
        <v>2.4897040988466159</v>
      </c>
    </row>
    <row r="18" spans="1:11" x14ac:dyDescent="0.3">
      <c r="A18" s="146" t="s">
        <v>306</v>
      </c>
      <c r="B18" s="145">
        <v>103</v>
      </c>
      <c r="C18" s="144">
        <v>0.74297837</v>
      </c>
      <c r="D18" s="142">
        <v>0.25507026152729584</v>
      </c>
      <c r="E18" s="142">
        <v>0.129125195</v>
      </c>
      <c r="F18" s="144">
        <v>0.60793514405266413</v>
      </c>
      <c r="G18" s="142">
        <v>5.1327943358689627E-2</v>
      </c>
      <c r="H18" s="144">
        <v>0.64082750176600001</v>
      </c>
      <c r="I18" s="143">
        <v>0.35607214599999998</v>
      </c>
      <c r="J18" s="142">
        <v>0.30807093600000002</v>
      </c>
      <c r="K18" s="141">
        <v>0.17604334446412123</v>
      </c>
    </row>
    <row r="19" spans="1:11" hidden="1" x14ac:dyDescent="0.3">
      <c r="A19" s="146" t="s">
        <v>305</v>
      </c>
      <c r="B19" s="145">
        <v>142</v>
      </c>
      <c r="C19" s="144">
        <v>1.0184733239999999</v>
      </c>
      <c r="D19" s="142">
        <v>0.49906008153945924</v>
      </c>
      <c r="E19" s="142">
        <v>0.187402983</v>
      </c>
      <c r="F19" s="144">
        <v>0.72461626146966829</v>
      </c>
      <c r="G19" s="142">
        <v>4.0304286892464417E-2</v>
      </c>
      <c r="H19" s="144">
        <v>0.75504792985198399</v>
      </c>
      <c r="I19" s="143">
        <v>0.31136776799999999</v>
      </c>
      <c r="J19" s="142">
        <v>0.32052070599999999</v>
      </c>
      <c r="K19" s="141">
        <v>0.14628447822870283</v>
      </c>
    </row>
    <row r="20" spans="1:11" hidden="1" x14ac:dyDescent="0.3">
      <c r="A20" s="146" t="s">
        <v>304</v>
      </c>
      <c r="B20" s="145">
        <v>569</v>
      </c>
      <c r="C20" s="144">
        <v>0.907368591</v>
      </c>
      <c r="D20" s="142">
        <v>2.0966324977236002</v>
      </c>
      <c r="E20" s="142">
        <v>0.13499329700000001</v>
      </c>
      <c r="F20" s="144">
        <v>0.32249367910647492</v>
      </c>
      <c r="G20" s="142">
        <v>0.13997883407909223</v>
      </c>
      <c r="H20" s="144">
        <v>0.37498342120586037</v>
      </c>
      <c r="I20" s="143">
        <v>0.34943127299999999</v>
      </c>
      <c r="J20" s="142">
        <v>0.343010068</v>
      </c>
      <c r="K20" s="141">
        <v>0.6081018965427416</v>
      </c>
    </row>
    <row r="21" spans="1:11" hidden="1" x14ac:dyDescent="0.3">
      <c r="A21" s="146" t="s">
        <v>303</v>
      </c>
      <c r="B21" s="145">
        <v>434</v>
      </c>
      <c r="C21" s="144">
        <v>0.91885528100000002</v>
      </c>
      <c r="D21" s="142">
        <v>0.31519520092630743</v>
      </c>
      <c r="E21" s="142">
        <v>0.19799862700000001</v>
      </c>
      <c r="F21" s="144">
        <v>0.73344893649454668</v>
      </c>
      <c r="G21" s="142">
        <v>6.4267228498212203E-2</v>
      </c>
      <c r="H21" s="144">
        <v>0.78382307303121457</v>
      </c>
      <c r="I21" s="143">
        <v>0.30990067999999998</v>
      </c>
      <c r="J21" s="142">
        <v>0.307176964</v>
      </c>
      <c r="K21" s="141">
        <v>0.16466123028002039</v>
      </c>
    </row>
    <row r="22" spans="1:11" hidden="1" x14ac:dyDescent="0.3">
      <c r="A22" s="146" t="s">
        <v>302</v>
      </c>
      <c r="B22" s="145">
        <v>772</v>
      </c>
      <c r="C22" s="144">
        <v>0.935255999</v>
      </c>
      <c r="D22" s="142">
        <v>0.28188353098342495</v>
      </c>
      <c r="E22" s="142">
        <v>0.186403714</v>
      </c>
      <c r="F22" s="144">
        <v>0.76077932883817312</v>
      </c>
      <c r="G22" s="142">
        <v>5.6305105621278669E-2</v>
      </c>
      <c r="H22" s="144">
        <v>0.80617086451339748</v>
      </c>
      <c r="I22" s="143">
        <v>0.36574590400000001</v>
      </c>
      <c r="J22" s="142">
        <v>0.35361257899999998</v>
      </c>
      <c r="K22" s="141">
        <v>0.18243266416910467</v>
      </c>
    </row>
    <row r="23" spans="1:11" hidden="1" x14ac:dyDescent="0.3">
      <c r="A23" s="146" t="s">
        <v>301</v>
      </c>
      <c r="B23" s="145">
        <v>63</v>
      </c>
      <c r="C23" s="144">
        <v>1.154005599</v>
      </c>
      <c r="D23" s="142">
        <v>0.61143194299836834</v>
      </c>
      <c r="E23" s="142">
        <v>0.14906818699999999</v>
      </c>
      <c r="F23" s="144">
        <v>0.75907093933274161</v>
      </c>
      <c r="G23" s="142">
        <v>2.9047470873634997E-2</v>
      </c>
      <c r="H23" s="144">
        <v>0.78177966127317444</v>
      </c>
      <c r="I23" s="143">
        <v>0.295175772</v>
      </c>
      <c r="J23" s="142">
        <v>0.29021549800000002</v>
      </c>
      <c r="K23" s="141">
        <v>0.37191064224882853</v>
      </c>
    </row>
    <row r="24" spans="1:11" hidden="1" x14ac:dyDescent="0.3">
      <c r="A24" s="146" t="s">
        <v>300</v>
      </c>
      <c r="B24" s="145">
        <v>774</v>
      </c>
      <c r="C24" s="144">
        <v>1.0394898429999999</v>
      </c>
      <c r="D24" s="142">
        <v>0.31579637221961021</v>
      </c>
      <c r="E24" s="142">
        <v>0.166187788</v>
      </c>
      <c r="F24" s="144">
        <v>0.8228272035082228</v>
      </c>
      <c r="G24" s="142">
        <v>7.9970178691005839E-2</v>
      </c>
      <c r="H24" s="144">
        <v>0.89434840529139148</v>
      </c>
      <c r="I24" s="143">
        <v>0.34617063799999997</v>
      </c>
      <c r="J24" s="142">
        <v>0.333974514</v>
      </c>
      <c r="K24" s="141">
        <v>0.2959129548844559</v>
      </c>
    </row>
    <row r="25" spans="1:11" hidden="1" x14ac:dyDescent="0.3">
      <c r="A25" s="146" t="s">
        <v>299</v>
      </c>
      <c r="B25" s="145">
        <v>81</v>
      </c>
      <c r="C25" s="144">
        <v>1.427439415</v>
      </c>
      <c r="D25" s="142">
        <v>0.37953774667486095</v>
      </c>
      <c r="E25" s="142">
        <v>0.19204637399999999</v>
      </c>
      <c r="F25" s="144">
        <v>1.0924429787503283</v>
      </c>
      <c r="G25" s="142">
        <v>7.2111149367484736E-2</v>
      </c>
      <c r="H25" s="144">
        <v>1.1773424995953354</v>
      </c>
      <c r="I25" s="143">
        <v>0.33536137700000002</v>
      </c>
      <c r="J25" s="142">
        <v>0.302780932</v>
      </c>
      <c r="K25" s="141">
        <v>0.18848896786965461</v>
      </c>
    </row>
    <row r="26" spans="1:11" hidden="1" x14ac:dyDescent="0.3">
      <c r="A26" s="146" t="s">
        <v>298</v>
      </c>
      <c r="B26" s="145">
        <v>731</v>
      </c>
      <c r="C26" s="144">
        <v>1.1095587769999999</v>
      </c>
      <c r="D26" s="142">
        <v>0.26133407050424234</v>
      </c>
      <c r="E26" s="142">
        <v>0.16262985299999999</v>
      </c>
      <c r="F26" s="144">
        <v>0.91034494410508981</v>
      </c>
      <c r="G26" s="142">
        <v>6.949242100453136E-2</v>
      </c>
      <c r="H26" s="144">
        <v>0.9783315737071745</v>
      </c>
      <c r="I26" s="143">
        <v>0.35423971599999998</v>
      </c>
      <c r="J26" s="142">
        <v>0.35101220399999999</v>
      </c>
      <c r="K26" s="141">
        <v>0.25959546808080891</v>
      </c>
    </row>
    <row r="27" spans="1:11" hidden="1" x14ac:dyDescent="0.3">
      <c r="A27" s="146" t="s">
        <v>297</v>
      </c>
      <c r="B27" s="145">
        <v>278</v>
      </c>
      <c r="C27" s="144">
        <v>1.140816525</v>
      </c>
      <c r="D27" s="142">
        <v>0.58018090441695203</v>
      </c>
      <c r="E27" s="142">
        <v>4.3470037000000003E-2</v>
      </c>
      <c r="F27" s="144">
        <v>0.73366274217307625</v>
      </c>
      <c r="G27" s="142">
        <v>0.1251187175945655</v>
      </c>
      <c r="H27" s="144">
        <v>0.83858548231357033</v>
      </c>
      <c r="I27" s="143">
        <v>0.49636881199999999</v>
      </c>
      <c r="J27" s="142">
        <v>0.56328655100000002</v>
      </c>
      <c r="K27" s="141">
        <v>0.49858271273791166</v>
      </c>
    </row>
    <row r="28" spans="1:11" hidden="1" x14ac:dyDescent="0.3">
      <c r="A28" s="146" t="s">
        <v>296</v>
      </c>
      <c r="B28" s="145">
        <v>929</v>
      </c>
      <c r="C28" s="144">
        <v>0.96465487999999999</v>
      </c>
      <c r="D28" s="142">
        <v>0.19848705693200161</v>
      </c>
      <c r="E28" s="142">
        <v>0.171702669</v>
      </c>
      <c r="F28" s="144">
        <v>0.8284521308571724</v>
      </c>
      <c r="G28" s="142">
        <v>7.2824801484716789E-2</v>
      </c>
      <c r="H28" s="144">
        <v>0.89352274757111783</v>
      </c>
      <c r="I28" s="143">
        <v>0.362754197</v>
      </c>
      <c r="J28" s="142">
        <v>0.36396291600000003</v>
      </c>
      <c r="K28" s="141">
        <v>0.18134137267015432</v>
      </c>
    </row>
    <row r="29" spans="1:11" hidden="1" x14ac:dyDescent="0.3">
      <c r="A29" s="146" t="s">
        <v>295</v>
      </c>
      <c r="B29" s="145">
        <v>327</v>
      </c>
      <c r="C29" s="144">
        <v>1.1882230620000001</v>
      </c>
      <c r="D29" s="142">
        <v>0.21029490613193821</v>
      </c>
      <c r="E29" s="142">
        <v>0.135664325</v>
      </c>
      <c r="F29" s="144">
        <v>1.0054644284017773</v>
      </c>
      <c r="G29" s="142">
        <v>0.10168214906308327</v>
      </c>
      <c r="H29" s="144">
        <v>1.1192746836246326</v>
      </c>
      <c r="I29" s="143">
        <v>0.35124998299999999</v>
      </c>
      <c r="J29" s="142">
        <v>0.36413174799999998</v>
      </c>
      <c r="K29" s="141">
        <v>0.41285497119090231</v>
      </c>
    </row>
    <row r="30" spans="1:11" hidden="1" x14ac:dyDescent="0.3">
      <c r="A30" s="146" t="s">
        <v>294</v>
      </c>
      <c r="B30" s="145">
        <v>757</v>
      </c>
      <c r="C30" s="144">
        <v>1.06843361</v>
      </c>
      <c r="D30" s="142">
        <v>0.47310196238293784</v>
      </c>
      <c r="E30" s="142">
        <v>0.164185953</v>
      </c>
      <c r="F30" s="144">
        <v>0.76566881521233754</v>
      </c>
      <c r="G30" s="142">
        <v>8.1063732656586576E-2</v>
      </c>
      <c r="H30" s="144">
        <v>0.83321209796827111</v>
      </c>
      <c r="I30" s="143">
        <v>0.32189986199999998</v>
      </c>
      <c r="J30" s="142">
        <v>0.32506689999999999</v>
      </c>
      <c r="K30" s="141">
        <v>0.16960624624868881</v>
      </c>
    </row>
    <row r="31" spans="1:11" hidden="1" x14ac:dyDescent="0.3">
      <c r="A31" s="146" t="s">
        <v>293</v>
      </c>
      <c r="B31" s="145">
        <v>356</v>
      </c>
      <c r="C31" s="144">
        <v>0.86537797100000002</v>
      </c>
      <c r="D31" s="142">
        <v>0.60397791400512846</v>
      </c>
      <c r="E31" s="142">
        <v>0.135796686</v>
      </c>
      <c r="F31" s="144">
        <v>0.56859453147626149</v>
      </c>
      <c r="G31" s="142">
        <v>9.3629036960583834E-2</v>
      </c>
      <c r="H31" s="144">
        <v>0.62733092151313163</v>
      </c>
      <c r="I31" s="143">
        <v>0.25947966</v>
      </c>
      <c r="J31" s="142">
        <v>0.24360416900000001</v>
      </c>
      <c r="K31" s="141">
        <v>0.28742678675390776</v>
      </c>
    </row>
    <row r="32" spans="1:11" hidden="1" x14ac:dyDescent="0.3">
      <c r="A32" s="146" t="s">
        <v>292</v>
      </c>
      <c r="B32" s="145">
        <v>884</v>
      </c>
      <c r="C32" s="144">
        <v>1.284826217</v>
      </c>
      <c r="D32" s="142">
        <v>0.1782747159160899</v>
      </c>
      <c r="E32" s="142">
        <v>2.4554000999999999E-2</v>
      </c>
      <c r="F32" s="144">
        <v>1.094496216254766</v>
      </c>
      <c r="G32" s="142">
        <v>5.3287245976813072E-2</v>
      </c>
      <c r="H32" s="144">
        <v>1.1561016914619062</v>
      </c>
      <c r="I32" s="143">
        <v>0.49783147599999999</v>
      </c>
      <c r="J32" s="142">
        <v>0.610733156</v>
      </c>
      <c r="K32" s="141">
        <v>0.67757516054609013</v>
      </c>
    </row>
    <row r="33" spans="1:11" hidden="1" x14ac:dyDescent="0.3">
      <c r="A33" s="146" t="s">
        <v>291</v>
      </c>
      <c r="B33" s="145">
        <v>971</v>
      </c>
      <c r="C33" s="144">
        <v>1.0116198569999999</v>
      </c>
      <c r="D33" s="142">
        <v>0.1797212937658921</v>
      </c>
      <c r="E33" s="142">
        <v>0.122293613</v>
      </c>
      <c r="F33" s="144">
        <v>0.87378655706456487</v>
      </c>
      <c r="G33" s="142">
        <v>4.8355043640485526E-2</v>
      </c>
      <c r="H33" s="144">
        <v>0.918185454801553</v>
      </c>
      <c r="I33" s="143">
        <v>0.40068189300000001</v>
      </c>
      <c r="J33" s="142">
        <v>0.41167444800000003</v>
      </c>
      <c r="K33" s="141">
        <v>0.12277661576023277</v>
      </c>
    </row>
    <row r="34" spans="1:11" hidden="1" x14ac:dyDescent="0.3">
      <c r="A34" s="146" t="s">
        <v>290</v>
      </c>
      <c r="B34" s="145">
        <v>174</v>
      </c>
      <c r="C34" s="144">
        <v>0.87156880400000003</v>
      </c>
      <c r="D34" s="142">
        <v>0.3091942535253519</v>
      </c>
      <c r="E34" s="142">
        <v>0.14416900299999999</v>
      </c>
      <c r="F34" s="144">
        <v>0.68919530316732347</v>
      </c>
      <c r="G34" s="142">
        <v>9.7637300356865256E-2</v>
      </c>
      <c r="H34" s="144">
        <v>0.76376749996413362</v>
      </c>
      <c r="I34" s="143">
        <v>0.424882802</v>
      </c>
      <c r="J34" s="142">
        <v>0.372170112</v>
      </c>
      <c r="K34" s="141">
        <v>0.26450128503622666</v>
      </c>
    </row>
    <row r="35" spans="1:11" hidden="1" x14ac:dyDescent="0.3">
      <c r="A35" s="146" t="s">
        <v>289</v>
      </c>
      <c r="B35" s="145">
        <v>856</v>
      </c>
      <c r="C35" s="144">
        <v>1.147949659</v>
      </c>
      <c r="D35" s="142">
        <v>0.28309153302890316</v>
      </c>
      <c r="E35" s="142">
        <v>0.13848798600000001</v>
      </c>
      <c r="F35" s="144">
        <v>0.9228731255122451</v>
      </c>
      <c r="G35" s="142">
        <v>9.344503497155425E-2</v>
      </c>
      <c r="H35" s="144">
        <v>1.0180001887511445</v>
      </c>
      <c r="I35" s="143">
        <v>0.38296068500000002</v>
      </c>
      <c r="J35" s="142">
        <v>0.36809888000000002</v>
      </c>
      <c r="K35" s="141">
        <v>0.10809751981283899</v>
      </c>
    </row>
    <row r="36" spans="1:11" hidden="1" x14ac:dyDescent="0.3">
      <c r="A36" s="146" t="s">
        <v>288</v>
      </c>
      <c r="B36" s="145">
        <v>153</v>
      </c>
      <c r="C36" s="144">
        <v>1.186349009</v>
      </c>
      <c r="D36" s="142">
        <v>0.41953189961697895</v>
      </c>
      <c r="E36" s="142">
        <v>0.121247173</v>
      </c>
      <c r="F36" s="144">
        <v>0.86679292979321265</v>
      </c>
      <c r="G36" s="142">
        <v>0.19996395065100112</v>
      </c>
      <c r="H36" s="144">
        <v>1.0834423405026996</v>
      </c>
      <c r="I36" s="143">
        <v>0.38741581200000003</v>
      </c>
      <c r="J36" s="142">
        <v>0.39448509599999998</v>
      </c>
      <c r="K36" s="141">
        <v>0.52103404844954804</v>
      </c>
    </row>
    <row r="37" spans="1:11" hidden="1" x14ac:dyDescent="0.3">
      <c r="A37" s="146" t="s">
        <v>287</v>
      </c>
      <c r="B37" s="145">
        <v>1239</v>
      </c>
      <c r="C37" s="144">
        <v>1.1465201140000001</v>
      </c>
      <c r="D37" s="142">
        <v>0.19804248367524657</v>
      </c>
      <c r="E37" s="142">
        <v>0.13677824</v>
      </c>
      <c r="F37" s="144">
        <v>0.97913286501213337</v>
      </c>
      <c r="G37" s="142">
        <v>0.13275084443959312</v>
      </c>
      <c r="H37" s="144">
        <v>1.1290098799570791</v>
      </c>
      <c r="I37" s="143">
        <v>0.35042100399999998</v>
      </c>
      <c r="J37" s="142">
        <v>0.35806681000000001</v>
      </c>
      <c r="K37" s="141">
        <v>0.29460684018328193</v>
      </c>
    </row>
    <row r="38" spans="1:11" hidden="1" x14ac:dyDescent="0.3">
      <c r="A38" s="146" t="s">
        <v>286</v>
      </c>
      <c r="B38" s="145">
        <v>1118</v>
      </c>
      <c r="C38" s="144">
        <v>1.0907444369999999</v>
      </c>
      <c r="D38" s="142">
        <v>0.72410617099595531</v>
      </c>
      <c r="E38" s="142">
        <v>0.17051337799999999</v>
      </c>
      <c r="F38" s="144">
        <v>0.68144423645318963</v>
      </c>
      <c r="G38" s="142">
        <v>0.19290467636549177</v>
      </c>
      <c r="H38" s="144">
        <v>0.84431691833439559</v>
      </c>
      <c r="I38" s="143">
        <v>0.32852798500000002</v>
      </c>
      <c r="J38" s="142">
        <v>0.325345567</v>
      </c>
      <c r="K38" s="141">
        <v>0.17566695936600732</v>
      </c>
    </row>
    <row r="39" spans="1:11" hidden="1" x14ac:dyDescent="0.3">
      <c r="A39" s="146" t="s">
        <v>285</v>
      </c>
      <c r="B39" s="145">
        <v>353</v>
      </c>
      <c r="C39" s="144">
        <v>1.0409229449999999</v>
      </c>
      <c r="D39" s="142">
        <v>0.28253073696520614</v>
      </c>
      <c r="E39" s="142">
        <v>0.10706326100000001</v>
      </c>
      <c r="F39" s="144">
        <v>0.83122082942511977</v>
      </c>
      <c r="G39" s="142">
        <v>5.488016751967114E-2</v>
      </c>
      <c r="H39" s="144">
        <v>0.87948723628378656</v>
      </c>
      <c r="I39" s="143">
        <v>0.448482137</v>
      </c>
      <c r="J39" s="142">
        <v>0.40823403200000002</v>
      </c>
      <c r="K39" s="141">
        <v>9.7252001086236481E-2</v>
      </c>
    </row>
    <row r="40" spans="1:11" hidden="1" x14ac:dyDescent="0.3">
      <c r="A40" s="146" t="s">
        <v>284</v>
      </c>
      <c r="B40" s="145">
        <v>306</v>
      </c>
      <c r="C40" s="144">
        <v>1.0797652099999999</v>
      </c>
      <c r="D40" s="142">
        <v>0.30795000039883835</v>
      </c>
      <c r="E40" s="142">
        <v>0.117676613</v>
      </c>
      <c r="F40" s="144">
        <v>0.84906460365925962</v>
      </c>
      <c r="G40" s="142">
        <v>4.0119194846282076E-2</v>
      </c>
      <c r="H40" s="144">
        <v>0.88455212261827465</v>
      </c>
      <c r="I40" s="143">
        <v>0.43416199100000002</v>
      </c>
      <c r="J40" s="142">
        <v>0.44478573599999999</v>
      </c>
      <c r="K40" s="141">
        <v>0.15334675252772992</v>
      </c>
    </row>
    <row r="41" spans="1:11" hidden="1" x14ac:dyDescent="0.3">
      <c r="A41" s="146" t="s">
        <v>283</v>
      </c>
      <c r="B41" s="145">
        <v>388</v>
      </c>
      <c r="C41" s="144">
        <v>0.86739466200000004</v>
      </c>
      <c r="D41" s="142">
        <v>0.56113841580021351</v>
      </c>
      <c r="E41" s="142">
        <v>0.13440521599999999</v>
      </c>
      <c r="F41" s="144">
        <v>0.58382167973230281</v>
      </c>
      <c r="G41" s="142">
        <v>6.4039111030560467E-2</v>
      </c>
      <c r="H41" s="144">
        <v>0.62376717511682844</v>
      </c>
      <c r="I41" s="143">
        <v>0.34403358899999997</v>
      </c>
      <c r="J41" s="142">
        <v>0.32436264599999998</v>
      </c>
      <c r="K41" s="141">
        <v>0.26665913256609403</v>
      </c>
    </row>
    <row r="42" spans="1:11" hidden="1" x14ac:dyDescent="0.3">
      <c r="A42" s="146" t="s">
        <v>282</v>
      </c>
      <c r="B42" s="145">
        <v>1016</v>
      </c>
      <c r="C42" s="144">
        <v>0.735044747</v>
      </c>
      <c r="D42" s="142">
        <v>8.055497802424723</v>
      </c>
      <c r="E42" s="142">
        <v>0.17563153000000001</v>
      </c>
      <c r="F42" s="144">
        <v>9.6201251334155136E-2</v>
      </c>
      <c r="G42" s="142">
        <v>6.2527097872377452E-2</v>
      </c>
      <c r="H42" s="144">
        <v>0.10261763419062411</v>
      </c>
      <c r="I42" s="143">
        <v>0.31032646600000002</v>
      </c>
      <c r="J42" s="142">
        <v>0.30342284800000002</v>
      </c>
      <c r="K42" s="141">
        <v>0.22524176579903113</v>
      </c>
    </row>
    <row r="43" spans="1:11" hidden="1" x14ac:dyDescent="0.3">
      <c r="A43" s="146" t="s">
        <v>281</v>
      </c>
      <c r="B43" s="145">
        <v>1275</v>
      </c>
      <c r="C43" s="144">
        <v>0.73511777</v>
      </c>
      <c r="D43" s="142">
        <v>0.25188332491439264</v>
      </c>
      <c r="E43" s="142">
        <v>0.164981972</v>
      </c>
      <c r="F43" s="144">
        <v>0.60737114745191034</v>
      </c>
      <c r="G43" s="142">
        <v>4.8166374128248153E-2</v>
      </c>
      <c r="H43" s="144">
        <v>0.63810642001183759</v>
      </c>
      <c r="I43" s="143">
        <v>0.31529575100000001</v>
      </c>
      <c r="J43" s="142">
        <v>0.296979779</v>
      </c>
      <c r="K43" s="141">
        <v>0.2116191295690151</v>
      </c>
    </row>
    <row r="44" spans="1:11" hidden="1" x14ac:dyDescent="0.3">
      <c r="A44" s="146" t="s">
        <v>280</v>
      </c>
      <c r="B44" s="145">
        <v>128</v>
      </c>
      <c r="C44" s="144">
        <v>0.68681000999999997</v>
      </c>
      <c r="D44" s="142">
        <v>0.6847432580255377</v>
      </c>
      <c r="E44" s="142">
        <v>0.19697045399999999</v>
      </c>
      <c r="F44" s="144">
        <v>0.44314066545969766</v>
      </c>
      <c r="G44" s="142">
        <v>8.1597146184570257E-2</v>
      </c>
      <c r="H44" s="144">
        <v>0.48251229144019525</v>
      </c>
      <c r="I44" s="143">
        <v>0.29641049400000002</v>
      </c>
      <c r="J44" s="142">
        <v>0.29805308800000002</v>
      </c>
      <c r="K44" s="141">
        <v>0.17136543143968544</v>
      </c>
    </row>
    <row r="45" spans="1:11" hidden="1" x14ac:dyDescent="0.3">
      <c r="A45" s="146" t="s">
        <v>279</v>
      </c>
      <c r="B45" s="145">
        <v>307</v>
      </c>
      <c r="C45" s="144">
        <v>0.936579885</v>
      </c>
      <c r="D45" s="142">
        <v>0.22487180135836052</v>
      </c>
      <c r="E45" s="142">
        <v>0.188720838</v>
      </c>
      <c r="F45" s="144">
        <v>0.79207806796561653</v>
      </c>
      <c r="G45" s="142">
        <v>0.13039396804804357</v>
      </c>
      <c r="H45" s="144">
        <v>0.91084702596609501</v>
      </c>
      <c r="I45" s="143">
        <v>0.33223996</v>
      </c>
      <c r="J45" s="142">
        <v>0.31887033999999997</v>
      </c>
      <c r="K45" s="141">
        <v>0.31182186339330642</v>
      </c>
    </row>
    <row r="46" spans="1:11" hidden="1" x14ac:dyDescent="0.3">
      <c r="A46" s="146" t="s">
        <v>278</v>
      </c>
      <c r="B46" s="145">
        <v>179</v>
      </c>
      <c r="C46" s="144">
        <v>1.008564663</v>
      </c>
      <c r="D46" s="142">
        <v>0.84501853323284748</v>
      </c>
      <c r="E46" s="142">
        <v>9.7976670000000002E-2</v>
      </c>
      <c r="F46" s="144">
        <v>0.57232410382119991</v>
      </c>
      <c r="G46" s="142">
        <v>4.296802045813846E-2</v>
      </c>
      <c r="H46" s="144">
        <v>0.5980198322057908</v>
      </c>
      <c r="I46" s="143">
        <v>0.38979533999999999</v>
      </c>
      <c r="J46" s="142">
        <v>0.37641665699999999</v>
      </c>
      <c r="K46" s="141">
        <v>0.45876787074392927</v>
      </c>
    </row>
    <row r="47" spans="1:11" hidden="1" x14ac:dyDescent="0.3">
      <c r="A47" s="146" t="s">
        <v>277</v>
      </c>
      <c r="B47" s="145">
        <v>677</v>
      </c>
      <c r="C47" s="144">
        <v>1.0152187100000001</v>
      </c>
      <c r="D47" s="142">
        <v>0.1815082507753259</v>
      </c>
      <c r="E47" s="142">
        <v>8.5976279000000003E-2</v>
      </c>
      <c r="F47" s="144">
        <v>0.87075755309814018</v>
      </c>
      <c r="G47" s="142">
        <v>4.3685774179776121E-2</v>
      </c>
      <c r="H47" s="144">
        <v>0.91053497855403931</v>
      </c>
      <c r="I47" s="143">
        <v>0.44157949699999999</v>
      </c>
      <c r="J47" s="142">
        <v>0.46124687599999997</v>
      </c>
      <c r="K47" s="141">
        <v>0.10972752750181676</v>
      </c>
    </row>
    <row r="48" spans="1:11" hidden="1" x14ac:dyDescent="0.3">
      <c r="A48" s="146" t="s">
        <v>276</v>
      </c>
      <c r="B48" s="145">
        <v>334</v>
      </c>
      <c r="C48" s="144">
        <v>0.99076778099999996</v>
      </c>
      <c r="D48" s="142">
        <v>0.32292231875250371</v>
      </c>
      <c r="E48" s="142">
        <v>0.179619535</v>
      </c>
      <c r="F48" s="144">
        <v>0.78326569060753903</v>
      </c>
      <c r="G48" s="142">
        <v>9.6335447188812179E-2</v>
      </c>
      <c r="H48" s="144">
        <v>0.86676597878150363</v>
      </c>
      <c r="I48" s="143">
        <v>0.38005791300000002</v>
      </c>
      <c r="J48" s="142">
        <v>0.39896239100000003</v>
      </c>
      <c r="K48" s="141">
        <v>0.22518845216937999</v>
      </c>
    </row>
    <row r="49" spans="1:11" hidden="1" x14ac:dyDescent="0.3">
      <c r="A49" s="146" t="s">
        <v>275</v>
      </c>
      <c r="B49" s="145">
        <v>322</v>
      </c>
      <c r="C49" s="144">
        <v>1.0221073389999999</v>
      </c>
      <c r="D49" s="142">
        <v>0.18179817262146455</v>
      </c>
      <c r="E49" s="142">
        <v>7.3883707000000007E-2</v>
      </c>
      <c r="F49" s="144">
        <v>0.87481758332233273</v>
      </c>
      <c r="G49" s="142">
        <v>4.3541381544216315E-2</v>
      </c>
      <c r="H49" s="144">
        <v>0.91464237599190479</v>
      </c>
      <c r="I49" s="143">
        <v>0.45738822099999998</v>
      </c>
      <c r="J49" s="142">
        <v>0.47434025800000001</v>
      </c>
      <c r="K49" s="141">
        <v>0.32151043388788086</v>
      </c>
    </row>
    <row r="50" spans="1:11" hidden="1" x14ac:dyDescent="0.3">
      <c r="A50" s="146" t="s">
        <v>274</v>
      </c>
      <c r="B50" s="145">
        <v>173</v>
      </c>
      <c r="C50" s="144">
        <v>1.073275022</v>
      </c>
      <c r="D50" s="142">
        <v>0.55128810308189446</v>
      </c>
      <c r="E50" s="142">
        <v>0.220037278</v>
      </c>
      <c r="F50" s="144">
        <v>0.75055028223550524</v>
      </c>
      <c r="G50" s="142">
        <v>9.3963226315735185E-2</v>
      </c>
      <c r="H50" s="144">
        <v>0.82838832157275832</v>
      </c>
      <c r="I50" s="143">
        <v>0.31129853400000002</v>
      </c>
      <c r="J50" s="142">
        <v>0.313595925</v>
      </c>
      <c r="K50" s="141">
        <v>0.52940154494926983</v>
      </c>
    </row>
    <row r="51" spans="1:11" hidden="1" x14ac:dyDescent="0.3">
      <c r="A51" s="146" t="s">
        <v>273</v>
      </c>
      <c r="B51" s="145">
        <v>192</v>
      </c>
      <c r="C51" s="144">
        <v>0.73587140100000004</v>
      </c>
      <c r="D51" s="142">
        <v>0.85698428428799112</v>
      </c>
      <c r="E51" s="142">
        <v>0.17429159799999999</v>
      </c>
      <c r="F51" s="144">
        <v>0.43093415310983557</v>
      </c>
      <c r="G51" s="142">
        <v>2.3501474299841636E-2</v>
      </c>
      <c r="H51" s="144">
        <v>0.44130548256675745</v>
      </c>
      <c r="I51" s="143">
        <v>0.34451185099999998</v>
      </c>
      <c r="J51" s="142">
        <v>0.29580872800000002</v>
      </c>
      <c r="K51" s="141">
        <v>0.31878483014447234</v>
      </c>
    </row>
    <row r="52" spans="1:11" hidden="1" x14ac:dyDescent="0.3">
      <c r="A52" s="146" t="s">
        <v>272</v>
      </c>
      <c r="B52" s="145">
        <v>658</v>
      </c>
      <c r="C52" s="144">
        <v>0.83606194300000003</v>
      </c>
      <c r="D52" s="142">
        <v>0.45667391870610125</v>
      </c>
      <c r="E52" s="142">
        <v>0.13180999400000001</v>
      </c>
      <c r="F52" s="144">
        <v>0.59869250065663937</v>
      </c>
      <c r="G52" s="142">
        <v>7.1440931697136029E-2</v>
      </c>
      <c r="H52" s="144">
        <v>0.64475435230079137</v>
      </c>
      <c r="I52" s="143">
        <v>0.30763605900000002</v>
      </c>
      <c r="J52" s="142">
        <v>0.32628968000000003</v>
      </c>
      <c r="K52" s="141">
        <v>0.2073377843849106</v>
      </c>
    </row>
    <row r="53" spans="1:11" hidden="1" x14ac:dyDescent="0.3">
      <c r="A53" s="146" t="s">
        <v>271</v>
      </c>
      <c r="B53" s="145">
        <v>494</v>
      </c>
      <c r="C53" s="144">
        <v>0.86808986799999999</v>
      </c>
      <c r="D53" s="142">
        <v>0.14278313420971631</v>
      </c>
      <c r="E53" s="142">
        <v>0.14838742699999999</v>
      </c>
      <c r="F53" s="144">
        <v>0.77397738211769906</v>
      </c>
      <c r="G53" s="142">
        <v>3.6647391926359109E-2</v>
      </c>
      <c r="H53" s="144">
        <v>0.80342065369540627</v>
      </c>
      <c r="I53" s="143">
        <v>0.40659494000000002</v>
      </c>
      <c r="J53" s="142">
        <v>0.388119453</v>
      </c>
      <c r="K53" s="141">
        <v>0.11140740831424899</v>
      </c>
    </row>
    <row r="54" spans="1:11" hidden="1" x14ac:dyDescent="0.3">
      <c r="A54" s="146" t="s">
        <v>270</v>
      </c>
      <c r="B54" s="145">
        <v>186</v>
      </c>
      <c r="C54" s="144">
        <v>1.0397776430000001</v>
      </c>
      <c r="D54" s="142">
        <v>0.2060265103465154</v>
      </c>
      <c r="E54" s="142">
        <v>0.16067010300000001</v>
      </c>
      <c r="F54" s="144">
        <v>0.88648323088027103</v>
      </c>
      <c r="G54" s="142">
        <v>4.1842790125022324E-2</v>
      </c>
      <c r="H54" s="144">
        <v>0.92519601349755665</v>
      </c>
      <c r="I54" s="143">
        <v>0.34806902899999997</v>
      </c>
      <c r="J54" s="142">
        <v>0.374819544</v>
      </c>
      <c r="K54" s="141">
        <v>0.3476900611591609</v>
      </c>
    </row>
    <row r="55" spans="1:11" hidden="1" x14ac:dyDescent="0.3">
      <c r="A55" s="146" t="s">
        <v>269</v>
      </c>
      <c r="B55" s="145">
        <v>233</v>
      </c>
      <c r="C55" s="144">
        <v>0.71263675100000001</v>
      </c>
      <c r="D55" s="142">
        <v>0.46892488493399453</v>
      </c>
      <c r="E55" s="142">
        <v>0.14750771400000001</v>
      </c>
      <c r="F55" s="144">
        <v>0.50911540150507173</v>
      </c>
      <c r="G55" s="142">
        <v>0.17669623945335727</v>
      </c>
      <c r="H55" s="144">
        <v>0.61838099848716621</v>
      </c>
      <c r="I55" s="143">
        <v>0.22800926199999999</v>
      </c>
      <c r="J55" s="142">
        <v>0.24550888800000001</v>
      </c>
      <c r="K55" s="141">
        <v>0.5140200037935686</v>
      </c>
    </row>
    <row r="56" spans="1:11" hidden="1" x14ac:dyDescent="0.3">
      <c r="A56" s="146" t="s">
        <v>268</v>
      </c>
      <c r="B56" s="145">
        <v>123</v>
      </c>
      <c r="C56" s="144">
        <v>1.024224375</v>
      </c>
      <c r="D56" s="142">
        <v>0.84162082618709566</v>
      </c>
      <c r="E56" s="142">
        <v>0.18987393299999999</v>
      </c>
      <c r="F56" s="144">
        <v>0.60899799168458413</v>
      </c>
      <c r="G56" s="142">
        <v>0.45192887039453633</v>
      </c>
      <c r="H56" s="144">
        <v>1.111165976071353</v>
      </c>
      <c r="I56" s="143">
        <v>0.25238722200000002</v>
      </c>
      <c r="J56" s="142">
        <v>0.243627757</v>
      </c>
      <c r="K56" s="141">
        <v>0.30699140553340176</v>
      </c>
    </row>
    <row r="57" spans="1:11" hidden="1" x14ac:dyDescent="0.3">
      <c r="A57" s="146" t="s">
        <v>267</v>
      </c>
      <c r="B57" s="145">
        <v>227</v>
      </c>
      <c r="C57" s="144">
        <v>0.60840713599999996</v>
      </c>
      <c r="D57" s="142">
        <v>0.30514917933517399</v>
      </c>
      <c r="E57" s="142">
        <v>0.16771027399999999</v>
      </c>
      <c r="F57" s="144">
        <v>0.48518378430861553</v>
      </c>
      <c r="G57" s="142">
        <v>0.10142329829034576</v>
      </c>
      <c r="H57" s="144">
        <v>0.53994698881630576</v>
      </c>
      <c r="I57" s="143">
        <v>0.23638482499999999</v>
      </c>
      <c r="J57" s="142">
        <v>0.24465510500000001</v>
      </c>
      <c r="K57" s="141">
        <v>0.43032243384935648</v>
      </c>
    </row>
    <row r="58" spans="1:11" hidden="1" x14ac:dyDescent="0.3">
      <c r="A58" s="146" t="s">
        <v>266</v>
      </c>
      <c r="B58" s="145">
        <v>1013</v>
      </c>
      <c r="C58" s="144">
        <v>0.80714454599999996</v>
      </c>
      <c r="D58" s="142">
        <v>0.82276374401163355</v>
      </c>
      <c r="E58" s="142">
        <v>7.5013343999999996E-2</v>
      </c>
      <c r="F58" s="144">
        <v>0.45833259459685427</v>
      </c>
      <c r="G58" s="142">
        <v>0.13891289628481507</v>
      </c>
      <c r="H58" s="144">
        <v>0.53227204613722023</v>
      </c>
      <c r="I58" s="143">
        <v>0.344168368</v>
      </c>
      <c r="J58" s="142">
        <v>0.337487865</v>
      </c>
      <c r="K58" s="141">
        <v>0.35259767791494845</v>
      </c>
    </row>
    <row r="59" spans="1:11" hidden="1" x14ac:dyDescent="0.3">
      <c r="A59" s="146" t="s">
        <v>265</v>
      </c>
      <c r="B59" s="145">
        <v>1270</v>
      </c>
      <c r="C59" s="144">
        <v>1.0977828110000001</v>
      </c>
      <c r="D59" s="142">
        <v>0.19940585570202374</v>
      </c>
      <c r="E59" s="142">
        <v>0.17325198999999999</v>
      </c>
      <c r="F59" s="144">
        <v>0.94241739278578474</v>
      </c>
      <c r="G59" s="142">
        <v>8.618445166644767E-2</v>
      </c>
      <c r="H59" s="144">
        <v>1.0312993628795122</v>
      </c>
      <c r="I59" s="143">
        <v>0.32482906099999997</v>
      </c>
      <c r="J59" s="142">
        <v>0.33279699699999998</v>
      </c>
      <c r="K59" s="141">
        <v>0.22833418373356509</v>
      </c>
    </row>
    <row r="60" spans="1:11" hidden="1" x14ac:dyDescent="0.3">
      <c r="A60" s="146" t="s">
        <v>264</v>
      </c>
      <c r="B60" s="145">
        <v>1517</v>
      </c>
      <c r="C60" s="144">
        <v>1.258820727</v>
      </c>
      <c r="D60" s="142">
        <v>0.50044870962219046</v>
      </c>
      <c r="E60" s="142">
        <v>3.2681674000000001E-2</v>
      </c>
      <c r="F60" s="144">
        <v>0.84820867057398797</v>
      </c>
      <c r="G60" s="142">
        <v>7.5855334680780762E-2</v>
      </c>
      <c r="H60" s="144">
        <v>0.91783105222059436</v>
      </c>
      <c r="I60" s="143">
        <v>0.576817841</v>
      </c>
      <c r="J60" s="142">
        <v>0.70483753000000005</v>
      </c>
      <c r="K60" s="141">
        <v>0.36432182431519272</v>
      </c>
    </row>
    <row r="61" spans="1:11" hidden="1" x14ac:dyDescent="0.3">
      <c r="A61" s="146" t="s">
        <v>263</v>
      </c>
      <c r="B61" s="145">
        <v>159</v>
      </c>
      <c r="C61" s="144">
        <v>0.85835755199999997</v>
      </c>
      <c r="D61" s="142">
        <v>0.37742659178753646</v>
      </c>
      <c r="E61" s="142">
        <v>0.18234367500000001</v>
      </c>
      <c r="F61" s="144">
        <v>0.65593314604267772</v>
      </c>
      <c r="G61" s="142">
        <v>9.5171808165361957E-2</v>
      </c>
      <c r="H61" s="144">
        <v>0.72492562893371126</v>
      </c>
      <c r="I61" s="143">
        <v>0.30721351200000002</v>
      </c>
      <c r="J61" s="142">
        <v>0.32555885299999998</v>
      </c>
      <c r="K61" s="141">
        <v>0.11324469392193166</v>
      </c>
    </row>
    <row r="62" spans="1:11" hidden="1" x14ac:dyDescent="0.3">
      <c r="A62" s="146" t="s">
        <v>262</v>
      </c>
      <c r="B62" s="145">
        <v>49</v>
      </c>
      <c r="C62" s="144">
        <v>1.392412113</v>
      </c>
      <c r="D62" s="142">
        <v>0.43043830855341797</v>
      </c>
      <c r="E62" s="142">
        <v>0.113765163</v>
      </c>
      <c r="F62" s="144">
        <v>1.0079210502880214</v>
      </c>
      <c r="G62" s="142">
        <v>6.7042895998161392E-2</v>
      </c>
      <c r="H62" s="144">
        <v>1.0803509035566923</v>
      </c>
      <c r="I62" s="143">
        <v>0.30662967800000002</v>
      </c>
      <c r="J62" s="142">
        <v>0.30490790400000001</v>
      </c>
      <c r="K62" s="141">
        <v>0.35501776198965612</v>
      </c>
    </row>
    <row r="63" spans="1:11" hidden="1" x14ac:dyDescent="0.3">
      <c r="A63" s="146" t="s">
        <v>261</v>
      </c>
      <c r="B63" s="145">
        <v>964</v>
      </c>
      <c r="C63" s="144">
        <v>1.5639551309999999</v>
      </c>
      <c r="D63" s="142">
        <v>0.48721391062528024</v>
      </c>
      <c r="E63" s="142">
        <v>1.5709705000000001E-2</v>
      </c>
      <c r="F63" s="144">
        <v>1.0570407496337075</v>
      </c>
      <c r="G63" s="142">
        <v>6.0244554760751343E-2</v>
      </c>
      <c r="H63" s="144">
        <v>1.1248040700254731</v>
      </c>
      <c r="I63" s="143">
        <v>0.56581602099999995</v>
      </c>
      <c r="J63" s="142">
        <v>0.66869360700000002</v>
      </c>
      <c r="K63" s="141">
        <v>0.55368936824153814</v>
      </c>
    </row>
    <row r="64" spans="1:11" hidden="1" x14ac:dyDescent="0.3">
      <c r="A64" s="146" t="s">
        <v>260</v>
      </c>
      <c r="B64" s="145">
        <v>210</v>
      </c>
      <c r="C64" s="144">
        <v>1.530286166</v>
      </c>
      <c r="D64" s="142">
        <v>0.79913481198973135</v>
      </c>
      <c r="E64" s="142">
        <v>8.3793359999999997E-2</v>
      </c>
      <c r="F64" s="144">
        <v>0.88344899777738328</v>
      </c>
      <c r="G64" s="142">
        <v>1.8130059482157641E-2</v>
      </c>
      <c r="H64" s="144">
        <v>0.89976173148904892</v>
      </c>
      <c r="I64" s="143">
        <v>0.35837377599999998</v>
      </c>
      <c r="J64" s="142">
        <v>0.387863966</v>
      </c>
      <c r="K64" s="141">
        <v>0.37118944145379379</v>
      </c>
    </row>
    <row r="65" spans="1:11" hidden="1" x14ac:dyDescent="0.3">
      <c r="A65" s="146" t="s">
        <v>259</v>
      </c>
      <c r="B65" s="145">
        <v>544</v>
      </c>
      <c r="C65" s="144">
        <v>1.3138362400000001</v>
      </c>
      <c r="D65" s="142">
        <v>0.46721084969275151</v>
      </c>
      <c r="E65" s="142">
        <v>9.6102714000000006E-2</v>
      </c>
      <c r="F65" s="144">
        <v>0.92373369250295223</v>
      </c>
      <c r="G65" s="142">
        <v>7.2215651304751577E-2</v>
      </c>
      <c r="H65" s="144">
        <v>0.9956340541872768</v>
      </c>
      <c r="I65" s="143">
        <v>0.41511418</v>
      </c>
      <c r="J65" s="142">
        <v>0.43108439900000001</v>
      </c>
      <c r="K65" s="141">
        <v>0.21870524781135789</v>
      </c>
    </row>
    <row r="66" spans="1:11" hidden="1" x14ac:dyDescent="0.3">
      <c r="A66" s="146" t="s">
        <v>258</v>
      </c>
      <c r="B66" s="145">
        <v>395</v>
      </c>
      <c r="C66" s="144">
        <v>0.73237175600000004</v>
      </c>
      <c r="D66" s="142">
        <v>0.42854690390948091</v>
      </c>
      <c r="E66" s="142">
        <v>0.197961585</v>
      </c>
      <c r="F66" s="144">
        <v>0.54503662813976728</v>
      </c>
      <c r="G66" s="142">
        <v>4.6058824153017319E-2</v>
      </c>
      <c r="H66" s="144">
        <v>0.5713524501716174</v>
      </c>
      <c r="I66" s="143">
        <v>0.31070349600000002</v>
      </c>
      <c r="J66" s="142">
        <v>0.31194132099999999</v>
      </c>
      <c r="K66" s="141">
        <v>0.19831108315780163</v>
      </c>
    </row>
    <row r="67" spans="1:11" hidden="1" x14ac:dyDescent="0.3">
      <c r="A67" s="146" t="s">
        <v>257</v>
      </c>
      <c r="B67" s="145">
        <v>296</v>
      </c>
      <c r="C67" s="144">
        <v>0.92311728199999998</v>
      </c>
      <c r="D67" s="142">
        <v>0.63032361770549195</v>
      </c>
      <c r="E67" s="142">
        <v>0.15121420699999999</v>
      </c>
      <c r="F67" s="144">
        <v>0.60137552416504203</v>
      </c>
      <c r="G67" s="142">
        <v>6.4453074775298921E-2</v>
      </c>
      <c r="H67" s="144">
        <v>0.64280637127913465</v>
      </c>
      <c r="I67" s="143">
        <v>0.34603038899999999</v>
      </c>
      <c r="J67" s="142">
        <v>0.32442196200000001</v>
      </c>
      <c r="K67" s="141">
        <v>0.23824971661783784</v>
      </c>
    </row>
    <row r="68" spans="1:11" hidden="1" x14ac:dyDescent="0.3">
      <c r="A68" s="146" t="s">
        <v>256</v>
      </c>
      <c r="B68" s="145">
        <v>569</v>
      </c>
      <c r="C68" s="144">
        <v>0.80864041499999995</v>
      </c>
      <c r="D68" s="142">
        <v>1.0240061277073025</v>
      </c>
      <c r="E68" s="142">
        <v>0.178832409</v>
      </c>
      <c r="F68" s="144">
        <v>0.43926824760235306</v>
      </c>
      <c r="G68" s="142">
        <v>4.8578194434360698E-2</v>
      </c>
      <c r="H68" s="144">
        <v>0.46169663658402205</v>
      </c>
      <c r="I68" s="143">
        <v>0.26939640500000001</v>
      </c>
      <c r="J68" s="142">
        <v>0.259427407</v>
      </c>
      <c r="K68" s="141">
        <v>0.13174170255678114</v>
      </c>
    </row>
    <row r="69" spans="1:11" hidden="1" x14ac:dyDescent="0.3">
      <c r="A69" s="146" t="s">
        <v>255</v>
      </c>
      <c r="B69" s="145">
        <v>961</v>
      </c>
      <c r="C69" s="144">
        <v>1.1872693139999999</v>
      </c>
      <c r="D69" s="142">
        <v>0.27793384185730174</v>
      </c>
      <c r="E69" s="142">
        <v>3.3333254999999999E-2</v>
      </c>
      <c r="F69" s="144">
        <v>0.93583821908983178</v>
      </c>
      <c r="G69" s="142">
        <v>7.1814194616206764E-2</v>
      </c>
      <c r="H69" s="144">
        <v>1.0082444847374867</v>
      </c>
      <c r="I69" s="143">
        <v>0.63245110199999999</v>
      </c>
      <c r="J69" s="142">
        <v>0.77376410100000004</v>
      </c>
      <c r="K69" s="141">
        <v>0.78863620301593085</v>
      </c>
    </row>
    <row r="70" spans="1:11" hidden="1" x14ac:dyDescent="0.3">
      <c r="A70" s="146" t="s">
        <v>254</v>
      </c>
      <c r="B70" s="145">
        <v>364</v>
      </c>
      <c r="C70" s="144">
        <v>0.90720963700000001</v>
      </c>
      <c r="D70" s="142">
        <v>0.3459581574679933</v>
      </c>
      <c r="E70" s="142">
        <v>0.15765356599999999</v>
      </c>
      <c r="F70" s="144">
        <v>0.70249183940338245</v>
      </c>
      <c r="G70" s="142">
        <v>0.10926815911539063</v>
      </c>
      <c r="H70" s="144">
        <v>0.78866815708049598</v>
      </c>
      <c r="I70" s="143">
        <v>0.32853418299999998</v>
      </c>
      <c r="J70" s="142">
        <v>0.366887293</v>
      </c>
      <c r="K70" s="141">
        <v>0.1589159941415744</v>
      </c>
    </row>
    <row r="71" spans="1:11" hidden="1" x14ac:dyDescent="0.3">
      <c r="A71" s="146" t="s">
        <v>253</v>
      </c>
      <c r="B71" s="145">
        <v>527</v>
      </c>
      <c r="C71" s="144">
        <v>0.72215673000000002</v>
      </c>
      <c r="D71" s="142">
        <v>0.77604222563112202</v>
      </c>
      <c r="E71" s="142">
        <v>2.5265467999999999E-2</v>
      </c>
      <c r="F71" s="144">
        <v>0.41114909804230826</v>
      </c>
      <c r="G71" s="142">
        <v>1.8271631232245698E-2</v>
      </c>
      <c r="H71" s="144">
        <v>0.41880128060104277</v>
      </c>
      <c r="I71" s="143">
        <v>0.20876276699999999</v>
      </c>
      <c r="J71" s="142">
        <v>0.21267691599999999</v>
      </c>
      <c r="K71" s="141">
        <v>0.24802067674739114</v>
      </c>
    </row>
    <row r="72" spans="1:11" hidden="1" x14ac:dyDescent="0.3">
      <c r="A72" s="146" t="s">
        <v>252</v>
      </c>
      <c r="B72" s="145">
        <v>746</v>
      </c>
      <c r="C72" s="144">
        <v>1.0604206199999999</v>
      </c>
      <c r="D72" s="142">
        <v>1.1345329931922898</v>
      </c>
      <c r="E72" s="142">
        <v>0.18551073500000001</v>
      </c>
      <c r="F72" s="144">
        <v>0.5511355650692632</v>
      </c>
      <c r="G72" s="142">
        <v>0.19145153337428117</v>
      </c>
      <c r="H72" s="144">
        <v>0.68163578043663109</v>
      </c>
      <c r="I72" s="143">
        <v>0.29475378600000002</v>
      </c>
      <c r="J72" s="142">
        <v>0.30402329900000002</v>
      </c>
      <c r="K72" s="141">
        <v>0.51713043900648137</v>
      </c>
    </row>
    <row r="73" spans="1:11" hidden="1" x14ac:dyDescent="0.3">
      <c r="A73" s="146" t="s">
        <v>251</v>
      </c>
      <c r="B73" s="145">
        <v>420</v>
      </c>
      <c r="C73" s="144">
        <v>1.0174418810000001</v>
      </c>
      <c r="D73" s="142">
        <v>0.7925556759596778</v>
      </c>
      <c r="E73" s="142">
        <v>0.15657490800000001</v>
      </c>
      <c r="F73" s="144">
        <v>0.60980848295519219</v>
      </c>
      <c r="G73" s="142">
        <v>9.6730760608749744E-2</v>
      </c>
      <c r="H73" s="144">
        <v>0.6751126423458933</v>
      </c>
      <c r="I73" s="143">
        <v>0.26800922700000002</v>
      </c>
      <c r="J73" s="142">
        <v>0.28755272100000001</v>
      </c>
      <c r="K73" s="141">
        <v>0.25818173199501065</v>
      </c>
    </row>
    <row r="74" spans="1:11" hidden="1" x14ac:dyDescent="0.3">
      <c r="A74" s="146" t="s">
        <v>250</v>
      </c>
      <c r="B74" s="145">
        <v>606</v>
      </c>
      <c r="C74" s="144">
        <v>0.81123380300000003</v>
      </c>
      <c r="D74" s="142">
        <v>0.89461418723560993</v>
      </c>
      <c r="E74" s="142">
        <v>0.140915122</v>
      </c>
      <c r="F74" s="144">
        <v>0.4587000781559209</v>
      </c>
      <c r="G74" s="142">
        <v>5.6174517108826434E-2</v>
      </c>
      <c r="H74" s="144">
        <v>0.486000946648323</v>
      </c>
      <c r="I74" s="143">
        <v>0.292575692</v>
      </c>
      <c r="J74" s="142">
        <v>0.29121219599999998</v>
      </c>
      <c r="K74" s="141">
        <v>0.33272255742170143</v>
      </c>
    </row>
    <row r="75" spans="1:11" hidden="1" x14ac:dyDescent="0.3">
      <c r="A75" s="146" t="s">
        <v>249</v>
      </c>
      <c r="B75" s="145">
        <v>307</v>
      </c>
      <c r="C75" s="144">
        <v>0.87468569399999996</v>
      </c>
      <c r="D75" s="142">
        <v>0.2543194941330128</v>
      </c>
      <c r="E75" s="142">
        <v>0.17095702700000001</v>
      </c>
      <c r="F75" s="144">
        <v>0.72237818481264204</v>
      </c>
      <c r="G75" s="142">
        <v>9.6243200554258862E-2</v>
      </c>
      <c r="H75" s="144">
        <v>0.79930594741380034</v>
      </c>
      <c r="I75" s="143">
        <v>0.34167988399999999</v>
      </c>
      <c r="J75" s="142">
        <v>0.34081973199999999</v>
      </c>
      <c r="K75" s="141">
        <v>0.25519003559609982</v>
      </c>
    </row>
    <row r="76" spans="1:11" hidden="1" x14ac:dyDescent="0.3">
      <c r="A76" s="146" t="s">
        <v>248</v>
      </c>
      <c r="B76" s="145">
        <v>38</v>
      </c>
      <c r="C76" s="144">
        <v>0.96919854900000002</v>
      </c>
      <c r="D76" s="142">
        <v>0.25119276020153181</v>
      </c>
      <c r="E76" s="142">
        <v>0.14936222099999999</v>
      </c>
      <c r="F76" s="144">
        <v>0.79856576622972364</v>
      </c>
      <c r="G76" s="142">
        <v>0.13063275174530492</v>
      </c>
      <c r="H76" s="144">
        <v>0.9185597546179598</v>
      </c>
      <c r="I76" s="143">
        <v>0.23271824299999999</v>
      </c>
      <c r="J76" s="142">
        <v>0.22710455399999999</v>
      </c>
      <c r="K76" s="141">
        <v>0.29374959078055818</v>
      </c>
    </row>
    <row r="77" spans="1:11" hidden="1" x14ac:dyDescent="0.3">
      <c r="A77" s="146" t="s">
        <v>247</v>
      </c>
      <c r="B77" s="145">
        <v>346</v>
      </c>
      <c r="C77" s="144">
        <v>0.784177927</v>
      </c>
      <c r="D77" s="142">
        <v>0.38071635580997859</v>
      </c>
      <c r="E77" s="142">
        <v>0.20288503999999999</v>
      </c>
      <c r="F77" s="144">
        <v>0.60160578901602124</v>
      </c>
      <c r="G77" s="142">
        <v>3.7368201881351475E-2</v>
      </c>
      <c r="H77" s="144">
        <v>0.62495939796689615</v>
      </c>
      <c r="I77" s="143">
        <v>0.29907834900000002</v>
      </c>
      <c r="J77" s="142">
        <v>0.29128089200000001</v>
      </c>
      <c r="K77" s="141">
        <v>0.18805203116638389</v>
      </c>
    </row>
    <row r="78" spans="1:11" hidden="1" x14ac:dyDescent="0.3">
      <c r="A78" s="146" t="s">
        <v>246</v>
      </c>
      <c r="B78" s="145">
        <v>163</v>
      </c>
      <c r="C78" s="144">
        <v>0.92112118799999998</v>
      </c>
      <c r="D78" s="142">
        <v>0.64523406620310597</v>
      </c>
      <c r="E78" s="142">
        <v>0.20112619200000001</v>
      </c>
      <c r="F78" s="144">
        <v>0.60781599384611107</v>
      </c>
      <c r="G78" s="142">
        <v>5.6464504294881604E-2</v>
      </c>
      <c r="H78" s="144">
        <v>0.64418985466135636</v>
      </c>
      <c r="I78" s="143">
        <v>0.30846961699999997</v>
      </c>
      <c r="J78" s="142">
        <v>0.30187146999999998</v>
      </c>
      <c r="K78" s="141">
        <v>0.36997240107177903</v>
      </c>
    </row>
    <row r="79" spans="1:11" hidden="1" x14ac:dyDescent="0.3">
      <c r="A79" s="146" t="s">
        <v>245</v>
      </c>
      <c r="B79" s="145">
        <v>50</v>
      </c>
      <c r="C79" s="144">
        <v>0.85246411499999997</v>
      </c>
      <c r="D79" s="142">
        <v>0.25985832105863554</v>
      </c>
      <c r="E79" s="142">
        <v>0.210740443</v>
      </c>
      <c r="F79" s="144">
        <v>0.70738294138585689</v>
      </c>
      <c r="G79" s="142">
        <v>2.7413749467549646E-2</v>
      </c>
      <c r="H79" s="144">
        <v>0.7273215522002231</v>
      </c>
      <c r="I79" s="143">
        <v>0.24487938100000001</v>
      </c>
      <c r="J79" s="142">
        <v>0.268790323</v>
      </c>
      <c r="K79" s="141">
        <v>0.19659138781176294</v>
      </c>
    </row>
    <row r="80" spans="1:11" hidden="1" x14ac:dyDescent="0.3">
      <c r="A80" s="146" t="s">
        <v>244</v>
      </c>
      <c r="B80" s="145">
        <v>929</v>
      </c>
      <c r="C80" s="144">
        <v>0.89056124999999997</v>
      </c>
      <c r="D80" s="142">
        <v>0.9088865618833295</v>
      </c>
      <c r="E80" s="142">
        <v>0.18020851399999999</v>
      </c>
      <c r="F80" s="144">
        <v>0.51032178303711206</v>
      </c>
      <c r="G80" s="142">
        <v>0.1091830400785548</v>
      </c>
      <c r="H80" s="144">
        <v>0.57286940639535389</v>
      </c>
      <c r="I80" s="143">
        <v>0.33795469</v>
      </c>
      <c r="J80" s="142">
        <v>0.33755103800000003</v>
      </c>
      <c r="K80" s="141">
        <v>0.19676330025040065</v>
      </c>
    </row>
    <row r="81" spans="1:11" hidden="1" x14ac:dyDescent="0.3">
      <c r="A81" s="146" t="s">
        <v>243</v>
      </c>
      <c r="B81" s="145">
        <v>220</v>
      </c>
      <c r="C81" s="144">
        <v>1.1071740349999999</v>
      </c>
      <c r="D81" s="142">
        <v>0.55768076341755946</v>
      </c>
      <c r="E81" s="142">
        <v>0.22395652199999999</v>
      </c>
      <c r="F81" s="144">
        <v>0.7727428794210599</v>
      </c>
      <c r="G81" s="142">
        <v>5.1614508721979521E-2</v>
      </c>
      <c r="H81" s="144">
        <v>0.81479829302294682</v>
      </c>
      <c r="I81" s="143">
        <v>0.25499496100000002</v>
      </c>
      <c r="J81" s="142">
        <v>0.29288672900000001</v>
      </c>
      <c r="K81" s="141">
        <v>9.8363003605166865E-2</v>
      </c>
    </row>
    <row r="82" spans="1:11" hidden="1" x14ac:dyDescent="0.3">
      <c r="A82" s="146" t="s">
        <v>242</v>
      </c>
      <c r="B82" s="145">
        <v>163</v>
      </c>
      <c r="C82" s="144">
        <v>0.76772340900000002</v>
      </c>
      <c r="D82" s="142">
        <v>0.60246609586884459</v>
      </c>
      <c r="E82" s="142">
        <v>0.23733610999999999</v>
      </c>
      <c r="F82" s="144">
        <v>0.52602561415361726</v>
      </c>
      <c r="G82" s="142">
        <v>7.3550385087194678E-2</v>
      </c>
      <c r="H82" s="144">
        <v>0.5677865322477631</v>
      </c>
      <c r="I82" s="143">
        <v>0.243046074</v>
      </c>
      <c r="J82" s="142">
        <v>0.25363060500000001</v>
      </c>
      <c r="K82" s="141">
        <v>0.1576715528538162</v>
      </c>
    </row>
    <row r="83" spans="1:11" hidden="1" x14ac:dyDescent="0.3">
      <c r="A83" s="146" t="s">
        <v>241</v>
      </c>
      <c r="B83" s="145">
        <v>190</v>
      </c>
      <c r="C83" s="144">
        <v>1.2496995479999999</v>
      </c>
      <c r="D83" s="142">
        <v>0.11071105527419706</v>
      </c>
      <c r="E83" s="142">
        <v>0.14766059500000001</v>
      </c>
      <c r="F83" s="144">
        <v>1.1419420219401641</v>
      </c>
      <c r="G83" s="142">
        <v>5.0318575384860745E-2</v>
      </c>
      <c r="H83" s="144">
        <v>1.2024474653728632</v>
      </c>
      <c r="I83" s="143">
        <v>0.44289550799999999</v>
      </c>
      <c r="J83" s="142">
        <v>0.43558296499999999</v>
      </c>
      <c r="K83" s="141">
        <v>0.40638304204906306</v>
      </c>
    </row>
    <row r="84" spans="1:11" hidden="1" x14ac:dyDescent="0.3">
      <c r="A84" s="146" t="s">
        <v>240</v>
      </c>
      <c r="B84" s="145">
        <v>505</v>
      </c>
      <c r="C84" s="144">
        <v>0.92382392700000004</v>
      </c>
      <c r="D84" s="142">
        <v>0.37395066715670133</v>
      </c>
      <c r="E84" s="142">
        <v>0.20545080600000001</v>
      </c>
      <c r="F84" s="144">
        <v>0.71221040404361724</v>
      </c>
      <c r="G84" s="142">
        <v>5.7377235271240189E-2</v>
      </c>
      <c r="H84" s="144">
        <v>0.75556249084283056</v>
      </c>
      <c r="I84" s="143">
        <v>0.32172287300000002</v>
      </c>
      <c r="J84" s="142">
        <v>0.33521347000000001</v>
      </c>
      <c r="K84" s="141">
        <v>0.20611555122707759</v>
      </c>
    </row>
    <row r="85" spans="1:11" hidden="1" x14ac:dyDescent="0.3">
      <c r="A85" s="146" t="s">
        <v>239</v>
      </c>
      <c r="B85" s="145">
        <v>87</v>
      </c>
      <c r="C85" s="144">
        <v>1.0590618860000001</v>
      </c>
      <c r="D85" s="142">
        <v>0.32978177435517758</v>
      </c>
      <c r="E85" s="142">
        <v>0.19255476699999999</v>
      </c>
      <c r="F85" s="144">
        <v>0.83635632123809078</v>
      </c>
      <c r="G85" s="142">
        <v>8.6429089089237701E-2</v>
      </c>
      <c r="H85" s="144">
        <v>0.91548046380363157</v>
      </c>
      <c r="I85" s="143">
        <v>0.30351054300000002</v>
      </c>
      <c r="J85" s="142">
        <v>0.27809847199999999</v>
      </c>
      <c r="K85" s="141">
        <v>0.41285477833869255</v>
      </c>
    </row>
    <row r="86" spans="1:11" hidden="1" x14ac:dyDescent="0.3">
      <c r="A86" s="146" t="s">
        <v>238</v>
      </c>
      <c r="B86" s="145">
        <v>535</v>
      </c>
      <c r="C86" s="144">
        <v>1.356759069</v>
      </c>
      <c r="D86" s="142">
        <v>0.15811898335002447</v>
      </c>
      <c r="E86" s="142">
        <v>9.8154380999999999E-2</v>
      </c>
      <c r="F86" s="144">
        <v>1.1874324876893201</v>
      </c>
      <c r="G86" s="142">
        <v>7.5407952080071367E-2</v>
      </c>
      <c r="H86" s="144">
        <v>1.2842772013459431</v>
      </c>
      <c r="I86" s="143">
        <v>0.35423019700000002</v>
      </c>
      <c r="J86" s="142">
        <v>0.34563363699999999</v>
      </c>
      <c r="K86" s="141">
        <v>0.41140284829439083</v>
      </c>
    </row>
    <row r="87" spans="1:11" hidden="1" x14ac:dyDescent="0.3">
      <c r="A87" s="146" t="s">
        <v>237</v>
      </c>
      <c r="B87" s="145">
        <v>258</v>
      </c>
      <c r="C87" s="144">
        <v>1.2406640879999999</v>
      </c>
      <c r="D87" s="142">
        <v>0.1543952713312626</v>
      </c>
      <c r="E87" s="142">
        <v>0.13652725499999999</v>
      </c>
      <c r="F87" s="144">
        <v>1.0947202447928144</v>
      </c>
      <c r="G87" s="142">
        <v>0.1116134274515211</v>
      </c>
      <c r="H87" s="144">
        <v>1.2322566308633351</v>
      </c>
      <c r="I87" s="143">
        <v>0.37460880699999999</v>
      </c>
      <c r="J87" s="142">
        <v>0.36583173099999999</v>
      </c>
      <c r="K87" s="141">
        <v>0.56489639376884482</v>
      </c>
    </row>
    <row r="88" spans="1:11" hidden="1" x14ac:dyDescent="0.3">
      <c r="A88" s="146" t="s">
        <v>236</v>
      </c>
      <c r="B88" s="145">
        <v>326</v>
      </c>
      <c r="C88" s="144">
        <v>1.152782354</v>
      </c>
      <c r="D88" s="142">
        <v>0.88364710867074847</v>
      </c>
      <c r="E88" s="142">
        <v>0.114266794</v>
      </c>
      <c r="F88" s="144">
        <v>0.64665851863731505</v>
      </c>
      <c r="G88" s="142">
        <v>0.11213775235445131</v>
      </c>
      <c r="H88" s="144">
        <v>0.72833203613751729</v>
      </c>
      <c r="I88" s="143">
        <v>0.31976773800000002</v>
      </c>
      <c r="J88" s="142">
        <v>0.34111307299999999</v>
      </c>
      <c r="K88" s="141">
        <v>0.42687887438907429</v>
      </c>
    </row>
    <row r="89" spans="1:11" hidden="1" x14ac:dyDescent="0.3">
      <c r="A89" s="146" t="s">
        <v>235</v>
      </c>
      <c r="B89" s="145">
        <v>89</v>
      </c>
      <c r="C89" s="144">
        <v>0.96638285999999995</v>
      </c>
      <c r="D89" s="142">
        <v>0.13177444692436424</v>
      </c>
      <c r="E89" s="142">
        <v>0.18352918400000001</v>
      </c>
      <c r="F89" s="144">
        <v>0.87250956449892603</v>
      </c>
      <c r="G89" s="142">
        <v>6.853899957840949E-2</v>
      </c>
      <c r="H89" s="144">
        <v>0.9367107845674888</v>
      </c>
      <c r="I89" s="143">
        <v>0.33972374999999999</v>
      </c>
      <c r="J89" s="142">
        <v>0.34972596299999997</v>
      </c>
      <c r="K89" s="141">
        <v>0.18967585100214956</v>
      </c>
    </row>
    <row r="90" spans="1:11" hidden="1" x14ac:dyDescent="0.3">
      <c r="A90" s="146" t="s">
        <v>234</v>
      </c>
      <c r="B90" s="145">
        <v>120</v>
      </c>
      <c r="C90" s="144">
        <v>1.404874553</v>
      </c>
      <c r="D90" s="142">
        <v>9.1291342401627201E-2</v>
      </c>
      <c r="E90" s="142">
        <v>0.11108032</v>
      </c>
      <c r="F90" s="144">
        <v>1.2994253167911833</v>
      </c>
      <c r="G90" s="142">
        <v>0.14671006481645602</v>
      </c>
      <c r="H90" s="144">
        <v>1.5228414905792542</v>
      </c>
      <c r="I90" s="143">
        <v>0.40580386800000001</v>
      </c>
      <c r="J90" s="142">
        <v>0.46105926699999999</v>
      </c>
      <c r="K90" s="141">
        <v>0.33054107785240738</v>
      </c>
    </row>
    <row r="91" spans="1:11" hidden="1" x14ac:dyDescent="0.3">
      <c r="A91" s="146" t="s">
        <v>233</v>
      </c>
      <c r="B91" s="145">
        <v>830</v>
      </c>
      <c r="C91" s="144">
        <v>1.150974071</v>
      </c>
      <c r="D91" s="142">
        <v>5.0678615403620522E-2</v>
      </c>
      <c r="E91" s="142">
        <v>8.4122777999999995E-2</v>
      </c>
      <c r="F91" s="144">
        <v>1.0999208178314519</v>
      </c>
      <c r="G91" s="142">
        <v>3.9516569361662215E-2</v>
      </c>
      <c r="H91" s="144">
        <v>1.1451741724481848</v>
      </c>
      <c r="I91" s="143">
        <v>0.510322202</v>
      </c>
      <c r="J91" s="142">
        <v>0.510954515</v>
      </c>
      <c r="K91" s="141">
        <v>0.47532961617721697</v>
      </c>
    </row>
    <row r="92" spans="1:11" s="147" customFormat="1" hidden="1" x14ac:dyDescent="0.3">
      <c r="A92" s="153" t="s">
        <v>232</v>
      </c>
      <c r="B92" s="152">
        <v>1026</v>
      </c>
      <c r="C92" s="151">
        <v>1.057811579</v>
      </c>
      <c r="D92" s="149">
        <v>0.17431102794187597</v>
      </c>
      <c r="E92" s="149">
        <v>0.11086444099999999</v>
      </c>
      <c r="F92" s="151">
        <v>0.91586517667192169</v>
      </c>
      <c r="G92" s="149">
        <v>5.870959350026593E-2</v>
      </c>
      <c r="H92" s="151">
        <v>0.97298896318049366</v>
      </c>
      <c r="I92" s="150">
        <v>0.43013511399999999</v>
      </c>
      <c r="J92" s="149">
        <v>0.44002714999999998</v>
      </c>
      <c r="K92" s="148">
        <v>0.18021186281212143</v>
      </c>
    </row>
    <row r="93" spans="1:11" hidden="1" x14ac:dyDescent="0.3">
      <c r="A93" s="146" t="s">
        <v>231</v>
      </c>
      <c r="B93" s="145">
        <v>737</v>
      </c>
      <c r="C93" s="144">
        <v>1.1460330270000001</v>
      </c>
      <c r="D93" s="142">
        <v>0.78828964232403642</v>
      </c>
      <c r="E93" s="142">
        <v>0.116864074</v>
      </c>
      <c r="F93" s="144">
        <v>0.67566052893591133</v>
      </c>
      <c r="G93" s="142">
        <v>8.1409432162358478E-2</v>
      </c>
      <c r="H93" s="144">
        <v>0.735540460127316</v>
      </c>
      <c r="I93" s="143">
        <v>0.399642738</v>
      </c>
      <c r="J93" s="142">
        <v>0.37372653500000003</v>
      </c>
      <c r="K93" s="141">
        <v>0.53580745092245918</v>
      </c>
    </row>
    <row r="94" spans="1:11" hidden="1" x14ac:dyDescent="0.3">
      <c r="A94" s="146" t="s">
        <v>230</v>
      </c>
      <c r="B94" s="145">
        <v>106</v>
      </c>
      <c r="C94" s="144">
        <v>1.024638715</v>
      </c>
      <c r="D94" s="142">
        <v>0.6350127366312831</v>
      </c>
      <c r="E94" s="142">
        <v>0.13781001400000001</v>
      </c>
      <c r="F94" s="144">
        <v>0.66212448510441668</v>
      </c>
      <c r="G94" s="142">
        <v>5.5176865186932614E-2</v>
      </c>
      <c r="H94" s="144">
        <v>0.70079199027595529</v>
      </c>
      <c r="I94" s="143">
        <v>0.34366613000000001</v>
      </c>
      <c r="J94" s="142">
        <v>0.27495881599999999</v>
      </c>
      <c r="K94" s="141">
        <v>0.1498295247542947</v>
      </c>
    </row>
    <row r="95" spans="1:11" hidden="1" x14ac:dyDescent="0.3">
      <c r="A95" s="146" t="s">
        <v>229</v>
      </c>
      <c r="B95" s="145">
        <v>480</v>
      </c>
      <c r="C95" s="144">
        <v>1.1628403350000001</v>
      </c>
      <c r="D95" s="142">
        <v>0.20371064109279649</v>
      </c>
      <c r="E95" s="142">
        <v>9.8094607E-2</v>
      </c>
      <c r="F95" s="144">
        <v>0.98235456485676786</v>
      </c>
      <c r="G95" s="142">
        <v>9.2882566826319929E-2</v>
      </c>
      <c r="H95" s="144">
        <v>1.0829408948958901</v>
      </c>
      <c r="I95" s="143">
        <v>0.38927848100000001</v>
      </c>
      <c r="J95" s="142">
        <v>0.41868216000000003</v>
      </c>
      <c r="K95" s="141">
        <v>0.15834753823362682</v>
      </c>
    </row>
    <row r="96" spans="1:11" hidden="1" x14ac:dyDescent="0.3">
      <c r="A96" s="146" t="s">
        <v>228</v>
      </c>
      <c r="B96" s="145">
        <v>297</v>
      </c>
      <c r="C96" s="144">
        <v>0.91723466399999998</v>
      </c>
      <c r="D96" s="142">
        <v>0.64169301174682636</v>
      </c>
      <c r="E96" s="142">
        <v>0.15052737999999999</v>
      </c>
      <c r="F96" s="144">
        <v>0.59364072340970298</v>
      </c>
      <c r="G96" s="142">
        <v>3.8068175881730136E-2</v>
      </c>
      <c r="H96" s="144">
        <v>0.61713388467405006</v>
      </c>
      <c r="I96" s="143">
        <v>0.32962059500000002</v>
      </c>
      <c r="J96" s="142">
        <v>0.314243357</v>
      </c>
      <c r="K96" s="141">
        <v>8.4761779518608707E-2</v>
      </c>
    </row>
    <row r="97" spans="1:11" hidden="1" x14ac:dyDescent="0.3">
      <c r="A97" s="146" t="s">
        <v>227</v>
      </c>
      <c r="B97" s="145">
        <v>59</v>
      </c>
      <c r="C97" s="144">
        <v>0.70672992899999998</v>
      </c>
      <c r="D97" s="142">
        <v>0.16945329264740891</v>
      </c>
      <c r="E97" s="142">
        <v>0.16494604500000001</v>
      </c>
      <c r="F97" s="144">
        <v>0.61912246442976893</v>
      </c>
      <c r="G97" s="142">
        <v>2.3847400790922662E-2</v>
      </c>
      <c r="H97" s="144">
        <v>0.63424762166428661</v>
      </c>
      <c r="I97" s="143">
        <v>0.37177467400000003</v>
      </c>
      <c r="J97" s="142">
        <v>0.33607586099999998</v>
      </c>
      <c r="K97" s="141">
        <v>0.17797288829896724</v>
      </c>
    </row>
    <row r="98" spans="1:11" hidden="1" x14ac:dyDescent="0.3">
      <c r="A98" s="146" t="s">
        <v>226</v>
      </c>
      <c r="B98" s="145">
        <v>221</v>
      </c>
      <c r="C98" s="144">
        <v>1.070230587</v>
      </c>
      <c r="D98" s="142">
        <v>0.52393960896380054</v>
      </c>
      <c r="E98" s="142">
        <v>0.20345018000000001</v>
      </c>
      <c r="F98" s="144">
        <v>0.75509585963999537</v>
      </c>
      <c r="G98" s="142">
        <v>7.6493970362447344E-2</v>
      </c>
      <c r="H98" s="144">
        <v>0.8176404218349792</v>
      </c>
      <c r="I98" s="143">
        <v>0.29250101099999998</v>
      </c>
      <c r="J98" s="142">
        <v>0.302015965</v>
      </c>
      <c r="K98" s="141">
        <v>0.18766135567970887</v>
      </c>
    </row>
    <row r="99" spans="1:11" hidden="1" x14ac:dyDescent="0.3">
      <c r="A99" s="146" t="s">
        <v>225</v>
      </c>
      <c r="B99" s="145">
        <v>49</v>
      </c>
      <c r="C99" s="144">
        <v>0.98500896000000004</v>
      </c>
      <c r="D99" s="142">
        <v>0.42633626417682974</v>
      </c>
      <c r="E99" s="142">
        <v>0.23115096900000001</v>
      </c>
      <c r="F99" s="144">
        <v>0.74184191612644479</v>
      </c>
      <c r="G99" s="142">
        <v>2.429523031858407E-2</v>
      </c>
      <c r="H99" s="144">
        <v>0.76031391787565894</v>
      </c>
      <c r="I99" s="143">
        <v>0.21491335</v>
      </c>
      <c r="J99" s="142">
        <v>0.23694648800000001</v>
      </c>
      <c r="K99" s="141">
        <v>0.18509406853014843</v>
      </c>
    </row>
    <row r="100" spans="1:11" hidden="1" x14ac:dyDescent="0.3">
      <c r="A100" s="146" t="s">
        <v>224</v>
      </c>
      <c r="B100" s="145">
        <v>195</v>
      </c>
      <c r="C100" s="144">
        <v>0.86536281400000004</v>
      </c>
      <c r="D100" s="142">
        <v>0.78388101387699749</v>
      </c>
      <c r="E100" s="142">
        <v>0.208465331</v>
      </c>
      <c r="F100" s="144">
        <v>0.53401997484167407</v>
      </c>
      <c r="G100" s="142">
        <v>7.3134533568618015E-2</v>
      </c>
      <c r="H100" s="144">
        <v>0.57615694421948649</v>
      </c>
      <c r="I100" s="143">
        <v>0.29191477399999999</v>
      </c>
      <c r="J100" s="142">
        <v>0.28936895200000001</v>
      </c>
      <c r="K100" s="141">
        <v>0.18619690096875072</v>
      </c>
    </row>
    <row r="101" spans="1:11" hidden="1" x14ac:dyDescent="0.3">
      <c r="A101" s="146" t="s">
        <v>223</v>
      </c>
      <c r="B101" s="145">
        <v>57</v>
      </c>
      <c r="C101" s="144">
        <v>0.75292326700000001</v>
      </c>
      <c r="D101" s="142">
        <v>0.96025728450732428</v>
      </c>
      <c r="E101" s="142">
        <v>0.208720084</v>
      </c>
      <c r="F101" s="144">
        <v>0.42783807612541447</v>
      </c>
      <c r="G101" s="142">
        <v>4.7309419188996719E-2</v>
      </c>
      <c r="H101" s="144">
        <v>0.44908397830616303</v>
      </c>
      <c r="I101" s="143">
        <v>0.19681348000000001</v>
      </c>
      <c r="J101" s="142">
        <v>0.206395681</v>
      </c>
      <c r="K101" s="141">
        <v>0.11924232653602733</v>
      </c>
    </row>
    <row r="102" spans="1:11" hidden="1" x14ac:dyDescent="0.3">
      <c r="A102" s="146" t="s">
        <v>222</v>
      </c>
      <c r="B102" s="145">
        <v>96</v>
      </c>
      <c r="C102" s="144">
        <v>1.0546156609999999</v>
      </c>
      <c r="D102" s="142">
        <v>0.54398204697585062</v>
      </c>
      <c r="E102" s="142">
        <v>0.14991307700000001</v>
      </c>
      <c r="F102" s="144">
        <v>0.72113824324539955</v>
      </c>
      <c r="G102" s="142">
        <v>5.7550543750087342E-2</v>
      </c>
      <c r="H102" s="144">
        <v>0.76517444883980368</v>
      </c>
      <c r="I102" s="143">
        <v>0.298277389</v>
      </c>
      <c r="J102" s="142">
        <v>0.36676055600000002</v>
      </c>
      <c r="K102" s="141">
        <v>0.22475416372920226</v>
      </c>
    </row>
    <row r="103" spans="1:11" s="128" customFormat="1" hidden="1" x14ac:dyDescent="0.3">
      <c r="A103" s="140" t="s">
        <v>221</v>
      </c>
      <c r="B103" s="139">
        <v>42678</v>
      </c>
      <c r="C103" s="138">
        <v>1.0103673660000001</v>
      </c>
      <c r="D103" s="136">
        <v>0.8053492350926984</v>
      </c>
      <c r="E103" s="136">
        <v>0.13832691699999999</v>
      </c>
      <c r="F103" s="138">
        <v>0.59645721720340761</v>
      </c>
      <c r="G103" s="136">
        <v>0.11432347183610243</v>
      </c>
      <c r="H103" s="138">
        <v>0.67344814753071014</v>
      </c>
      <c r="I103" s="137">
        <v>0.36643464100000001</v>
      </c>
      <c r="J103" s="136">
        <v>0.36676055600000002</v>
      </c>
      <c r="K103" s="135">
        <v>0.15347551729108491</v>
      </c>
    </row>
    <row r="104" spans="1:11" s="128" customFormat="1" hidden="1" x14ac:dyDescent="0.3">
      <c r="A104" s="134" t="s">
        <v>220</v>
      </c>
      <c r="B104" s="133">
        <v>37762</v>
      </c>
      <c r="C104" s="132">
        <v>1.0474215923523651</v>
      </c>
      <c r="D104" s="130">
        <v>0.42728470721822187</v>
      </c>
      <c r="E104" s="130">
        <v>0.1358809151361686</v>
      </c>
      <c r="F104" s="132">
        <v>0.76497412161116662</v>
      </c>
      <c r="G104" s="130">
        <v>6.96822757281301E-2</v>
      </c>
      <c r="H104" s="132">
        <v>0.82227189878585571</v>
      </c>
      <c r="I104" s="131">
        <v>0.37846421760515864</v>
      </c>
      <c r="J104" s="130">
        <v>0.3794264402106351</v>
      </c>
      <c r="K104" s="129">
        <v>0.14028018085363744</v>
      </c>
    </row>
  </sheetData>
  <mergeCells count="8">
    <mergeCell ref="B6:G6"/>
    <mergeCell ref="B7:G7"/>
    <mergeCell ref="B1:G1"/>
    <mergeCell ref="B2:G2"/>
    <mergeCell ref="B3:E3"/>
    <mergeCell ref="F3:G3"/>
    <mergeCell ref="B4:G4"/>
    <mergeCell ref="B5:G5"/>
  </mergeCells>
  <hyperlinks>
    <hyperlink ref="B2" r:id="rId1" xr:uid="{00000000-0004-0000-0A00-000000000000}"/>
    <hyperlink ref="B4" r:id="rId2" xr:uid="{00000000-0004-0000-0A00-000001000000}"/>
    <hyperlink ref="B5" r:id="rId3" xr:uid="{00000000-0004-0000-0A00-000002000000}"/>
    <hyperlink ref="B6" r:id="rId4" xr:uid="{00000000-0004-0000-0A00-000003000000}"/>
    <hyperlink ref="B7" r:id="rId5" xr:uid="{00000000-0004-0000-0A00-000004000000}"/>
  </hyperlinks>
  <pageMargins left="0.75" right="0.75" top="1" bottom="1" header="0.5" footer="0.5"/>
  <pageSetup scale="60" orientation="landscape" horizontalDpi="4294967292" verticalDpi="4294967292"/>
  <headerFooter alignWithMargins="0"/>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11</vt:i4>
      </vt:variant>
      <vt:variant>
        <vt:lpstr>Именованные диапазоны</vt:lpstr>
      </vt:variant>
      <vt:variant>
        <vt:i4>2</vt:i4>
      </vt:variant>
    </vt:vector>
  </HeadingPairs>
  <TitlesOfParts>
    <vt:vector size="13" baseType="lpstr">
      <vt:lpstr>Title</vt:lpstr>
      <vt:lpstr>Control</vt:lpstr>
      <vt:lpstr>Inputs</vt:lpstr>
      <vt:lpstr>Calculation</vt:lpstr>
      <vt:lpstr>Valuation</vt:lpstr>
      <vt:lpstr>Peers</vt:lpstr>
      <vt:lpstr>IS</vt:lpstr>
      <vt:lpstr>BS</vt:lpstr>
      <vt:lpstr>CFS</vt:lpstr>
      <vt:lpstr>Handouts</vt:lpstr>
      <vt:lpstr>Damodaran</vt:lpstr>
      <vt:lpstr>Time</vt:lpstr>
      <vt:lpstr>Damodaran!Заголовки_для_печати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Chochiev</dc:creator>
  <cp:lastModifiedBy>Denis Chochiev</cp:lastModifiedBy>
  <dcterms:created xsi:type="dcterms:W3CDTF">2015-06-05T18:17:20Z</dcterms:created>
  <dcterms:modified xsi:type="dcterms:W3CDTF">2023-02-24T10:29:26Z</dcterms:modified>
</cp:coreProperties>
</file>