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och\OneDrive\Рабочий стол\Портфолио\"/>
    </mc:Choice>
  </mc:AlternateContent>
  <xr:revisionPtr revIDLastSave="0" documentId="13_ncr:1_{269EC6E5-B500-4863-9555-5CEC41146A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" sheetId="2" r:id="rId1"/>
    <sheet name="model" sheetId="6" r:id="rId2"/>
    <sheet name="DCF" sheetId="5" r:id="rId3"/>
  </sheets>
  <definedNames>
    <definedName name="solver_adj" localSheetId="1" hidden="1">model!$J$232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1" hidden="1">model!$J$232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1</definedName>
    <definedName name="solver_nwt" localSheetId="2" hidden="1">1</definedName>
    <definedName name="solver_nwt" localSheetId="1" hidden="1">1</definedName>
    <definedName name="solver_opt" localSheetId="2" hidden="1">DCF!$H$39</definedName>
    <definedName name="solver_opt" localSheetId="1" hidden="1">model!$J$255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el1" localSheetId="1" hidden="1">1</definedName>
    <definedName name="solver_rhs1" localSheetId="1" hidden="1">99%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" i="5" l="1"/>
  <c r="K187" i="6"/>
  <c r="K186" i="6"/>
  <c r="K185" i="6"/>
  <c r="J185" i="6"/>
  <c r="K116" i="6" l="1"/>
  <c r="J50" i="6"/>
  <c r="H38" i="5" l="1"/>
  <c r="H37" i="5"/>
  <c r="H36" i="5"/>
  <c r="H35" i="5"/>
  <c r="H26" i="5"/>
  <c r="L22" i="5"/>
  <c r="J17" i="5"/>
  <c r="I17" i="5"/>
  <c r="H17" i="5"/>
  <c r="G16" i="5"/>
  <c r="H5" i="5"/>
  <c r="J252" i="6"/>
  <c r="J248" i="6"/>
  <c r="J244" i="6"/>
  <c r="J243" i="6"/>
  <c r="J242" i="6"/>
  <c r="J245" i="6" s="1"/>
  <c r="J237" i="6"/>
  <c r="J249" i="6" s="1"/>
  <c r="J226" i="6"/>
  <c r="I226" i="6"/>
  <c r="H226" i="6"/>
  <c r="J225" i="6"/>
  <c r="K225" i="6" s="1"/>
  <c r="I225" i="6"/>
  <c r="H225" i="6"/>
  <c r="K223" i="6"/>
  <c r="K215" i="6"/>
  <c r="J215" i="6"/>
  <c r="I215" i="6"/>
  <c r="H215" i="6"/>
  <c r="J214" i="6"/>
  <c r="I214" i="6"/>
  <c r="I216" i="6" s="1"/>
  <c r="H214" i="6"/>
  <c r="H216" i="6" s="1"/>
  <c r="J212" i="6"/>
  <c r="K208" i="6" s="1"/>
  <c r="J202" i="6"/>
  <c r="K199" i="6" s="1"/>
  <c r="K201" i="6" s="1"/>
  <c r="K159" i="6" s="1"/>
  <c r="K192" i="6"/>
  <c r="J192" i="6"/>
  <c r="I192" i="6"/>
  <c r="H192" i="6"/>
  <c r="J191" i="6"/>
  <c r="I191" i="6"/>
  <c r="I18" i="5" s="1"/>
  <c r="H191" i="6"/>
  <c r="H18" i="5" s="1"/>
  <c r="S185" i="6"/>
  <c r="I185" i="6"/>
  <c r="H185" i="6"/>
  <c r="J181" i="6"/>
  <c r="I181" i="6"/>
  <c r="H181" i="6"/>
  <c r="J163" i="6"/>
  <c r="I163" i="6"/>
  <c r="H163" i="6"/>
  <c r="J155" i="6"/>
  <c r="I155" i="6"/>
  <c r="H155" i="6"/>
  <c r="J140" i="6"/>
  <c r="J145" i="6" s="1"/>
  <c r="J149" i="6" s="1"/>
  <c r="I140" i="6"/>
  <c r="I145" i="6" s="1"/>
  <c r="I149" i="6" s="1"/>
  <c r="H140" i="6"/>
  <c r="H145" i="6" s="1"/>
  <c r="H149" i="6" s="1"/>
  <c r="H165" i="6" s="1"/>
  <c r="H167" i="6" s="1"/>
  <c r="H170" i="6" s="1"/>
  <c r="J126" i="6"/>
  <c r="I126" i="6"/>
  <c r="H126" i="6"/>
  <c r="K125" i="6"/>
  <c r="L125" i="6" s="1"/>
  <c r="M125" i="6" s="1"/>
  <c r="N125" i="6" s="1"/>
  <c r="O125" i="6" s="1"/>
  <c r="P125" i="6" s="1"/>
  <c r="Q125" i="6" s="1"/>
  <c r="R125" i="6" s="1"/>
  <c r="S125" i="6" s="1"/>
  <c r="K124" i="6"/>
  <c r="L124" i="6" s="1"/>
  <c r="M124" i="6" s="1"/>
  <c r="N124" i="6" s="1"/>
  <c r="O124" i="6" s="1"/>
  <c r="P124" i="6" s="1"/>
  <c r="Q124" i="6" s="1"/>
  <c r="R124" i="6" s="1"/>
  <c r="S124" i="6" s="1"/>
  <c r="J118" i="6"/>
  <c r="I118" i="6"/>
  <c r="I128" i="6" s="1"/>
  <c r="H118" i="6"/>
  <c r="K117" i="6"/>
  <c r="L117" i="6" s="1"/>
  <c r="M117" i="6" s="1"/>
  <c r="N117" i="6" s="1"/>
  <c r="O117" i="6" s="1"/>
  <c r="P117" i="6" s="1"/>
  <c r="Q117" i="6" s="1"/>
  <c r="R117" i="6" s="1"/>
  <c r="S117" i="6" s="1"/>
  <c r="K115" i="6"/>
  <c r="L115" i="6" s="1"/>
  <c r="M115" i="6" s="1"/>
  <c r="N115" i="6" s="1"/>
  <c r="O115" i="6" s="1"/>
  <c r="P115" i="6" s="1"/>
  <c r="Q115" i="6" s="1"/>
  <c r="R115" i="6" s="1"/>
  <c r="S115" i="6" s="1"/>
  <c r="K114" i="6"/>
  <c r="L114" i="6" s="1"/>
  <c r="M114" i="6" s="1"/>
  <c r="N114" i="6" s="1"/>
  <c r="O114" i="6" s="1"/>
  <c r="P114" i="6" s="1"/>
  <c r="Q114" i="6" s="1"/>
  <c r="R114" i="6" s="1"/>
  <c r="S114" i="6" s="1"/>
  <c r="K113" i="6"/>
  <c r="J107" i="6"/>
  <c r="I107" i="6"/>
  <c r="H107" i="6"/>
  <c r="S106" i="6"/>
  <c r="R106" i="6"/>
  <c r="Q106" i="6"/>
  <c r="P106" i="6"/>
  <c r="O106" i="6"/>
  <c r="N106" i="6"/>
  <c r="M106" i="6"/>
  <c r="L106" i="6"/>
  <c r="K106" i="6"/>
  <c r="J101" i="6"/>
  <c r="I101" i="6"/>
  <c r="H101" i="6"/>
  <c r="K100" i="6"/>
  <c r="L100" i="6" s="1"/>
  <c r="M100" i="6" s="1"/>
  <c r="N100" i="6" s="1"/>
  <c r="O100" i="6" s="1"/>
  <c r="P100" i="6" s="1"/>
  <c r="Q100" i="6" s="1"/>
  <c r="R100" i="6" s="1"/>
  <c r="S100" i="6" s="1"/>
  <c r="K82" i="6"/>
  <c r="L82" i="6" s="1"/>
  <c r="J61" i="6"/>
  <c r="I61" i="6"/>
  <c r="H61" i="6"/>
  <c r="I50" i="6"/>
  <c r="I38" i="6" s="1"/>
  <c r="H50" i="6"/>
  <c r="H58" i="6" s="1"/>
  <c r="J46" i="6"/>
  <c r="J45" i="6"/>
  <c r="J43" i="6"/>
  <c r="J42" i="6"/>
  <c r="J41" i="6"/>
  <c r="H41" i="6"/>
  <c r="J40" i="6"/>
  <c r="J39" i="6"/>
  <c r="J38" i="6"/>
  <c r="J37" i="6"/>
  <c r="I37" i="6"/>
  <c r="J36" i="6"/>
  <c r="J35" i="6"/>
  <c r="J31" i="6"/>
  <c r="K31" i="6" s="1"/>
  <c r="L31" i="6" s="1"/>
  <c r="I31" i="6"/>
  <c r="H31" i="6"/>
  <c r="I32" i="6" s="1"/>
  <c r="J28" i="6"/>
  <c r="K28" i="6" s="1"/>
  <c r="K51" i="6" s="1"/>
  <c r="I28" i="6"/>
  <c r="H28" i="6"/>
  <c r="K25" i="6"/>
  <c r="L25" i="6" s="1"/>
  <c r="M25" i="6" s="1"/>
  <c r="J25" i="6"/>
  <c r="I25" i="6"/>
  <c r="H25" i="6"/>
  <c r="K24" i="6"/>
  <c r="L24" i="6" s="1"/>
  <c r="M24" i="6" s="1"/>
  <c r="J24" i="6"/>
  <c r="I24" i="6"/>
  <c r="H24" i="6"/>
  <c r="K17" i="6"/>
  <c r="J17" i="6"/>
  <c r="I17" i="6"/>
  <c r="L16" i="6"/>
  <c r="L17" i="6" s="1"/>
  <c r="K14" i="6"/>
  <c r="J14" i="6"/>
  <c r="I14" i="6"/>
  <c r="L13" i="6"/>
  <c r="L10" i="6" s="1"/>
  <c r="K10" i="6"/>
  <c r="J10" i="6"/>
  <c r="K11" i="6" s="1"/>
  <c r="I10" i="6"/>
  <c r="H10" i="6"/>
  <c r="I5" i="6"/>
  <c r="I5" i="5" s="1"/>
  <c r="J128" i="6" l="1"/>
  <c r="I165" i="6"/>
  <c r="I167" i="6" s="1"/>
  <c r="I170" i="6" s="1"/>
  <c r="J32" i="6"/>
  <c r="J174" i="6"/>
  <c r="I42" i="6"/>
  <c r="I53" i="6"/>
  <c r="I43" i="6"/>
  <c r="I35" i="6"/>
  <c r="I46" i="6"/>
  <c r="H109" i="6"/>
  <c r="I174" i="6"/>
  <c r="I29" i="6"/>
  <c r="I41" i="6"/>
  <c r="K41" i="6" s="1"/>
  <c r="L41" i="6" s="1"/>
  <c r="M41" i="6" s="1"/>
  <c r="N41" i="6" s="1"/>
  <c r="O41" i="6" s="1"/>
  <c r="P41" i="6" s="1"/>
  <c r="Q41" i="6" s="1"/>
  <c r="R41" i="6" s="1"/>
  <c r="S41" i="6" s="1"/>
  <c r="H77" i="6"/>
  <c r="L225" i="6"/>
  <c r="M225" i="6" s="1"/>
  <c r="N225" i="6" s="1"/>
  <c r="K71" i="6"/>
  <c r="H40" i="6"/>
  <c r="K40" i="6" s="1"/>
  <c r="L40" i="6" s="1"/>
  <c r="M40" i="6" s="1"/>
  <c r="N40" i="6" s="1"/>
  <c r="O40" i="6" s="1"/>
  <c r="P40" i="6" s="1"/>
  <c r="Q40" i="6" s="1"/>
  <c r="R40" i="6" s="1"/>
  <c r="S40" i="6" s="1"/>
  <c r="H35" i="6"/>
  <c r="I40" i="6"/>
  <c r="H43" i="6"/>
  <c r="J194" i="6"/>
  <c r="K194" i="6" s="1"/>
  <c r="L194" i="6" s="1"/>
  <c r="H38" i="6"/>
  <c r="K38" i="6" s="1"/>
  <c r="L38" i="6" s="1"/>
  <c r="M38" i="6" s="1"/>
  <c r="N38" i="6" s="1"/>
  <c r="O38" i="6" s="1"/>
  <c r="P38" i="6" s="1"/>
  <c r="Q38" i="6" s="1"/>
  <c r="R38" i="6" s="1"/>
  <c r="S38" i="6" s="1"/>
  <c r="H128" i="6"/>
  <c r="H129" i="6" s="1"/>
  <c r="I36" i="6"/>
  <c r="H39" i="6"/>
  <c r="I45" i="6"/>
  <c r="J165" i="6"/>
  <c r="J167" i="6" s="1"/>
  <c r="J170" i="6" s="1"/>
  <c r="K169" i="6" s="1"/>
  <c r="H174" i="6"/>
  <c r="J216" i="6"/>
  <c r="K216" i="6" s="1"/>
  <c r="K214" i="6" s="1"/>
  <c r="H36" i="6"/>
  <c r="I39" i="6"/>
  <c r="H42" i="6"/>
  <c r="K42" i="6" s="1"/>
  <c r="L42" i="6" s="1"/>
  <c r="M42" i="6" s="1"/>
  <c r="N42" i="6" s="1"/>
  <c r="O42" i="6" s="1"/>
  <c r="P42" i="6" s="1"/>
  <c r="Q42" i="6" s="1"/>
  <c r="R42" i="6" s="1"/>
  <c r="S42" i="6" s="1"/>
  <c r="H56" i="6"/>
  <c r="I109" i="6"/>
  <c r="O185" i="6"/>
  <c r="J5" i="6"/>
  <c r="J5" i="5" s="1"/>
  <c r="H62" i="6"/>
  <c r="H45" i="6"/>
  <c r="H37" i="6"/>
  <c r="K37" i="6" s="1"/>
  <c r="L37" i="6" s="1"/>
  <c r="M37" i="6" s="1"/>
  <c r="N37" i="6" s="1"/>
  <c r="O37" i="6" s="1"/>
  <c r="P37" i="6" s="1"/>
  <c r="Q37" i="6" s="1"/>
  <c r="R37" i="6" s="1"/>
  <c r="S37" i="6" s="1"/>
  <c r="H46" i="6"/>
  <c r="K46" i="6" s="1"/>
  <c r="L46" i="6" s="1"/>
  <c r="M46" i="6" s="1"/>
  <c r="N46" i="6" s="1"/>
  <c r="J109" i="6"/>
  <c r="L28" i="6"/>
  <c r="M31" i="6"/>
  <c r="N25" i="6"/>
  <c r="H86" i="6"/>
  <c r="H90" i="6" s="1"/>
  <c r="H91" i="6" s="1"/>
  <c r="H79" i="6"/>
  <c r="I11" i="6"/>
  <c r="K52" i="6"/>
  <c r="L137" i="6"/>
  <c r="M82" i="6"/>
  <c r="L147" i="6"/>
  <c r="H63" i="5"/>
  <c r="H58" i="5"/>
  <c r="L20" i="6"/>
  <c r="L215" i="6" s="1"/>
  <c r="J29" i="6"/>
  <c r="H59" i="6"/>
  <c r="H187" i="6"/>
  <c r="H182" i="6"/>
  <c r="L113" i="6"/>
  <c r="L216" i="6"/>
  <c r="M216" i="6" s="1"/>
  <c r="N216" i="6" s="1"/>
  <c r="O216" i="6" s="1"/>
  <c r="P216" i="6" s="1"/>
  <c r="Q216" i="6" s="1"/>
  <c r="R216" i="6" s="1"/>
  <c r="S216" i="6" s="1"/>
  <c r="L192" i="6"/>
  <c r="L11" i="6"/>
  <c r="J11" i="6"/>
  <c r="M16" i="6"/>
  <c r="M21" i="6" s="1"/>
  <c r="N24" i="6"/>
  <c r="I9" i="5"/>
  <c r="I186" i="6"/>
  <c r="I180" i="6"/>
  <c r="I58" i="6"/>
  <c r="I56" i="6"/>
  <c r="I62" i="6"/>
  <c r="M13" i="6"/>
  <c r="M20" i="6" s="1"/>
  <c r="M215" i="6" s="1"/>
  <c r="L21" i="6"/>
  <c r="L52" i="6" s="1"/>
  <c r="J186" i="6"/>
  <c r="J180" i="6"/>
  <c r="J9" i="5"/>
  <c r="J58" i="6"/>
  <c r="J53" i="6"/>
  <c r="J62" i="6"/>
  <c r="J56" i="6"/>
  <c r="J250" i="6"/>
  <c r="I187" i="6"/>
  <c r="I182" i="6"/>
  <c r="L71" i="6"/>
  <c r="I129" i="6"/>
  <c r="K147" i="6"/>
  <c r="K137" i="6"/>
  <c r="H9" i="5"/>
  <c r="H186" i="6"/>
  <c r="H180" i="6"/>
  <c r="J187" i="6"/>
  <c r="J182" i="6"/>
  <c r="J129" i="6"/>
  <c r="L185" i="6"/>
  <c r="H194" i="6"/>
  <c r="J253" i="6"/>
  <c r="J18" i="5"/>
  <c r="M185" i="6"/>
  <c r="I194" i="6"/>
  <c r="N185" i="6"/>
  <c r="P185" i="6"/>
  <c r="K219" i="6"/>
  <c r="K210" i="6" s="1"/>
  <c r="Q185" i="6"/>
  <c r="K211" i="6"/>
  <c r="K160" i="6" s="1"/>
  <c r="R185" i="6"/>
  <c r="M22" i="5"/>
  <c r="K5" i="6" l="1"/>
  <c r="K43" i="6"/>
  <c r="K45" i="6"/>
  <c r="L45" i="6" s="1"/>
  <c r="M71" i="6"/>
  <c r="K56" i="6"/>
  <c r="L39" i="6"/>
  <c r="M39" i="6" s="1"/>
  <c r="N39" i="6" s="1"/>
  <c r="O39" i="6" s="1"/>
  <c r="P39" i="6" s="1"/>
  <c r="Q39" i="6" s="1"/>
  <c r="R39" i="6" s="1"/>
  <c r="S39" i="6" s="1"/>
  <c r="K39" i="6"/>
  <c r="K35" i="6"/>
  <c r="L35" i="6" s="1"/>
  <c r="M35" i="6" s="1"/>
  <c r="N35" i="6" s="1"/>
  <c r="O35" i="6" s="1"/>
  <c r="P35" i="6" s="1"/>
  <c r="Q35" i="6" s="1"/>
  <c r="R35" i="6" s="1"/>
  <c r="S35" i="6" s="1"/>
  <c r="K36" i="6"/>
  <c r="L36" i="6" s="1"/>
  <c r="M36" i="6" s="1"/>
  <c r="N36" i="6" s="1"/>
  <c r="O36" i="6" s="1"/>
  <c r="P36" i="6" s="1"/>
  <c r="Q36" i="6" s="1"/>
  <c r="R36" i="6" s="1"/>
  <c r="S36" i="6" s="1"/>
  <c r="I176" i="6"/>
  <c r="M214" i="6"/>
  <c r="K191" i="6"/>
  <c r="K152" i="6" s="1"/>
  <c r="I10" i="5"/>
  <c r="J10" i="5"/>
  <c r="O225" i="6"/>
  <c r="N71" i="6"/>
  <c r="I175" i="6"/>
  <c r="J255" i="6"/>
  <c r="L23" i="5" s="1"/>
  <c r="M122" i="6"/>
  <c r="K23" i="5"/>
  <c r="H27" i="5"/>
  <c r="L56" i="6"/>
  <c r="M45" i="6"/>
  <c r="L214" i="6"/>
  <c r="O186" i="6"/>
  <c r="N186" i="6"/>
  <c r="M186" i="6"/>
  <c r="L186" i="6"/>
  <c r="R186" i="6"/>
  <c r="J175" i="6"/>
  <c r="Q186" i="6"/>
  <c r="P186" i="6"/>
  <c r="S186" i="6"/>
  <c r="N16" i="6"/>
  <c r="N21" i="6" s="1"/>
  <c r="M17" i="6"/>
  <c r="M113" i="6"/>
  <c r="K122" i="6"/>
  <c r="K209" i="6"/>
  <c r="K18" i="5"/>
  <c r="O187" i="6"/>
  <c r="P187" i="6"/>
  <c r="J176" i="6"/>
  <c r="Q187" i="6"/>
  <c r="R187" i="6"/>
  <c r="S187" i="6"/>
  <c r="L187" i="6"/>
  <c r="M187" i="6"/>
  <c r="N187" i="6"/>
  <c r="I77" i="6"/>
  <c r="I59" i="6"/>
  <c r="H176" i="6"/>
  <c r="M194" i="6"/>
  <c r="L191" i="6"/>
  <c r="M28" i="6"/>
  <c r="L51" i="6"/>
  <c r="L50" i="6" s="1"/>
  <c r="L74" i="6" s="1"/>
  <c r="H175" i="6"/>
  <c r="J77" i="6"/>
  <c r="J59" i="6"/>
  <c r="K5" i="5"/>
  <c r="L5" i="6"/>
  <c r="M147" i="6"/>
  <c r="M137" i="6"/>
  <c r="N82" i="6"/>
  <c r="O24" i="6"/>
  <c r="N20" i="6"/>
  <c r="N215" i="6" s="1"/>
  <c r="N214" i="6" s="1"/>
  <c r="O25" i="6"/>
  <c r="M52" i="6"/>
  <c r="N31" i="6"/>
  <c r="M192" i="6"/>
  <c r="M10" i="6"/>
  <c r="M11" i="6" s="1"/>
  <c r="N13" i="6"/>
  <c r="O46" i="6"/>
  <c r="H11" i="5"/>
  <c r="H80" i="6"/>
  <c r="K50" i="6"/>
  <c r="K55" i="6" s="1"/>
  <c r="L43" i="6"/>
  <c r="M23" i="5"/>
  <c r="N22" i="5"/>
  <c r="K200" i="6" l="1"/>
  <c r="I177" i="6"/>
  <c r="K63" i="6"/>
  <c r="J177" i="6"/>
  <c r="P225" i="6"/>
  <c r="O71" i="6"/>
  <c r="H177" i="6"/>
  <c r="K181" i="6"/>
  <c r="K174" i="6" s="1"/>
  <c r="K103" i="6" s="1"/>
  <c r="K141" i="6" s="1"/>
  <c r="K53" i="6"/>
  <c r="I79" i="6"/>
  <c r="I86" i="6"/>
  <c r="I90" i="6" s="1"/>
  <c r="I91" i="6" s="1"/>
  <c r="N52" i="6"/>
  <c r="O31" i="6"/>
  <c r="P25" i="6"/>
  <c r="K224" i="6"/>
  <c r="K226" i="6" s="1"/>
  <c r="K212" i="6"/>
  <c r="L208" i="6" s="1"/>
  <c r="M56" i="6"/>
  <c r="L55" i="6"/>
  <c r="L181" i="6" s="1"/>
  <c r="L174" i="6" s="1"/>
  <c r="L103" i="6" s="1"/>
  <c r="P46" i="6"/>
  <c r="N194" i="6"/>
  <c r="M191" i="6"/>
  <c r="O16" i="6"/>
  <c r="N17" i="6"/>
  <c r="N147" i="6"/>
  <c r="O82" i="6"/>
  <c r="N137" i="6"/>
  <c r="L180" i="6"/>
  <c r="L175" i="6" s="1"/>
  <c r="L104" i="6" s="1"/>
  <c r="L9" i="5"/>
  <c r="L64" i="6"/>
  <c r="L70" i="6"/>
  <c r="L63" i="6"/>
  <c r="L68" i="6"/>
  <c r="L53" i="6"/>
  <c r="L65" i="6"/>
  <c r="L75" i="6"/>
  <c r="L69" i="6"/>
  <c r="L66" i="6"/>
  <c r="L67" i="6"/>
  <c r="N45" i="6"/>
  <c r="M51" i="6"/>
  <c r="M50" i="6" s="1"/>
  <c r="N28" i="6"/>
  <c r="N113" i="6"/>
  <c r="L5" i="5"/>
  <c r="M5" i="6"/>
  <c r="N122" i="6"/>
  <c r="N192" i="6"/>
  <c r="N10" i="6"/>
  <c r="N11" i="6" s="1"/>
  <c r="O13" i="6"/>
  <c r="O20" i="6" s="1"/>
  <c r="O215" i="6" s="1"/>
  <c r="O214" i="6" s="1"/>
  <c r="P24" i="6"/>
  <c r="J86" i="6"/>
  <c r="J90" i="6" s="1"/>
  <c r="J91" i="6" s="1"/>
  <c r="J79" i="6"/>
  <c r="L72" i="6"/>
  <c r="M43" i="6"/>
  <c r="K9" i="5"/>
  <c r="K10" i="5" s="1"/>
  <c r="K65" i="6"/>
  <c r="K64" i="6"/>
  <c r="K69" i="6"/>
  <c r="K180" i="6"/>
  <c r="K66" i="6"/>
  <c r="K68" i="6"/>
  <c r="K58" i="6"/>
  <c r="K70" i="6"/>
  <c r="K67" i="6"/>
  <c r="K75" i="6"/>
  <c r="K74" i="6"/>
  <c r="K158" i="6"/>
  <c r="K163" i="6" s="1"/>
  <c r="K202" i="6"/>
  <c r="H13" i="5"/>
  <c r="H12" i="5"/>
  <c r="L152" i="6"/>
  <c r="L200" i="6"/>
  <c r="L158" i="6" s="1"/>
  <c r="L18" i="5"/>
  <c r="K72" i="6"/>
  <c r="K17" i="5" s="1"/>
  <c r="K175" i="6"/>
  <c r="K104" i="6" s="1"/>
  <c r="K142" i="6" s="1"/>
  <c r="L122" i="6"/>
  <c r="N23" i="5"/>
  <c r="O22" i="5"/>
  <c r="I178" i="6" l="1"/>
  <c r="I19" i="5" s="1"/>
  <c r="K61" i="6"/>
  <c r="J178" i="6"/>
  <c r="J19" i="5" s="1"/>
  <c r="L141" i="6"/>
  <c r="Q225" i="6"/>
  <c r="P71" i="6"/>
  <c r="L142" i="6"/>
  <c r="L58" i="6"/>
  <c r="O17" i="6"/>
  <c r="P16" i="6"/>
  <c r="P21" i="6" s="1"/>
  <c r="N56" i="6"/>
  <c r="M55" i="6"/>
  <c r="M181" i="6" s="1"/>
  <c r="H15" i="5"/>
  <c r="H20" i="5" s="1"/>
  <c r="H14" i="5"/>
  <c r="O113" i="6"/>
  <c r="L10" i="5"/>
  <c r="P31" i="6"/>
  <c r="K77" i="6"/>
  <c r="K79" i="6" s="1"/>
  <c r="J11" i="5"/>
  <c r="J80" i="6"/>
  <c r="N51" i="6"/>
  <c r="N50" i="6" s="1"/>
  <c r="N74" i="6" s="1"/>
  <c r="O28" i="6"/>
  <c r="L153" i="6"/>
  <c r="L155" i="6" s="1"/>
  <c r="L136" i="6"/>
  <c r="M200" i="6"/>
  <c r="M158" i="6" s="1"/>
  <c r="M18" i="5"/>
  <c r="M152" i="6"/>
  <c r="L211" i="6"/>
  <c r="L160" i="6" s="1"/>
  <c r="L219" i="6"/>
  <c r="L210" i="6" s="1"/>
  <c r="M180" i="6"/>
  <c r="M175" i="6" s="1"/>
  <c r="M104" i="6" s="1"/>
  <c r="M142" i="6" s="1"/>
  <c r="M9" i="5"/>
  <c r="M10" i="5" s="1"/>
  <c r="M63" i="6"/>
  <c r="M70" i="6"/>
  <c r="M67" i="6"/>
  <c r="M68" i="6"/>
  <c r="M69" i="6"/>
  <c r="M66" i="6"/>
  <c r="M53" i="6"/>
  <c r="M64" i="6"/>
  <c r="M65" i="6"/>
  <c r="M75" i="6"/>
  <c r="O194" i="6"/>
  <c r="N191" i="6"/>
  <c r="K98" i="6"/>
  <c r="L223" i="6"/>
  <c r="K135" i="6"/>
  <c r="K97" i="6"/>
  <c r="L97" i="6" s="1"/>
  <c r="M97" i="6" s="1"/>
  <c r="L199" i="6"/>
  <c r="K121" i="6"/>
  <c r="K204" i="6"/>
  <c r="M74" i="6"/>
  <c r="O147" i="6"/>
  <c r="O137" i="6"/>
  <c r="P82" i="6"/>
  <c r="O21" i="6"/>
  <c r="O52" i="6" s="1"/>
  <c r="I11" i="5"/>
  <c r="I80" i="6"/>
  <c r="O122" i="6"/>
  <c r="N43" i="6"/>
  <c r="M72" i="6"/>
  <c r="P20" i="6"/>
  <c r="P215" i="6" s="1"/>
  <c r="P214" i="6" s="1"/>
  <c r="Q24" i="6"/>
  <c r="O45" i="6"/>
  <c r="Q46" i="6"/>
  <c r="Q25" i="6"/>
  <c r="K153" i="6"/>
  <c r="K155" i="6" s="1"/>
  <c r="K136" i="6"/>
  <c r="K59" i="6"/>
  <c r="L135" i="6"/>
  <c r="L17" i="5"/>
  <c r="O192" i="6"/>
  <c r="O10" i="6"/>
  <c r="O11" i="6" s="1"/>
  <c r="P13" i="6"/>
  <c r="M5" i="5"/>
  <c r="N5" i="6"/>
  <c r="L61" i="6"/>
  <c r="O23" i="5"/>
  <c r="P22" i="5"/>
  <c r="R225" i="6" l="1"/>
  <c r="Q71" i="6"/>
  <c r="K99" i="6"/>
  <c r="L99" i="6" s="1"/>
  <c r="M58" i="6"/>
  <c r="M59" i="6" s="1"/>
  <c r="O191" i="6"/>
  <c r="P194" i="6"/>
  <c r="M153" i="6"/>
  <c r="M99" i="6" s="1"/>
  <c r="M136" i="6"/>
  <c r="J13" i="5"/>
  <c r="J12" i="5"/>
  <c r="I13" i="5"/>
  <c r="I12" i="5"/>
  <c r="R25" i="6"/>
  <c r="M17" i="5"/>
  <c r="M135" i="6"/>
  <c r="P147" i="6"/>
  <c r="P137" i="6"/>
  <c r="Q82" i="6"/>
  <c r="K62" i="6"/>
  <c r="K182" i="6"/>
  <c r="K176" i="6" s="1"/>
  <c r="M174" i="6"/>
  <c r="M103" i="6" s="1"/>
  <c r="M141" i="6" s="1"/>
  <c r="R24" i="6"/>
  <c r="L201" i="6"/>
  <c r="L159" i="6" s="1"/>
  <c r="L163" i="6" s="1"/>
  <c r="P122" i="6"/>
  <c r="O43" i="6"/>
  <c r="N72" i="6"/>
  <c r="M61" i="6"/>
  <c r="M77" i="6" s="1"/>
  <c r="Q31" i="6"/>
  <c r="P52" i="6"/>
  <c r="N55" i="6"/>
  <c r="N181" i="6" s="1"/>
  <c r="O56" i="6"/>
  <c r="R46" i="6"/>
  <c r="P17" i="6"/>
  <c r="Q16" i="6"/>
  <c r="L182" i="6"/>
  <c r="L176" i="6" s="1"/>
  <c r="L62" i="6"/>
  <c r="N5" i="5"/>
  <c r="O5" i="6"/>
  <c r="P192" i="6"/>
  <c r="Q13" i="6"/>
  <c r="Q20" i="6" s="1"/>
  <c r="Q215" i="6" s="1"/>
  <c r="Q214" i="6" s="1"/>
  <c r="P10" i="6"/>
  <c r="P11" i="6" s="1"/>
  <c r="K146" i="6"/>
  <c r="K83" i="6"/>
  <c r="K138" i="6" s="1"/>
  <c r="K101" i="6"/>
  <c r="O51" i="6"/>
  <c r="O50" i="6" s="1"/>
  <c r="O74" i="6" s="1"/>
  <c r="P28" i="6"/>
  <c r="L77" i="6"/>
  <c r="L59" i="6"/>
  <c r="P45" i="6"/>
  <c r="N18" i="5"/>
  <c r="N152" i="6"/>
  <c r="N200" i="6"/>
  <c r="N158" i="6" s="1"/>
  <c r="L209" i="6"/>
  <c r="N180" i="6"/>
  <c r="N175" i="6" s="1"/>
  <c r="N104" i="6" s="1"/>
  <c r="N142" i="6" s="1"/>
  <c r="N9" i="5"/>
  <c r="N10" i="5" s="1"/>
  <c r="N70" i="6"/>
  <c r="N69" i="6"/>
  <c r="N66" i="6"/>
  <c r="N65" i="6"/>
  <c r="N63" i="6"/>
  <c r="N67" i="6"/>
  <c r="N64" i="6"/>
  <c r="N53" i="6"/>
  <c r="N68" i="6"/>
  <c r="N75" i="6"/>
  <c r="P113" i="6"/>
  <c r="P23" i="5"/>
  <c r="Q22" i="5"/>
  <c r="N58" i="6" l="1"/>
  <c r="M155" i="6"/>
  <c r="S225" i="6"/>
  <c r="S71" i="6" s="1"/>
  <c r="R71" i="6"/>
  <c r="Q122" i="6"/>
  <c r="O5" i="5"/>
  <c r="P5" i="6"/>
  <c r="S46" i="6"/>
  <c r="M182" i="6"/>
  <c r="M176" i="6" s="1"/>
  <c r="M62" i="6"/>
  <c r="J15" i="5"/>
  <c r="J20" i="5" s="1"/>
  <c r="J14" i="5"/>
  <c r="Q45" i="6"/>
  <c r="L177" i="6"/>
  <c r="L143" i="6"/>
  <c r="L123" i="6"/>
  <c r="N17" i="5"/>
  <c r="N135" i="6"/>
  <c r="S24" i="6"/>
  <c r="L79" i="6"/>
  <c r="P56" i="6"/>
  <c r="O55" i="6"/>
  <c r="O181" i="6" s="1"/>
  <c r="S25" i="6"/>
  <c r="M79" i="6"/>
  <c r="Q192" i="6"/>
  <c r="R13" i="6"/>
  <c r="Q10" i="6"/>
  <c r="Q11" i="6" s="1"/>
  <c r="P43" i="6"/>
  <c r="O72" i="6"/>
  <c r="N61" i="6"/>
  <c r="N77" i="6" s="1"/>
  <c r="Q113" i="6"/>
  <c r="Q28" i="6"/>
  <c r="P51" i="6"/>
  <c r="P50" i="6" s="1"/>
  <c r="K86" i="6"/>
  <c r="K88" i="6" s="1"/>
  <c r="R16" i="6"/>
  <c r="Q17" i="6"/>
  <c r="N174" i="6"/>
  <c r="N103" i="6" s="1"/>
  <c r="N141" i="6" s="1"/>
  <c r="K143" i="6"/>
  <c r="K123" i="6"/>
  <c r="K126" i="6" s="1"/>
  <c r="K177" i="6"/>
  <c r="Q21" i="6"/>
  <c r="Q52" i="6" s="1"/>
  <c r="N97" i="6"/>
  <c r="L224" i="6"/>
  <c r="L226" i="6" s="1"/>
  <c r="L212" i="6"/>
  <c r="M208" i="6" s="1"/>
  <c r="N59" i="6"/>
  <c r="O180" i="6"/>
  <c r="O175" i="6" s="1"/>
  <c r="O104" i="6" s="1"/>
  <c r="O142" i="6" s="1"/>
  <c r="O9" i="5"/>
  <c r="O10" i="5" s="1"/>
  <c r="O69" i="6"/>
  <c r="O68" i="6"/>
  <c r="O65" i="6"/>
  <c r="O53" i="6"/>
  <c r="O63" i="6"/>
  <c r="O67" i="6"/>
  <c r="O70" i="6"/>
  <c r="O64" i="6"/>
  <c r="O66" i="6"/>
  <c r="O75" i="6"/>
  <c r="K11" i="5"/>
  <c r="K80" i="6"/>
  <c r="L202" i="6"/>
  <c r="Q194" i="6"/>
  <c r="P191" i="6"/>
  <c r="N153" i="6"/>
  <c r="N99" i="6" s="1"/>
  <c r="N136" i="6"/>
  <c r="R31" i="6"/>
  <c r="Q137" i="6"/>
  <c r="Q147" i="6"/>
  <c r="R82" i="6"/>
  <c r="I14" i="5"/>
  <c r="I15" i="5"/>
  <c r="I20" i="5" s="1"/>
  <c r="O18" i="5"/>
  <c r="O152" i="6"/>
  <c r="O200" i="6"/>
  <c r="O158" i="6" s="1"/>
  <c r="Q23" i="5"/>
  <c r="R22" i="5"/>
  <c r="O58" i="6" l="1"/>
  <c r="K178" i="6"/>
  <c r="K19" i="5" s="1"/>
  <c r="O97" i="6"/>
  <c r="N155" i="6"/>
  <c r="P9" i="5"/>
  <c r="P10" i="5" s="1"/>
  <c r="P180" i="6"/>
  <c r="P175" i="6" s="1"/>
  <c r="P104" i="6" s="1"/>
  <c r="P142" i="6" s="1"/>
  <c r="P68" i="6"/>
  <c r="P67" i="6"/>
  <c r="P64" i="6"/>
  <c r="P66" i="6"/>
  <c r="P69" i="6"/>
  <c r="P63" i="6"/>
  <c r="P53" i="6"/>
  <c r="P70" i="6"/>
  <c r="P65" i="6"/>
  <c r="P75" i="6"/>
  <c r="O174" i="6"/>
  <c r="O103" i="6" s="1"/>
  <c r="O141" i="6" s="1"/>
  <c r="M177" i="6"/>
  <c r="M143" i="6"/>
  <c r="M123" i="6"/>
  <c r="P72" i="6"/>
  <c r="Q43" i="6"/>
  <c r="O59" i="6"/>
  <c r="O61" i="6"/>
  <c r="Q51" i="6"/>
  <c r="Q50" i="6" s="1"/>
  <c r="Q74" i="6" s="1"/>
  <c r="R28" i="6"/>
  <c r="R192" i="6"/>
  <c r="S13" i="6"/>
  <c r="R10" i="6"/>
  <c r="R11" i="6" s="1"/>
  <c r="Q56" i="6"/>
  <c r="P55" i="6"/>
  <c r="P181" i="6" s="1"/>
  <c r="R194" i="6"/>
  <c r="Q191" i="6"/>
  <c r="K12" i="5"/>
  <c r="K13" i="5"/>
  <c r="N79" i="6"/>
  <c r="L178" i="6"/>
  <c r="L19" i="5" s="1"/>
  <c r="K134" i="6"/>
  <c r="K140" i="6" s="1"/>
  <c r="K148" i="6"/>
  <c r="O136" i="6"/>
  <c r="O153" i="6"/>
  <c r="O99" i="6" s="1"/>
  <c r="M211" i="6"/>
  <c r="M160" i="6" s="1"/>
  <c r="M219" i="6"/>
  <c r="M210" i="6" s="1"/>
  <c r="M11" i="5"/>
  <c r="M80" i="6"/>
  <c r="L11" i="5"/>
  <c r="L80" i="6"/>
  <c r="R45" i="6"/>
  <c r="P5" i="5"/>
  <c r="Q5" i="6"/>
  <c r="S31" i="6"/>
  <c r="L98" i="6"/>
  <c r="L101" i="6" s="1"/>
  <c r="M223" i="6"/>
  <c r="R113" i="6"/>
  <c r="S20" i="6"/>
  <c r="S215" i="6" s="1"/>
  <c r="S214" i="6" s="1"/>
  <c r="P74" i="6"/>
  <c r="R137" i="6"/>
  <c r="R147" i="6"/>
  <c r="S82" i="6"/>
  <c r="M199" i="6"/>
  <c r="L121" i="6"/>
  <c r="L126" i="6" s="1"/>
  <c r="L204" i="6"/>
  <c r="N182" i="6"/>
  <c r="N176" i="6" s="1"/>
  <c r="N62" i="6"/>
  <c r="R20" i="6"/>
  <c r="R215" i="6" s="1"/>
  <c r="R214" i="6" s="1"/>
  <c r="P18" i="5"/>
  <c r="P200" i="6"/>
  <c r="P158" i="6" s="1"/>
  <c r="P152" i="6"/>
  <c r="P97" i="6"/>
  <c r="S16" i="6"/>
  <c r="S17" i="6" s="1"/>
  <c r="R17" i="6"/>
  <c r="O17" i="5"/>
  <c r="O135" i="6"/>
  <c r="R21" i="6"/>
  <c r="R52" i="6" s="1"/>
  <c r="R23" i="5"/>
  <c r="S22" i="5"/>
  <c r="S23" i="5" s="1"/>
  <c r="M178" i="6" l="1"/>
  <c r="M19" i="5" s="1"/>
  <c r="S21" i="6"/>
  <c r="S52" i="6" s="1"/>
  <c r="M209" i="6"/>
  <c r="M224" i="6" s="1"/>
  <c r="M226" i="6" s="1"/>
  <c r="M212" i="6"/>
  <c r="N208" i="6" s="1"/>
  <c r="N11" i="5"/>
  <c r="N80" i="6"/>
  <c r="P174" i="6"/>
  <c r="P103" i="6" s="1"/>
  <c r="P141" i="6" s="1"/>
  <c r="O182" i="6"/>
  <c r="O176" i="6" s="1"/>
  <c r="O62" i="6"/>
  <c r="Q55" i="6"/>
  <c r="Q181" i="6" s="1"/>
  <c r="R56" i="6"/>
  <c r="O77" i="6"/>
  <c r="P153" i="6"/>
  <c r="P99" i="6" s="1"/>
  <c r="P136" i="6"/>
  <c r="R122" i="6"/>
  <c r="L12" i="5"/>
  <c r="L13" i="5"/>
  <c r="K14" i="5"/>
  <c r="K15" i="5"/>
  <c r="K20" i="5" s="1"/>
  <c r="K24" i="5" s="1"/>
  <c r="Q72" i="6"/>
  <c r="Q97" i="6" s="1"/>
  <c r="R43" i="6"/>
  <c r="M201" i="6"/>
  <c r="M159" i="6" s="1"/>
  <c r="O155" i="6"/>
  <c r="S192" i="6"/>
  <c r="S10" i="6"/>
  <c r="S11" i="6" s="1"/>
  <c r="P135" i="6"/>
  <c r="P17" i="5"/>
  <c r="P155" i="6"/>
  <c r="N177" i="6"/>
  <c r="N143" i="6"/>
  <c r="N123" i="6"/>
  <c r="P58" i="6"/>
  <c r="S45" i="6"/>
  <c r="S113" i="6"/>
  <c r="S147" i="6"/>
  <c r="S137" i="6"/>
  <c r="M13" i="5"/>
  <c r="M12" i="5"/>
  <c r="Q5" i="5"/>
  <c r="R5" i="6"/>
  <c r="K90" i="6"/>
  <c r="Q18" i="5"/>
  <c r="Q152" i="6"/>
  <c r="Q200" i="6"/>
  <c r="Q158" i="6" s="1"/>
  <c r="S28" i="6"/>
  <c r="S51" i="6" s="1"/>
  <c r="R51" i="6"/>
  <c r="R50" i="6" s="1"/>
  <c r="L146" i="6"/>
  <c r="L83" i="6"/>
  <c r="S122" i="6"/>
  <c r="K145" i="6"/>
  <c r="K149" i="6" s="1"/>
  <c r="K165" i="6" s="1"/>
  <c r="K167" i="6" s="1"/>
  <c r="K170" i="6" s="1"/>
  <c r="R191" i="6"/>
  <c r="S194" i="6"/>
  <c r="Q9" i="5"/>
  <c r="Q10" i="5" s="1"/>
  <c r="Q180" i="6"/>
  <c r="Q175" i="6" s="1"/>
  <c r="Q104" i="6" s="1"/>
  <c r="Q142" i="6" s="1"/>
  <c r="Q67" i="6"/>
  <c r="Q66" i="6"/>
  <c r="Q58" i="6"/>
  <c r="Q63" i="6"/>
  <c r="Q69" i="6"/>
  <c r="Q70" i="6"/>
  <c r="Q64" i="6"/>
  <c r="Q53" i="6"/>
  <c r="Q68" i="6"/>
  <c r="Q65" i="6"/>
  <c r="Q75" i="6"/>
  <c r="P61" i="6"/>
  <c r="U23" i="5"/>
  <c r="N178" i="6" l="1"/>
  <c r="N19" i="5" s="1"/>
  <c r="O177" i="6"/>
  <c r="O143" i="6"/>
  <c r="O123" i="6"/>
  <c r="L14" i="5"/>
  <c r="L15" i="5"/>
  <c r="L20" i="5" s="1"/>
  <c r="L24" i="5" s="1"/>
  <c r="Q59" i="6"/>
  <c r="L138" i="6"/>
  <c r="L86" i="6"/>
  <c r="O79" i="6"/>
  <c r="R55" i="6"/>
  <c r="R181" i="6" s="1"/>
  <c r="S56" i="6"/>
  <c r="N13" i="5"/>
  <c r="N12" i="5"/>
  <c r="L169" i="6"/>
  <c r="K105" i="6"/>
  <c r="K107" i="6" s="1"/>
  <c r="K109" i="6" s="1"/>
  <c r="K91" i="6"/>
  <c r="M202" i="6"/>
  <c r="Q174" i="6"/>
  <c r="R5" i="5"/>
  <c r="S5" i="6"/>
  <c r="S5" i="5" s="1"/>
  <c r="S191" i="6"/>
  <c r="R152" i="6"/>
  <c r="R200" i="6"/>
  <c r="R158" i="6" s="1"/>
  <c r="R18" i="5"/>
  <c r="R180" i="6"/>
  <c r="R175" i="6" s="1"/>
  <c r="R104" i="6" s="1"/>
  <c r="R142" i="6" s="1"/>
  <c r="R9" i="5"/>
  <c r="R10" i="5" s="1"/>
  <c r="R66" i="6"/>
  <c r="R65" i="6"/>
  <c r="R53" i="6"/>
  <c r="R70" i="6"/>
  <c r="R67" i="6"/>
  <c r="R64" i="6"/>
  <c r="R68" i="6"/>
  <c r="R63" i="6"/>
  <c r="R69" i="6"/>
  <c r="R75" i="6"/>
  <c r="R74" i="6"/>
  <c r="R72" i="6"/>
  <c r="R97" i="6" s="1"/>
  <c r="S43" i="6"/>
  <c r="M98" i="6"/>
  <c r="M101" i="6" s="1"/>
  <c r="N223" i="6"/>
  <c r="N219" i="6"/>
  <c r="N210" i="6" s="1"/>
  <c r="N211" i="6"/>
  <c r="N160" i="6" s="1"/>
  <c r="Q153" i="6"/>
  <c r="Q99" i="6" s="1"/>
  <c r="Q136" i="6"/>
  <c r="P182" i="6"/>
  <c r="P176" i="6" s="1"/>
  <c r="P62" i="6"/>
  <c r="Q61" i="6"/>
  <c r="S50" i="6"/>
  <c r="M15" i="5"/>
  <c r="M20" i="5" s="1"/>
  <c r="M24" i="5" s="1"/>
  <c r="M14" i="5"/>
  <c r="P77" i="6"/>
  <c r="P59" i="6"/>
  <c r="Q17" i="5"/>
  <c r="Q135" i="6"/>
  <c r="N209" i="6" l="1"/>
  <c r="O178" i="6"/>
  <c r="O19" i="5" s="1"/>
  <c r="S72" i="6"/>
  <c r="S135" i="6" s="1"/>
  <c r="S97" i="6"/>
  <c r="N224" i="6"/>
  <c r="N226" i="6" s="1"/>
  <c r="N212" i="6"/>
  <c r="O208" i="6" s="1"/>
  <c r="K118" i="6"/>
  <c r="K128" i="6" s="1"/>
  <c r="K129" i="6" s="1"/>
  <c r="O11" i="5"/>
  <c r="O80" i="6"/>
  <c r="R61" i="6"/>
  <c r="Q155" i="6"/>
  <c r="L134" i="6"/>
  <c r="L140" i="6" s="1"/>
  <c r="L145" i="6" s="1"/>
  <c r="L88" i="6"/>
  <c r="L148" i="6" s="1"/>
  <c r="Q182" i="6"/>
  <c r="Q176" i="6" s="1"/>
  <c r="Q177" i="6" s="1"/>
  <c r="Q62" i="6"/>
  <c r="R135" i="6"/>
  <c r="R17" i="5"/>
  <c r="Q103" i="6"/>
  <c r="Q141" i="6" s="1"/>
  <c r="R58" i="6"/>
  <c r="P79" i="6"/>
  <c r="N199" i="6"/>
  <c r="M121" i="6"/>
  <c r="M126" i="6" s="1"/>
  <c r="M204" i="6"/>
  <c r="N14" i="5"/>
  <c r="N15" i="5"/>
  <c r="N20" i="5" s="1"/>
  <c r="N24" i="5" s="1"/>
  <c r="Q77" i="6"/>
  <c r="R174" i="6"/>
  <c r="R103" i="6" s="1"/>
  <c r="P177" i="6"/>
  <c r="P123" i="6"/>
  <c r="P143" i="6"/>
  <c r="S9" i="5"/>
  <c r="S65" i="6"/>
  <c r="S53" i="6"/>
  <c r="S64" i="6"/>
  <c r="S180" i="6"/>
  <c r="S175" i="6" s="1"/>
  <c r="S104" i="6" s="1"/>
  <c r="S142" i="6" s="1"/>
  <c r="S69" i="6"/>
  <c r="S66" i="6"/>
  <c r="S63" i="6"/>
  <c r="S68" i="6"/>
  <c r="S70" i="6"/>
  <c r="S67" i="6"/>
  <c r="S75" i="6"/>
  <c r="R153" i="6"/>
  <c r="R99" i="6" s="1"/>
  <c r="R136" i="6"/>
  <c r="S152" i="6"/>
  <c r="S200" i="6"/>
  <c r="S158" i="6" s="1"/>
  <c r="S18" i="5"/>
  <c r="S74" i="6"/>
  <c r="S55" i="6"/>
  <c r="S181" i="6" s="1"/>
  <c r="S17" i="5" l="1"/>
  <c r="U17" i="5" s="1"/>
  <c r="U18" i="5" s="1"/>
  <c r="P178" i="6"/>
  <c r="P19" i="5" s="1"/>
  <c r="R141" i="6"/>
  <c r="N98" i="6"/>
  <c r="N101" i="6" s="1"/>
  <c r="O223" i="6"/>
  <c r="L90" i="6"/>
  <c r="M146" i="6"/>
  <c r="M83" i="6"/>
  <c r="N201" i="6"/>
  <c r="N159" i="6" s="1"/>
  <c r="O13" i="5"/>
  <c r="O12" i="5"/>
  <c r="L149" i="6"/>
  <c r="L165" i="6" s="1"/>
  <c r="L167" i="6" s="1"/>
  <c r="L170" i="6" s="1"/>
  <c r="S153" i="6"/>
  <c r="S99" i="6" s="1"/>
  <c r="S136" i="6"/>
  <c r="R182" i="6"/>
  <c r="R176" i="6" s="1"/>
  <c r="R62" i="6"/>
  <c r="P11" i="5"/>
  <c r="P80" i="6"/>
  <c r="Q79" i="6"/>
  <c r="R77" i="6"/>
  <c r="R59" i="6"/>
  <c r="O211" i="6"/>
  <c r="O160" i="6" s="1"/>
  <c r="O219" i="6"/>
  <c r="O210" i="6" s="1"/>
  <c r="U9" i="5"/>
  <c r="S10" i="5"/>
  <c r="S174" i="6"/>
  <c r="S103" i="6" s="1"/>
  <c r="S141" i="6" s="1"/>
  <c r="S58" i="6"/>
  <c r="S61" i="6"/>
  <c r="R155" i="6"/>
  <c r="Q178" i="6"/>
  <c r="Q19" i="5" s="1"/>
  <c r="Q143" i="6"/>
  <c r="Q123" i="6"/>
  <c r="N202" i="6" l="1"/>
  <c r="N204" i="6" s="1"/>
  <c r="N146" i="6" s="1"/>
  <c r="M138" i="6"/>
  <c r="M86" i="6"/>
  <c r="L105" i="6"/>
  <c r="L107" i="6" s="1"/>
  <c r="L109" i="6" s="1"/>
  <c r="M169" i="6"/>
  <c r="M161" i="6"/>
  <c r="M163" i="6" s="1"/>
  <c r="L91" i="6"/>
  <c r="L116" i="6"/>
  <c r="Q11" i="5"/>
  <c r="Q80" i="6"/>
  <c r="N83" i="6"/>
  <c r="U10" i="5"/>
  <c r="O209" i="6"/>
  <c r="O14" i="5"/>
  <c r="O15" i="5"/>
  <c r="O20" i="5" s="1"/>
  <c r="O24" i="5" s="1"/>
  <c r="S182" i="6"/>
  <c r="S176" i="6" s="1"/>
  <c r="S62" i="6"/>
  <c r="S155" i="6"/>
  <c r="S59" i="6"/>
  <c r="S77" i="6"/>
  <c r="P13" i="5"/>
  <c r="P12" i="5"/>
  <c r="N121" i="6"/>
  <c r="N126" i="6" s="1"/>
  <c r="O199" i="6"/>
  <c r="R177" i="6"/>
  <c r="R143" i="6"/>
  <c r="R123" i="6"/>
  <c r="R79" i="6"/>
  <c r="R178" i="6" l="1"/>
  <c r="R19" i="5" s="1"/>
  <c r="P15" i="5"/>
  <c r="P20" i="5" s="1"/>
  <c r="P24" i="5" s="1"/>
  <c r="P14" i="5"/>
  <c r="L118" i="6"/>
  <c r="L128" i="6" s="1"/>
  <c r="L129" i="6" s="1"/>
  <c r="Q12" i="5"/>
  <c r="Q13" i="5"/>
  <c r="S79" i="6"/>
  <c r="O224" i="6"/>
  <c r="O226" i="6" s="1"/>
  <c r="O212" i="6"/>
  <c r="P208" i="6" s="1"/>
  <c r="N138" i="6"/>
  <c r="N86" i="6"/>
  <c r="R11" i="5"/>
  <c r="R80" i="6"/>
  <c r="O201" i="6"/>
  <c r="O159" i="6" s="1"/>
  <c r="S177" i="6"/>
  <c r="S143" i="6"/>
  <c r="S123" i="6"/>
  <c r="M134" i="6"/>
  <c r="M140" i="6" s="1"/>
  <c r="M145" i="6" s="1"/>
  <c r="M88" i="6"/>
  <c r="M148" i="6" s="1"/>
  <c r="S178" i="6" l="1"/>
  <c r="S19" i="5" s="1"/>
  <c r="U19" i="5" s="1"/>
  <c r="M149" i="6"/>
  <c r="M165" i="6" s="1"/>
  <c r="M167" i="6" s="1"/>
  <c r="M170" i="6" s="1"/>
  <c r="M105" i="6" s="1"/>
  <c r="M107" i="6" s="1"/>
  <c r="M109" i="6" s="1"/>
  <c r="Q14" i="5"/>
  <c r="Q15" i="5"/>
  <c r="Q20" i="5" s="1"/>
  <c r="Q24" i="5" s="1"/>
  <c r="P211" i="6"/>
  <c r="P160" i="6" s="1"/>
  <c r="P219" i="6"/>
  <c r="P210" i="6" s="1"/>
  <c r="P209" i="6" s="1"/>
  <c r="R13" i="5"/>
  <c r="R12" i="5"/>
  <c r="O98" i="6"/>
  <c r="O101" i="6" s="1"/>
  <c r="P223" i="6"/>
  <c r="S11" i="5"/>
  <c r="S80" i="6"/>
  <c r="N134" i="6"/>
  <c r="N140" i="6" s="1"/>
  <c r="N145" i="6" s="1"/>
  <c r="N88" i="6"/>
  <c r="N148" i="6" s="1"/>
  <c r="O202" i="6"/>
  <c r="M90" i="6"/>
  <c r="N169" i="6" l="1"/>
  <c r="N90" i="6"/>
  <c r="P224" i="6"/>
  <c r="P226" i="6" s="1"/>
  <c r="P212" i="6"/>
  <c r="Q208" i="6" s="1"/>
  <c r="S12" i="5"/>
  <c r="U12" i="5" s="1"/>
  <c r="U11" i="5" s="1"/>
  <c r="U13" i="5" s="1"/>
  <c r="S13" i="5"/>
  <c r="O161" i="6"/>
  <c r="O163" i="6" s="1"/>
  <c r="N91" i="6"/>
  <c r="N161" i="6"/>
  <c r="N163" i="6" s="1"/>
  <c r="M91" i="6"/>
  <c r="M116" i="6"/>
  <c r="P199" i="6"/>
  <c r="O121" i="6"/>
  <c r="O126" i="6" s="1"/>
  <c r="O204" i="6"/>
  <c r="R15" i="5"/>
  <c r="R20" i="5" s="1"/>
  <c r="R24" i="5" s="1"/>
  <c r="R14" i="5"/>
  <c r="N149" i="6"/>
  <c r="O146" i="6" l="1"/>
  <c r="O83" i="6"/>
  <c r="U15" i="5"/>
  <c r="U20" i="5" s="1"/>
  <c r="H30" i="5" s="1"/>
  <c r="H31" i="5" s="1"/>
  <c r="U14" i="5"/>
  <c r="S14" i="5"/>
  <c r="S15" i="5"/>
  <c r="S20" i="5" s="1"/>
  <c r="S24" i="5" s="1"/>
  <c r="H29" i="5" s="1"/>
  <c r="P204" i="6"/>
  <c r="P202" i="6"/>
  <c r="P201" i="6"/>
  <c r="P159" i="6" s="1"/>
  <c r="N116" i="6"/>
  <c r="M118" i="6"/>
  <c r="M128" i="6" s="1"/>
  <c r="M129" i="6" s="1"/>
  <c r="Q219" i="6"/>
  <c r="Q210" i="6" s="1"/>
  <c r="Q211" i="6"/>
  <c r="Q160" i="6" s="1"/>
  <c r="Q209" i="6"/>
  <c r="Q224" i="6" s="1"/>
  <c r="N165" i="6"/>
  <c r="N167" i="6" s="1"/>
  <c r="N170" i="6" s="1"/>
  <c r="Q223" i="6"/>
  <c r="P98" i="6"/>
  <c r="P101" i="6" s="1"/>
  <c r="H32" i="5" l="1"/>
  <c r="H34" i="5" s="1"/>
  <c r="Q45" i="5" s="1"/>
  <c r="P146" i="6"/>
  <c r="P83" i="6"/>
  <c r="Q199" i="6"/>
  <c r="P121" i="6"/>
  <c r="P126" i="6" s="1"/>
  <c r="H33" i="5"/>
  <c r="H39" i="5"/>
  <c r="H57" i="5" s="1"/>
  <c r="H59" i="5" s="1"/>
  <c r="Q212" i="6"/>
  <c r="R208" i="6" s="1"/>
  <c r="Q226" i="6"/>
  <c r="N118" i="6"/>
  <c r="N128" i="6" s="1"/>
  <c r="O138" i="6"/>
  <c r="O86" i="6"/>
  <c r="O169" i="6"/>
  <c r="N105" i="6"/>
  <c r="N107" i="6" s="1"/>
  <c r="N109" i="6" s="1"/>
  <c r="N129" i="6" s="1"/>
  <c r="H40" i="5" l="1"/>
  <c r="I45" i="5" s="1"/>
  <c r="R211" i="6"/>
  <c r="R160" i="6" s="1"/>
  <c r="R219" i="6"/>
  <c r="R210" i="6" s="1"/>
  <c r="R209" i="6" s="1"/>
  <c r="Q201" i="6"/>
  <c r="Q159" i="6" s="1"/>
  <c r="O134" i="6"/>
  <c r="O140" i="6" s="1"/>
  <c r="O145" i="6" s="1"/>
  <c r="O88" i="6"/>
  <c r="O148" i="6" s="1"/>
  <c r="P138" i="6"/>
  <c r="P86" i="6"/>
  <c r="R223" i="6"/>
  <c r="Q98" i="6"/>
  <c r="Q101" i="6" s="1"/>
  <c r="Q202" i="6" l="1"/>
  <c r="Q204" i="6" s="1"/>
  <c r="O90" i="6"/>
  <c r="O116" i="6" s="1"/>
  <c r="R224" i="6"/>
  <c r="R212" i="6"/>
  <c r="S208" i="6" s="1"/>
  <c r="Q146" i="6"/>
  <c r="Q83" i="6"/>
  <c r="P161" i="6"/>
  <c r="P163" i="6" s="1"/>
  <c r="O91" i="6"/>
  <c r="P134" i="6"/>
  <c r="P140" i="6" s="1"/>
  <c r="P145" i="6" s="1"/>
  <c r="P88" i="6"/>
  <c r="P148" i="6" s="1"/>
  <c r="P90" i="6"/>
  <c r="O149" i="6"/>
  <c r="O165" i="6" s="1"/>
  <c r="O167" i="6" s="1"/>
  <c r="O170" i="6" s="1"/>
  <c r="Q121" i="6"/>
  <c r="Q126" i="6" s="1"/>
  <c r="R199" i="6"/>
  <c r="H62" i="5"/>
  <c r="H64" i="5" s="1"/>
  <c r="R226" i="6"/>
  <c r="P149" i="6" l="1"/>
  <c r="P165" i="6" s="1"/>
  <c r="P167" i="6" s="1"/>
  <c r="P116" i="6"/>
  <c r="O118" i="6"/>
  <c r="O128" i="6" s="1"/>
  <c r="O105" i="6"/>
  <c r="O107" i="6" s="1"/>
  <c r="O109" i="6" s="1"/>
  <c r="O129" i="6" s="1"/>
  <c r="P169" i="6"/>
  <c r="P170" i="6" s="1"/>
  <c r="S211" i="6"/>
  <c r="S160" i="6" s="1"/>
  <c r="S219" i="6"/>
  <c r="S210" i="6" s="1"/>
  <c r="S209" i="6" s="1"/>
  <c r="R201" i="6"/>
  <c r="R159" i="6" s="1"/>
  <c r="Q138" i="6"/>
  <c r="Q86" i="6"/>
  <c r="Q161" i="6"/>
  <c r="Q163" i="6" s="1"/>
  <c r="P91" i="6"/>
  <c r="S223" i="6"/>
  <c r="R98" i="6"/>
  <c r="R101" i="6" s="1"/>
  <c r="S224" i="6" l="1"/>
  <c r="S212" i="6"/>
  <c r="P105" i="6"/>
  <c r="P107" i="6" s="1"/>
  <c r="P109" i="6" s="1"/>
  <c r="Q169" i="6"/>
  <c r="Q88" i="6"/>
  <c r="Q148" i="6" s="1"/>
  <c r="Q134" i="6"/>
  <c r="Q140" i="6" s="1"/>
  <c r="Q145" i="6" s="1"/>
  <c r="Q149" i="6" s="1"/>
  <c r="Q165" i="6" s="1"/>
  <c r="Q167" i="6" s="1"/>
  <c r="S226" i="6"/>
  <c r="S98" i="6" s="1"/>
  <c r="S101" i="6" s="1"/>
  <c r="R202" i="6"/>
  <c r="P118" i="6"/>
  <c r="P128" i="6" s="1"/>
  <c r="S199" i="6" l="1"/>
  <c r="R121" i="6"/>
  <c r="R126" i="6" s="1"/>
  <c r="R204" i="6"/>
  <c r="Q90" i="6"/>
  <c r="P129" i="6"/>
  <c r="Q170" i="6"/>
  <c r="R161" i="6" l="1"/>
  <c r="R163" i="6" s="1"/>
  <c r="Q91" i="6"/>
  <c r="Q116" i="6"/>
  <c r="R169" i="6"/>
  <c r="Q105" i="6"/>
  <c r="Q107" i="6" s="1"/>
  <c r="Q109" i="6" s="1"/>
  <c r="R146" i="6"/>
  <c r="R83" i="6"/>
  <c r="S201" i="6"/>
  <c r="S159" i="6" s="1"/>
  <c r="S202" i="6" l="1"/>
  <c r="S121" i="6" s="1"/>
  <c r="S126" i="6" s="1"/>
  <c r="R138" i="6"/>
  <c r="R86" i="6"/>
  <c r="Q118" i="6"/>
  <c r="Q128" i="6" s="1"/>
  <c r="Q129" i="6" s="1"/>
  <c r="S204" i="6"/>
  <c r="S146" i="6" l="1"/>
  <c r="S83" i="6"/>
  <c r="R134" i="6"/>
  <c r="R88" i="6"/>
  <c r="R148" i="6" s="1"/>
  <c r="R140" i="6"/>
  <c r="R145" i="6" s="1"/>
  <c r="R149" i="6" s="1"/>
  <c r="R165" i="6" s="1"/>
  <c r="R167" i="6" s="1"/>
  <c r="R170" i="6" s="1"/>
  <c r="R105" i="6" l="1"/>
  <c r="R107" i="6" s="1"/>
  <c r="R109" i="6" s="1"/>
  <c r="S169" i="6"/>
  <c r="R90" i="6"/>
  <c r="S138" i="6"/>
  <c r="S86" i="6"/>
  <c r="S134" i="6" l="1"/>
  <c r="S140" i="6" s="1"/>
  <c r="S145" i="6" s="1"/>
  <c r="S88" i="6"/>
  <c r="S148" i="6" s="1"/>
  <c r="S161" i="6"/>
  <c r="S163" i="6" s="1"/>
  <c r="R91" i="6"/>
  <c r="R116" i="6"/>
  <c r="R118" i="6" l="1"/>
  <c r="R128" i="6" s="1"/>
  <c r="R129" i="6" s="1"/>
  <c r="S90" i="6"/>
  <c r="S91" i="6" s="1"/>
  <c r="S149" i="6"/>
  <c r="S165" i="6" s="1"/>
  <c r="S167" i="6" s="1"/>
  <c r="S170" i="6" s="1"/>
  <c r="S105" i="6" s="1"/>
  <c r="S107" i="6" s="1"/>
  <c r="S109" i="6" s="1"/>
  <c r="S116" i="6" l="1"/>
  <c r="S118" i="6" s="1"/>
  <c r="S128" i="6" s="1"/>
  <c r="S129" i="6" s="1"/>
</calcChain>
</file>

<file path=xl/sharedStrings.xml><?xml version="1.0" encoding="utf-8"?>
<sst xmlns="http://schemas.openxmlformats.org/spreadsheetml/2006/main" count="578" uniqueCount="285">
  <si>
    <t>x</t>
  </si>
  <si>
    <t>notes</t>
  </si>
  <si>
    <t>units</t>
  </si>
  <si>
    <t/>
  </si>
  <si>
    <t>[X]</t>
  </si>
  <si>
    <t>Универсиада "Ломоносов" по финансовой аналитике</t>
  </si>
  <si>
    <t>© задание подготовлено при поддержке IB Club МГУ</t>
  </si>
  <si>
    <t>Уважаемый участник Универсиады,</t>
  </si>
  <si>
    <t>Общие положения</t>
  </si>
  <si>
    <t>(1) укажите имя и фамилию в ячейке выше</t>
  </si>
  <si>
    <t>(3) задание заключается:</t>
  </si>
  <si>
    <t>(б) проведении оценки стоимости на листе "DCF"</t>
  </si>
  <si>
    <t>(в) [по желанию] записать видео не более 2х минут с ответом на вопрос "Почему (не) стоит инвестировать в акции Компании"</t>
  </si>
  <si>
    <t>Контактная информация</t>
  </si>
  <si>
    <t>Советы по выполнению задания</t>
  </si>
  <si>
    <t>Желаем удачи при выполнении задания!</t>
  </si>
  <si>
    <t>Искренне ваша,</t>
  </si>
  <si>
    <t>команда Универсиады ЭФ МГУ</t>
  </si>
  <si>
    <t>(1) на основании предложенных допущений и публичной иформации построить финансовую модель на соответствующем листе</t>
  </si>
  <si>
    <t>(2) оценить стоимость Компании, используя лист "DCF"</t>
  </si>
  <si>
    <r>
      <t xml:space="preserve">(а) </t>
    </r>
    <r>
      <rPr>
        <b/>
        <i/>
        <sz val="10"/>
        <color theme="1"/>
        <rFont val="Arial"/>
        <family val="2"/>
        <charset val="204"/>
      </rPr>
      <t>черный</t>
    </r>
    <r>
      <rPr>
        <i/>
        <sz val="10"/>
        <color theme="1"/>
        <rFont val="Arial"/>
        <family val="2"/>
        <charset val="204"/>
      </rPr>
      <t xml:space="preserve"> -- ссылка на ячейку на том же листе</t>
    </r>
  </si>
  <si>
    <r>
      <t xml:space="preserve">(б) </t>
    </r>
    <r>
      <rPr>
        <b/>
        <i/>
        <sz val="10"/>
        <color rgb="FF0070C0"/>
        <rFont val="Arial"/>
        <family val="2"/>
        <charset val="204"/>
      </rPr>
      <t>синий</t>
    </r>
    <r>
      <rPr>
        <i/>
        <sz val="10"/>
        <color theme="1"/>
        <rFont val="Arial"/>
        <family val="2"/>
        <charset val="204"/>
      </rPr>
      <t xml:space="preserve"> -- числовое значение ("hard number")</t>
    </r>
  </si>
  <si>
    <r>
      <t xml:space="preserve">(в) </t>
    </r>
    <r>
      <rPr>
        <b/>
        <i/>
        <sz val="10"/>
        <color rgb="FF00B050"/>
        <rFont val="Arial"/>
        <family val="2"/>
        <charset val="204"/>
      </rPr>
      <t>зелёный</t>
    </r>
    <r>
      <rPr>
        <i/>
        <sz val="10"/>
        <color theme="1"/>
        <rFont val="Arial"/>
        <family val="2"/>
        <charset val="204"/>
      </rPr>
      <t xml:space="preserve"> -- ссылка на другой лист</t>
    </r>
  </si>
  <si>
    <t>(6) вы обязаны выполнить задание собственными силами. Организаторы имеют право проводить любые проверки</t>
  </si>
  <si>
    <t>%</t>
  </si>
  <si>
    <t>(1) Target share of equity is 70%</t>
  </si>
  <si>
    <t>Revenue</t>
  </si>
  <si>
    <t>EBIT</t>
  </si>
  <si>
    <t>NOPAT</t>
  </si>
  <si>
    <t>tax rate</t>
  </si>
  <si>
    <t>(+) D&amp;A</t>
  </si>
  <si>
    <t>FCFF</t>
  </si>
  <si>
    <t>Period</t>
  </si>
  <si>
    <t>Discount factor</t>
  </si>
  <si>
    <t>DCF</t>
  </si>
  <si>
    <t>LTGR</t>
  </si>
  <si>
    <t>WACC</t>
  </si>
  <si>
    <t>Enterprise value</t>
  </si>
  <si>
    <t>(+) Cash</t>
  </si>
  <si>
    <t>Equity Value</t>
  </si>
  <si>
    <t xml:space="preserve">Sales  </t>
  </si>
  <si>
    <t>Cost of sales</t>
  </si>
  <si>
    <t xml:space="preserve">Gross profit </t>
  </si>
  <si>
    <t>Gross margin, %</t>
  </si>
  <si>
    <t>Selling, general and administrative expenses</t>
  </si>
  <si>
    <t>Other</t>
  </si>
  <si>
    <t>EBITDA</t>
  </si>
  <si>
    <t>EBITDA Margin</t>
  </si>
  <si>
    <t>RUB mn</t>
  </si>
  <si>
    <t>Change, %</t>
  </si>
  <si>
    <t>n/a</t>
  </si>
  <si>
    <t>ASSETS</t>
  </si>
  <si>
    <t>Non-current assets:</t>
  </si>
  <si>
    <t>Property, plant and equipment</t>
  </si>
  <si>
    <t xml:space="preserve">Total non-current assets </t>
  </si>
  <si>
    <t>Current assets:</t>
  </si>
  <si>
    <t>Inventories</t>
  </si>
  <si>
    <t>Cash and cash equivalents</t>
  </si>
  <si>
    <t xml:space="preserve">Total current assets </t>
  </si>
  <si>
    <t>TOTAL ASSETS</t>
  </si>
  <si>
    <t>EQUITY AND LIABILITIES</t>
  </si>
  <si>
    <t>Equity</t>
  </si>
  <si>
    <t>Additional paid-in capital</t>
  </si>
  <si>
    <t>Treasury shares</t>
  </si>
  <si>
    <t>Total equity</t>
  </si>
  <si>
    <t>TOTAL LIABILITIES AND EQUITY</t>
  </si>
  <si>
    <r>
      <t xml:space="preserve">(г) </t>
    </r>
    <r>
      <rPr>
        <b/>
        <i/>
        <sz val="10"/>
        <color theme="1"/>
        <rFont val="Arial"/>
        <family val="2"/>
        <charset val="204"/>
      </rPr>
      <t>черные границы ячейки</t>
    </r>
    <r>
      <rPr>
        <i/>
        <sz val="10"/>
        <color theme="1"/>
        <rFont val="Arial"/>
        <family val="2"/>
        <charset val="204"/>
      </rPr>
      <t xml:space="preserve"> -- изменение в формуле </t>
    </r>
  </si>
  <si>
    <t>Share of Sales, %</t>
  </si>
  <si>
    <r>
      <t xml:space="preserve">(е) </t>
    </r>
    <r>
      <rPr>
        <b/>
        <i/>
        <sz val="10"/>
        <color rgb="FFFF0000"/>
        <rFont val="Arial"/>
        <family val="2"/>
        <charset val="204"/>
      </rPr>
      <t>красный</t>
    </r>
    <r>
      <rPr>
        <i/>
        <sz val="10"/>
        <color theme="1"/>
        <rFont val="Arial"/>
        <family val="2"/>
        <charset val="204"/>
      </rPr>
      <t xml:space="preserve"> -- требует внимания / корректировки (в идеале, в итоговой модели не должно быть таких значений)</t>
    </r>
  </si>
  <si>
    <t>(д)  допущение</t>
  </si>
  <si>
    <t>TV</t>
  </si>
  <si>
    <t>Number of stores</t>
  </si>
  <si>
    <t>#</t>
  </si>
  <si>
    <t>Change</t>
  </si>
  <si>
    <t>Check</t>
  </si>
  <si>
    <t>000 sqm</t>
  </si>
  <si>
    <t>Selling Space</t>
  </si>
  <si>
    <t>Number of Stores</t>
  </si>
  <si>
    <t>sqm</t>
  </si>
  <si>
    <t>Sales per sqm</t>
  </si>
  <si>
    <t>Cost of Equity</t>
  </si>
  <si>
    <t>Cost of Debt</t>
  </si>
  <si>
    <t>Tax Rate</t>
  </si>
  <si>
    <t>Risk Free Rate</t>
  </si>
  <si>
    <t>Equity Risk premium</t>
  </si>
  <si>
    <t>Levered Beta</t>
  </si>
  <si>
    <t>Pre-tax Cost of Debt</t>
  </si>
  <si>
    <t>After-tax Cost of Debt</t>
  </si>
  <si>
    <t>Share of Equity</t>
  </si>
  <si>
    <t>Share of Debt</t>
  </si>
  <si>
    <t>Trade and other receivables</t>
  </si>
  <si>
    <t>Trade and other payables</t>
  </si>
  <si>
    <t>Working Capital</t>
  </si>
  <si>
    <t>Turnover:</t>
  </si>
  <si>
    <t>Sales</t>
  </si>
  <si>
    <t>days</t>
  </si>
  <si>
    <t>Change in NWC</t>
  </si>
  <si>
    <t>(-) Debt</t>
  </si>
  <si>
    <t>CAPEX (Purchases of property, plant and equipment )</t>
  </si>
  <si>
    <t>CAPEX per Store</t>
  </si>
  <si>
    <t>(-) CAPEX</t>
  </si>
  <si>
    <t>(-) Δ NWC</t>
  </si>
  <si>
    <t>Interest expense</t>
  </si>
  <si>
    <t>Interest income</t>
  </si>
  <si>
    <t>&lt;&lt; не учитывать в моделировании - в прогнозном периоде поставить 0</t>
  </si>
  <si>
    <t>Profit / (loss) before income tax</t>
  </si>
  <si>
    <t>Income tax benefit/(expense)</t>
  </si>
  <si>
    <t>Net Income / (loss)  for the period</t>
  </si>
  <si>
    <t>Net Income Margin</t>
  </si>
  <si>
    <t>&lt;&lt; в терминальном периоде рентабельность на уровне последнего прогнозного года</t>
  </si>
  <si>
    <t>&lt;&lt; в терминальном периоде амортизация увеличивается на LTGR</t>
  </si>
  <si>
    <t>&lt;&lt; в терминальном периоде Δ NWC увеличивается на LTGR</t>
  </si>
  <si>
    <t>&lt;&lt; используйте mid-year convention</t>
  </si>
  <si>
    <t>BoP</t>
  </si>
  <si>
    <t>EoP</t>
  </si>
  <si>
    <t>&lt;&lt; долг на начало периода</t>
  </si>
  <si>
    <t>&lt;&lt; долг на конец периода</t>
  </si>
  <si>
    <t>(+) Debt Attraction</t>
  </si>
  <si>
    <t>(-) Debt Repayment</t>
  </si>
  <si>
    <t>&lt;&lt; допущение о том, что компания гасит по 15% от суммы долга на начало периода</t>
  </si>
  <si>
    <t>&lt;&lt; допущение о том, что 50% капитальных затрат финасируется путем привлечения долга (с 2022 г.)</t>
  </si>
  <si>
    <t>Interest Expense</t>
  </si>
  <si>
    <t>&lt;&lt; проценты начисляются на среднее значение между размером долга на начало периода и на конец периода</t>
  </si>
  <si>
    <t>&lt;&lt; процентная ставка</t>
  </si>
  <si>
    <t>&lt;&lt; в прогнозе используйте маржинальную ставку налога</t>
  </si>
  <si>
    <t>проводится Центром прикладных финансовых исследований ЭФ МГУ, МП Финансовая аналитика при поддержке IB Club</t>
  </si>
  <si>
    <t>добро пожаловать на отборочный этап!</t>
  </si>
  <si>
    <t>(б) использовать модель Гордона для расчёта терминальной стоимости бизнеса</t>
  </si>
  <si>
    <t>(если стоит инвестировать, то на какой срок)</t>
  </si>
  <si>
    <t>(7) уточняющие вопросы можете задавать по почте, указанной ниже, на ответ может потребоваться до нескольких рабочих дней</t>
  </si>
  <si>
    <t>Financial model</t>
  </si>
  <si>
    <t>EBITDA margin</t>
  </si>
  <si>
    <t>EBIT margin</t>
  </si>
  <si>
    <t>Sum of discounted FCFF</t>
  </si>
  <si>
    <t>Discounted terminal value</t>
  </si>
  <si>
    <t>Terminal value</t>
  </si>
  <si>
    <t>Company valuation using income approach</t>
  </si>
  <si>
    <t>(2) Risk free rate is 8.5%</t>
  </si>
  <si>
    <t>(3) Levered beta fot target capital structure is 1.0</t>
  </si>
  <si>
    <t>(4) Equity risk premium is 9.0%</t>
  </si>
  <si>
    <t>(6) Tax rate is 20.0%</t>
  </si>
  <si>
    <t>(7) Terminal growth rate is 4.0%</t>
  </si>
  <si>
    <t>Operating numbers</t>
  </si>
  <si>
    <t>Key projections</t>
  </si>
  <si>
    <t>P&amp;L</t>
  </si>
  <si>
    <t>Balance sheet</t>
  </si>
  <si>
    <t>NWC</t>
  </si>
  <si>
    <t>Capex</t>
  </si>
  <si>
    <t>Debt</t>
  </si>
  <si>
    <t>Key valuation assumptions</t>
  </si>
  <si>
    <t>General guidance</t>
  </si>
  <si>
    <t>Discounted FCFF</t>
  </si>
  <si>
    <t>(5) Pre-tax cost of debt is 10.75%</t>
  </si>
  <si>
    <t>Equity value calculations</t>
  </si>
  <si>
    <t>Average Selling Space per store</t>
  </si>
  <si>
    <t>Selling, general and administrative expenses as % of Revenue</t>
  </si>
  <si>
    <t>&lt;&lt; прогноз показателей на основании их оборачиваемости</t>
  </si>
  <si>
    <t>(в) [по желанию] посчитать CAGR для необходимых показателей</t>
  </si>
  <si>
    <t>(в) посчитать стомость бизнеса (EV) и стоимость 100% акционерного капатала Компании</t>
  </si>
  <si>
    <t>(а) посчитать WACC, используя модель CAPM для расчёта стоимости капитала Компании</t>
  </si>
  <si>
    <t>(3) в рамках задания предполагается, что инвестиционное предложение нужно сделать от лица финансового институционально инвестора,</t>
  </si>
  <si>
    <t>поэтому можно допустить, что рассматривается покупка не более 10-15% капитала компании</t>
  </si>
  <si>
    <t>(4) сделать инвестиционное предложение о необходимости ли (не) инвестировать в такой пакет акций и объяснить свое решение</t>
  </si>
  <si>
    <t>[по желанию и при необходимости] сделать корректировку на неконтрольный пакет, который рассматривается для приобретения</t>
  </si>
  <si>
    <t>(5) в случае, если вы посчитаете, что предоставленных допущений недостаточно, можете делать собственные допущения</t>
  </si>
  <si>
    <t>ключевые собственные допущения стоит объяснять (либо в комментариях к модели / ячейке, либо в видео)</t>
  </si>
  <si>
    <t>(6) пожалуйста, не забывайте, что форматирование модели также будет оцениваться дополнительно</t>
  </si>
  <si>
    <t>Мы предлагаем использовать следующий подход к форматированию:</t>
  </si>
  <si>
    <t>Если у нас возникнут обоснованные подозрения о нарушении вами правил Универсиады, то мы сохраняем за собой право</t>
  </si>
  <si>
    <t>дисквалифицировать недобросовестного участника</t>
  </si>
  <si>
    <t>(а) Сделать прогноз операционных показатей</t>
  </si>
  <si>
    <t>(б) Сделать прогноз трех форм отчетности</t>
  </si>
  <si>
    <t>Дата оценки - 31.12.2023</t>
  </si>
  <si>
    <r>
      <t>(а) в построении финансовой модели по Fix Price Group PLC (Moex: FIXP, далее -- "</t>
    </r>
    <r>
      <rPr>
        <b/>
        <sz val="10"/>
        <color theme="1"/>
        <rFont val="Arial"/>
        <family val="2"/>
        <charset val="204"/>
      </rPr>
      <t>Компания</t>
    </r>
    <r>
      <rPr>
        <sz val="10"/>
        <color theme="1"/>
        <rFont val="Arial"/>
        <family val="2"/>
        <charset val="204"/>
      </rPr>
      <t>") на основе предложенных допущений</t>
    </r>
  </si>
  <si>
    <t>Company-operated stores</t>
  </si>
  <si>
    <t>Franchise stores</t>
  </si>
  <si>
    <t>&lt;&lt; в прогнозе используйте допущение о сохранении кол-ва магазинов на уровне 2023 г.</t>
  </si>
  <si>
    <t>&lt;&lt; график открытия новых магазинов</t>
  </si>
  <si>
    <t>&lt;&lt; в 2024 г. и далее средняя торговая площадь на магазин будет на уровне 2023 г.</t>
  </si>
  <si>
    <t>&lt;&lt; 2023 г. - на уровне среднегодовых значений за последние три года от всех розничных продаж, далее на уровне 2023 г.</t>
  </si>
  <si>
    <t>Other operating income</t>
  </si>
  <si>
    <t>Share of profit of associates</t>
  </si>
  <si>
    <t>Operating profit</t>
  </si>
  <si>
    <t>Foreign exchange gain/(loss), net</t>
  </si>
  <si>
    <t>Staff costs</t>
  </si>
  <si>
    <t>Bank charges</t>
  </si>
  <si>
    <t>Rental expense</t>
  </si>
  <si>
    <t>Security services</t>
  </si>
  <si>
    <t>Advertising costs</t>
  </si>
  <si>
    <t>Repair and maintenance costs</t>
  </si>
  <si>
    <t>Utilities</t>
  </si>
  <si>
    <t>Other expenses</t>
  </si>
  <si>
    <t>Depreciation of right-of-use assets</t>
  </si>
  <si>
    <t>Other depreciation and amortisation</t>
  </si>
  <si>
    <t>Right-of-use assets</t>
  </si>
  <si>
    <t>Investment in associates</t>
  </si>
  <si>
    <t>Loans and borrowings</t>
  </si>
  <si>
    <t>Lease liabilities</t>
  </si>
  <si>
    <t>Share capital</t>
  </si>
  <si>
    <t>Retained earnings/(Deficit)</t>
  </si>
  <si>
    <t>Currency translation reserve</t>
  </si>
  <si>
    <t>Income tax payable</t>
  </si>
  <si>
    <t>Cash Flow</t>
  </si>
  <si>
    <t>CASH FROM OPERATING ACTIVITIES</t>
  </si>
  <si>
    <t>Profit before tax for the period</t>
  </si>
  <si>
    <t>Depreciation and amortisation</t>
  </si>
  <si>
    <t>Operating cash flows before changes in net working capital</t>
  </si>
  <si>
    <t>(Increase)/Decrease in inventories</t>
  </si>
  <si>
    <t>Net cash flows generated from operations</t>
  </si>
  <si>
    <t>Interest paid</t>
  </si>
  <si>
    <t>Interest received</t>
  </si>
  <si>
    <t>Income tax paid</t>
  </si>
  <si>
    <t>Net cash flows from operating activities</t>
  </si>
  <si>
    <t>CASH FLOWS FROM INVESTING ACTIVITIES</t>
  </si>
  <si>
    <t>Purchase of property, plant and equipment</t>
  </si>
  <si>
    <t>Dividends received from associates</t>
  </si>
  <si>
    <t>Net cash flows used in investing activities</t>
  </si>
  <si>
    <t>CASH FLOWS FROM FINANCING ACTIVITIES</t>
  </si>
  <si>
    <t>Proceeds from loans and borrowings</t>
  </si>
  <si>
    <t>Repayment of loans and borrowings</t>
  </si>
  <si>
    <t>Lease payments</t>
  </si>
  <si>
    <t>Dividends paid</t>
  </si>
  <si>
    <t>Net cash flows (used in)/from financing activities</t>
  </si>
  <si>
    <t>Cash and cash equivalents at the beginning of the period</t>
  </si>
  <si>
    <t>Cash and cash equivalents at the end of the period</t>
  </si>
  <si>
    <t>&lt;&lt; остаются без изменений в прогнозном периоде</t>
  </si>
  <si>
    <t>(Increase)/Decrease in trade receivables</t>
  </si>
  <si>
    <t>&lt;&lt; 2023 г. - среднее за три года, далее на уровне 2022 г. ( базис расчета - COGS)</t>
  </si>
  <si>
    <t>&lt;&lt; 2023 г. - среднее за три года, далее на уровне 2022 г. ( базис расчета - Sales)</t>
  </si>
  <si>
    <t>&lt;&lt; 2023 г. - среднее за три года, далее на уровне 2022 г. ( базис расчета - COGS и SG&amp;A)</t>
  </si>
  <si>
    <t>Effect of exchange rate fluctuations</t>
  </si>
  <si>
    <t>Cash from operating, investing and financing activities</t>
  </si>
  <si>
    <t>(decrease)/increase in cash and cash equivalents</t>
  </si>
  <si>
    <t>Number of Company-operated stores</t>
  </si>
  <si>
    <t>growth</t>
  </si>
  <si>
    <t>&lt;&lt; 50% от чистой прибыли предыдущего года с 2025 года, до этого 0</t>
  </si>
  <si>
    <t>Liabilities</t>
  </si>
  <si>
    <t>Total liabilities</t>
  </si>
  <si>
    <t>Increase /(Decrease) in trade payables</t>
  </si>
  <si>
    <t>&lt;&lt; процентный доход в прогнозном периоде увеличивается на 10% ежегодно</t>
  </si>
  <si>
    <t>Leasing</t>
  </si>
  <si>
    <t>(-) Leasing Repayment</t>
  </si>
  <si>
    <t>(+) Attraction</t>
  </si>
  <si>
    <t>&lt;&lt; обязательства по лизингу на начало периода</t>
  </si>
  <si>
    <t>&lt;&lt; обязательства по лизингу на конец периода</t>
  </si>
  <si>
    <t>&lt;&lt; допущение о том, что компания гасит по 75% от суммы обязательств на начало периода</t>
  </si>
  <si>
    <t>Selling space</t>
  </si>
  <si>
    <t>Leasing liabilities per sqm</t>
  </si>
  <si>
    <t>RUB k</t>
  </si>
  <si>
    <t>RUBk/sqm</t>
  </si>
  <si>
    <t>&lt;&lt; проценты начисляются на начало периода</t>
  </si>
  <si>
    <t>(-) D&amp;A</t>
  </si>
  <si>
    <t>&lt;&lt; на начало периода</t>
  </si>
  <si>
    <t>&lt;&lt; на конец периода</t>
  </si>
  <si>
    <t>&lt;&lt;  прогнозном периоде увеличивается на 8% ежегодно</t>
  </si>
  <si>
    <t>(+) Interest accrued</t>
  </si>
  <si>
    <t>EV / Sales'23E implied</t>
  </si>
  <si>
    <t>EV / EBITDA'23E implied</t>
  </si>
  <si>
    <t>(-) Leasing</t>
  </si>
  <si>
    <t>(+) Investment in associates</t>
  </si>
  <si>
    <t>&lt;&lt; 50% от share of profit of associates</t>
  </si>
  <si>
    <t>Lease liabilities, EoP</t>
  </si>
  <si>
    <t xml:space="preserve">&lt;&lt; в терминальном периоде капитальные затраты будут на уровне амортизация </t>
  </si>
  <si>
    <t>(2) данное задание необходимо выполнить и прислать нам до 5го марта 2024 года, до 15:00 по московскому времени</t>
  </si>
  <si>
    <t>Место и формат сдачи готовой работы будут указаны в рассылке на почту, указанную при регистрации чуть позже</t>
  </si>
  <si>
    <t>tolstelms@my.msu.ru</t>
  </si>
  <si>
    <t>Чочиев Денис</t>
  </si>
  <si>
    <t>Sensetivity analysis for DCF</t>
  </si>
  <si>
    <t>Investing recommendation</t>
  </si>
  <si>
    <t>Number of shares</t>
  </si>
  <si>
    <t>unit mn</t>
  </si>
  <si>
    <t>Fair price of share</t>
  </si>
  <si>
    <t>RUB</t>
  </si>
  <si>
    <t>Current price of share</t>
  </si>
  <si>
    <t>Profitability</t>
  </si>
  <si>
    <t>Maximum investing period</t>
  </si>
  <si>
    <t>years</t>
  </si>
  <si>
    <t>For 04.03.2024</t>
  </si>
  <si>
    <t>For 30.12.2022</t>
  </si>
  <si>
    <t>10% Stake Purchase price</t>
  </si>
  <si>
    <t>10% Purchace Stake Price</t>
  </si>
  <si>
    <t>Summary:</t>
  </si>
  <si>
    <t>EV/EBITDA Multiple (for 2023)</t>
  </si>
  <si>
    <t>&lt;&lt; 2023 г. - на уровне среднегодовых значений за последние три года от суммарных продаж, далее на уровне 2023 г.</t>
  </si>
  <si>
    <t>Для 04.03.2024 и для 30.12.2022 акции компании являются недоценными, в связи с чем, рекомендуется их приобретение, однако, не на долгий срок, поскольку максимальное количество времени, рекомендуемое для их удержания, которое рассчитано исходя из предполагаемой доходности (разницей между фактической ценой на каждую дату и справедливой ценой) и минимальной ожидаемой доходностью (Cost of Equity) составляет 3,2 года и 2,7 года соответсвенно. При меньшем инвестиционном периоде годовая доходность будет больше. В связи с этим, рекомендуется приобрести лишь 10% от общего количества акций в связи с низкой доходностью при инвестировании на более длительные сроки. Также минимальная доля для инвестирования обоснована уменьшением цены с 30.12.2022 года по 04.03.2024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</si>
</sst>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General\E"/>
    <numFmt numFmtId="165" formatCode="General\A"/>
    <numFmt numFmtId="166" formatCode="#,##0;\(#,##0\);\-\-"/>
    <numFmt numFmtId="167" formatCode="#,##0.0%;\(#,##0.0%\);\-\-"/>
    <numFmt numFmtId="168" formatCode="#,##0.00;\(#,##0.00\);\-\-"/>
    <numFmt numFmtId="169" formatCode="_-* #,##0.00_р_._-;\-* #,##0.00_р_._-;_-* &quot;-&quot;??_р_._-;_-@_-"/>
    <numFmt numFmtId="170" formatCode="#,##0.0;\(#,##0.0\);\-\-"/>
    <numFmt numFmtId="171" formatCode="0.0%"/>
    <numFmt numFmtId="172" formatCode="_-* #,##0.00[$€-1]_-;\-* #,##0.00[$€-1]_-;_-* &quot;-&quot;??[$€-1]_-"/>
    <numFmt numFmtId="173" formatCode="#,##0%;\(#,##0%\);\-\-"/>
    <numFmt numFmtId="174" formatCode="#,##0.00000"/>
    <numFmt numFmtId="175" formatCode="#,##0.000;\(#,##0.000\);\-\-"/>
    <numFmt numFmtId="176" formatCode="#,##0.00000;\(#,##0.00000\);\-\-"/>
    <numFmt numFmtId="177" formatCode="#,##0.0000000000000000000000000000000000;\(#,##0.0000000000000000000000000000000000\);\-\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70C0"/>
      <name val="Arial"/>
      <family val="2"/>
      <charset val="204"/>
    </font>
    <font>
      <i/>
      <sz val="10"/>
      <color theme="1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b/>
      <sz val="12"/>
      <color rgb="FF0070C0"/>
      <name val="Arial"/>
      <family val="2"/>
      <charset val="204"/>
    </font>
    <font>
      <b/>
      <sz val="10"/>
      <color rgb="FF0070C0"/>
      <name val="Arial"/>
      <family val="2"/>
      <charset val="204"/>
    </font>
    <font>
      <b/>
      <i/>
      <sz val="10"/>
      <color rgb="FF00B050"/>
      <name val="Arial"/>
      <family val="2"/>
      <charset val="204"/>
    </font>
    <font>
      <b/>
      <i/>
      <sz val="10"/>
      <color rgb="FF0070C0"/>
      <name val="Arial"/>
      <family val="2"/>
      <charset val="204"/>
    </font>
    <font>
      <b/>
      <i/>
      <sz val="10"/>
      <color theme="1"/>
      <name val="Arial"/>
      <family val="2"/>
      <charset val="204"/>
    </font>
    <font>
      <b/>
      <i/>
      <sz val="10"/>
      <color rgb="FFFF0000"/>
      <name val="Arial"/>
      <family val="2"/>
      <charset val="204"/>
    </font>
    <font>
      <sz val="10"/>
      <color theme="0" tint="-0.499984740745262"/>
      <name val="Arial"/>
      <family val="2"/>
      <charset val="204"/>
    </font>
    <font>
      <sz val="10"/>
      <name val="Arial"/>
      <family val="2"/>
      <charset val="204"/>
    </font>
    <font>
      <i/>
      <sz val="9"/>
      <color theme="1" tint="0.249977111117893"/>
      <name val="Arial"/>
      <family val="2"/>
      <charset val="204"/>
    </font>
    <font>
      <b/>
      <sz val="10"/>
      <name val="Arial"/>
      <family val="2"/>
      <charset val="204"/>
    </font>
    <font>
      <sz val="10"/>
      <color rgb="FF00B050"/>
      <name val="Arial"/>
      <family val="2"/>
      <charset val="204"/>
    </font>
    <font>
      <i/>
      <sz val="10"/>
      <color theme="1" tint="0.249977111117893"/>
      <name val="Arial"/>
      <family val="2"/>
      <charset val="204"/>
    </font>
    <font>
      <i/>
      <sz val="9"/>
      <color theme="1" tint="0.34998626667073579"/>
      <name val="Arial"/>
      <family val="2"/>
      <charset val="204"/>
    </font>
    <font>
      <u/>
      <sz val="11"/>
      <color theme="10"/>
      <name val="Calibri"/>
      <family val="2"/>
      <scheme val="minor"/>
    </font>
    <font>
      <i/>
      <sz val="9"/>
      <color theme="0" tint="-0.499984740745262"/>
      <name val="Arial"/>
      <family val="2"/>
      <charset val="204"/>
    </font>
    <font>
      <i/>
      <sz val="10"/>
      <color rgb="FF0070C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9"/>
      <color theme="1" tint="0.249977111117893"/>
      <name val="Arial"/>
      <family val="2"/>
      <charset val="204"/>
    </font>
    <font>
      <i/>
      <sz val="9"/>
      <color rgb="FF007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lightUp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rgb="FF0070C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167" fontId="7" fillId="0" borderId="0" applyFont="0" applyFill="0" applyBorder="0" applyAlignment="0" applyProtection="0">
      <alignment vertical="center"/>
    </xf>
    <xf numFmtId="0" fontId="3" fillId="4" borderId="13" applyNumberFormat="0" applyFont="0" applyAlignment="0" applyProtection="0"/>
    <xf numFmtId="169" fontId="2" fillId="0" borderId="0" applyFont="0" applyFill="0" applyBorder="0" applyAlignment="0" applyProtection="0"/>
    <xf numFmtId="172" fontId="3" fillId="0" borderId="0"/>
    <xf numFmtId="0" fontId="23" fillId="0" borderId="0" applyNumberFormat="0" applyFill="0" applyBorder="0" applyAlignment="0" applyProtection="0"/>
  </cellStyleXfs>
  <cellXfs count="152">
    <xf numFmtId="0" fontId="0" fillId="0" borderId="0" xfId="0"/>
    <xf numFmtId="0" fontId="4" fillId="0" borderId="0" xfId="0" applyFont="1"/>
    <xf numFmtId="9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vertical="center"/>
    </xf>
    <xf numFmtId="165" fontId="6" fillId="2" borderId="2" xfId="0" applyNumberFormat="1" applyFont="1" applyFill="1" applyBorder="1" applyAlignment="1">
      <alignment vertical="center"/>
    </xf>
    <xf numFmtId="164" fontId="6" fillId="2" borderId="3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66" fontId="4" fillId="0" borderId="0" xfId="0" applyNumberFormat="1" applyFont="1" applyAlignment="1">
      <alignment vertical="center"/>
    </xf>
    <xf numFmtId="166" fontId="4" fillId="0" borderId="4" xfId="0" applyNumberFormat="1" applyFont="1" applyBorder="1" applyAlignment="1">
      <alignment vertical="center"/>
    </xf>
    <xf numFmtId="166" fontId="4" fillId="0" borderId="4" xfId="0" quotePrefix="1" applyNumberFormat="1" applyFont="1" applyBorder="1" applyAlignment="1">
      <alignment vertical="center"/>
    </xf>
    <xf numFmtId="0" fontId="4" fillId="3" borderId="0" xfId="0" applyFont="1" applyFill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10" fillId="0" borderId="0" xfId="0" applyFont="1"/>
    <xf numFmtId="0" fontId="4" fillId="0" borderId="9" xfId="0" applyFont="1" applyBorder="1"/>
    <xf numFmtId="0" fontId="9" fillId="0" borderId="0" xfId="0" applyFont="1"/>
    <xf numFmtId="0" fontId="5" fillId="0" borderId="0" xfId="0" applyFont="1" applyAlignment="1">
      <alignment horizontal="right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0" xfId="0" applyFont="1"/>
    <xf numFmtId="0" fontId="11" fillId="0" borderId="4" xfId="0" applyFont="1" applyBorder="1"/>
    <xf numFmtId="0" fontId="4" fillId="0" borderId="4" xfId="0" applyFont="1" applyBorder="1"/>
    <xf numFmtId="0" fontId="4" fillId="0" borderId="4" xfId="0" quotePrefix="1" applyFont="1" applyBorder="1"/>
    <xf numFmtId="0" fontId="8" fillId="0" borderId="0" xfId="0" applyFont="1"/>
    <xf numFmtId="0" fontId="16" fillId="0" borderId="11" xfId="0" applyFont="1" applyBorder="1"/>
    <xf numFmtId="0" fontId="4" fillId="0" borderId="0" xfId="0" quotePrefix="1" applyFont="1"/>
    <xf numFmtId="0" fontId="17" fillId="0" borderId="0" xfId="0" applyFont="1"/>
    <xf numFmtId="0" fontId="11" fillId="0" borderId="4" xfId="0" applyFont="1" applyBorder="1" applyAlignment="1">
      <alignment vertical="center"/>
    </xf>
    <xf numFmtId="167" fontId="7" fillId="0" borderId="0" xfId="3" applyFont="1" applyAlignment="1">
      <alignment vertical="center"/>
    </xf>
    <xf numFmtId="166" fontId="7" fillId="0" borderId="0" xfId="0" applyNumberFormat="1" applyFont="1" applyAlignment="1">
      <alignment vertical="center"/>
    </xf>
    <xf numFmtId="168" fontId="7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9" fontId="18" fillId="0" borderId="0" xfId="1" applyFont="1" applyAlignment="1">
      <alignment vertical="center"/>
    </xf>
    <xf numFmtId="0" fontId="4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166" fontId="5" fillId="0" borderId="14" xfId="0" applyNumberFormat="1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9" fontId="18" fillId="0" borderId="0" xfId="1" applyFont="1" applyAlignment="1">
      <alignment horizontal="right" vertical="center"/>
    </xf>
    <xf numFmtId="166" fontId="19" fillId="0" borderId="0" xfId="0" applyNumberFormat="1" applyFont="1" applyAlignment="1">
      <alignment vertical="center"/>
    </xf>
    <xf numFmtId="0" fontId="8" fillId="0" borderId="15" xfId="0" applyFont="1" applyBorder="1"/>
    <xf numFmtId="0" fontId="4" fillId="0" borderId="15" xfId="0" applyFont="1" applyBorder="1"/>
    <xf numFmtId="166" fontId="8" fillId="4" borderId="13" xfId="4" applyNumberFormat="1" applyFont="1"/>
    <xf numFmtId="166" fontId="4" fillId="5" borderId="0" xfId="0" applyNumberFormat="1" applyFont="1" applyFill="1" applyAlignment="1">
      <alignment vertical="center"/>
    </xf>
    <xf numFmtId="166" fontId="5" fillId="5" borderId="0" xfId="0" applyNumberFormat="1" applyFont="1" applyFill="1" applyAlignment="1">
      <alignment vertical="center"/>
    </xf>
    <xf numFmtId="166" fontId="17" fillId="0" borderId="0" xfId="0" applyNumberFormat="1" applyFont="1" applyAlignment="1">
      <alignment vertical="center"/>
    </xf>
    <xf numFmtId="166" fontId="17" fillId="0" borderId="0" xfId="0" applyNumberFormat="1" applyFont="1" applyAlignment="1">
      <alignment horizontal="center" vertical="center"/>
    </xf>
    <xf numFmtId="9" fontId="18" fillId="0" borderId="0" xfId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66" fontId="18" fillId="0" borderId="0" xfId="1" applyNumberFormat="1" applyFont="1" applyAlignment="1">
      <alignment vertical="center"/>
    </xf>
    <xf numFmtId="0" fontId="18" fillId="0" borderId="0" xfId="0" applyFont="1" applyAlignment="1">
      <alignment horizontal="right" vertical="center"/>
    </xf>
    <xf numFmtId="170" fontId="4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166" fontId="18" fillId="4" borderId="13" xfId="1" applyNumberFormat="1" applyFont="1" applyFill="1" applyBorder="1" applyAlignment="1">
      <alignment vertical="center"/>
    </xf>
    <xf numFmtId="9" fontId="18" fillId="4" borderId="13" xfId="1" applyFont="1" applyFill="1" applyBorder="1" applyAlignment="1">
      <alignment vertical="center"/>
    </xf>
    <xf numFmtId="9" fontId="18" fillId="0" borderId="0" xfId="1" applyFont="1" applyFill="1" applyBorder="1" applyAlignment="1">
      <alignment vertical="center"/>
    </xf>
    <xf numFmtId="0" fontId="5" fillId="0" borderId="14" xfId="0" applyFont="1" applyBorder="1" applyAlignment="1">
      <alignment horizontal="left" vertical="center"/>
    </xf>
    <xf numFmtId="9" fontId="21" fillId="4" borderId="13" xfId="1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166" fontId="5" fillId="0" borderId="0" xfId="0" applyNumberFormat="1" applyFont="1" applyAlignment="1">
      <alignment vertical="center"/>
    </xf>
    <xf numFmtId="9" fontId="7" fillId="0" borderId="0" xfId="0" applyNumberFormat="1" applyFont="1" applyAlignment="1">
      <alignment horizontal="center" vertical="center"/>
    </xf>
    <xf numFmtId="164" fontId="6" fillId="2" borderId="0" xfId="0" applyNumberFormat="1" applyFont="1" applyFill="1" applyAlignment="1">
      <alignment vertical="center"/>
    </xf>
    <xf numFmtId="9" fontId="20" fillId="0" borderId="0" xfId="1" applyFont="1" applyFill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0" fontId="23" fillId="0" borderId="0" xfId="7"/>
    <xf numFmtId="0" fontId="16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9" fontId="18" fillId="0" borderId="0" xfId="1" applyFont="1" applyFill="1" applyAlignment="1">
      <alignment vertical="center"/>
    </xf>
    <xf numFmtId="167" fontId="7" fillId="0" borderId="0" xfId="3" applyFont="1" applyFill="1" applyAlignment="1">
      <alignment vertical="center"/>
    </xf>
    <xf numFmtId="171" fontId="5" fillId="0" borderId="0" xfId="0" applyNumberFormat="1" applyFont="1" applyAlignment="1">
      <alignment vertical="center"/>
    </xf>
    <xf numFmtId="166" fontId="25" fillId="0" borderId="0" xfId="0" applyNumberFormat="1" applyFont="1" applyAlignment="1">
      <alignment vertical="center"/>
    </xf>
    <xf numFmtId="9" fontId="18" fillId="0" borderId="0" xfId="1" applyFont="1" applyFill="1" applyAlignment="1">
      <alignment horizontal="right" vertical="center"/>
    </xf>
    <xf numFmtId="0" fontId="5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7" fontId="18" fillId="0" borderId="0" xfId="3" applyFont="1" applyAlignment="1">
      <alignment vertical="center"/>
    </xf>
    <xf numFmtId="0" fontId="8" fillId="0" borderId="0" xfId="0" applyFont="1" applyAlignment="1">
      <alignment vertical="center"/>
    </xf>
    <xf numFmtId="9" fontId="25" fillId="0" borderId="0" xfId="0" applyNumberFormat="1" applyFont="1" applyAlignment="1">
      <alignment horizontal="center" vertical="center"/>
    </xf>
    <xf numFmtId="166" fontId="8" fillId="5" borderId="0" xfId="0" applyNumberFormat="1" applyFont="1" applyFill="1" applyAlignment="1">
      <alignment vertical="center"/>
    </xf>
    <xf numFmtId="166" fontId="8" fillId="0" borderId="0" xfId="0" applyNumberFormat="1" applyFont="1" applyAlignment="1">
      <alignment vertical="center"/>
    </xf>
    <xf numFmtId="171" fontId="7" fillId="0" borderId="0" xfId="0" applyNumberFormat="1" applyFont="1" applyAlignment="1">
      <alignment horizontal="center" vertical="center"/>
    </xf>
    <xf numFmtId="173" fontId="18" fillId="0" borderId="0" xfId="3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166" fontId="4" fillId="0" borderId="0" xfId="0" quotePrefix="1" applyNumberFormat="1" applyFont="1" applyAlignment="1">
      <alignment vertical="center"/>
    </xf>
    <xf numFmtId="164" fontId="6" fillId="2" borderId="0" xfId="0" applyNumberFormat="1" applyFont="1" applyFill="1" applyAlignment="1">
      <alignment horizontal="center" vertical="center"/>
    </xf>
    <xf numFmtId="0" fontId="26" fillId="0" borderId="0" xfId="0" applyFont="1"/>
    <xf numFmtId="0" fontId="27" fillId="0" borderId="0" xfId="0" applyFont="1" applyAlignment="1">
      <alignment horizontal="left" vertical="center"/>
    </xf>
    <xf numFmtId="9" fontId="27" fillId="0" borderId="0" xfId="1" applyFont="1" applyAlignment="1">
      <alignment horizontal="center" vertical="center"/>
    </xf>
    <xf numFmtId="0" fontId="27" fillId="0" borderId="0" xfId="0" applyFont="1" applyAlignment="1">
      <alignment horizontal="right" vertical="center"/>
    </xf>
    <xf numFmtId="166" fontId="18" fillId="0" borderId="0" xfId="0" applyNumberFormat="1" applyFont="1" applyAlignment="1">
      <alignment horizontal="right" vertical="center"/>
    </xf>
    <xf numFmtId="166" fontId="27" fillId="0" borderId="0" xfId="0" applyNumberFormat="1" applyFont="1" applyAlignment="1">
      <alignment horizontal="right" vertical="center"/>
    </xf>
    <xf numFmtId="1" fontId="18" fillId="0" borderId="0" xfId="1" applyNumberFormat="1" applyFont="1" applyAlignment="1">
      <alignment horizontal="right" vertical="center"/>
    </xf>
    <xf numFmtId="1" fontId="18" fillId="0" borderId="0" xfId="1" applyNumberFormat="1" applyFont="1" applyAlignment="1">
      <alignment vertical="center"/>
    </xf>
    <xf numFmtId="174" fontId="4" fillId="0" borderId="0" xfId="0" applyNumberFormat="1" applyFont="1" applyAlignment="1">
      <alignment vertical="center"/>
    </xf>
    <xf numFmtId="168" fontId="4" fillId="0" borderId="0" xfId="0" applyNumberFormat="1" applyFont="1" applyAlignment="1">
      <alignment vertical="center"/>
    </xf>
    <xf numFmtId="167" fontId="4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171" fontId="4" fillId="0" borderId="0" xfId="0" applyNumberFormat="1" applyFont="1" applyAlignment="1">
      <alignment vertical="center"/>
    </xf>
    <xf numFmtId="166" fontId="28" fillId="0" borderId="0" xfId="1" applyNumberFormat="1" applyFont="1" applyAlignment="1">
      <alignment vertical="center"/>
    </xf>
    <xf numFmtId="10" fontId="4" fillId="0" borderId="0" xfId="1" applyNumberFormat="1" applyFont="1" applyAlignment="1">
      <alignment vertical="center"/>
    </xf>
    <xf numFmtId="175" fontId="4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166" fontId="0" fillId="0" borderId="0" xfId="0" applyNumberFormat="1"/>
    <xf numFmtId="3" fontId="0" fillId="0" borderId="0" xfId="0" applyNumberFormat="1"/>
    <xf numFmtId="171" fontId="0" fillId="0" borderId="17" xfId="1" applyNumberFormat="1" applyFont="1" applyBorder="1"/>
    <xf numFmtId="10" fontId="0" fillId="0" borderId="18" xfId="0" applyNumberFormat="1" applyBorder="1"/>
    <xf numFmtId="3" fontId="30" fillId="2" borderId="0" xfId="0" applyNumberFormat="1" applyFont="1" applyFill="1"/>
    <xf numFmtId="9" fontId="4" fillId="0" borderId="0" xfId="0" applyNumberFormat="1" applyFont="1" applyAlignment="1">
      <alignment vertical="center"/>
    </xf>
    <xf numFmtId="3" fontId="0" fillId="6" borderId="0" xfId="0" applyNumberFormat="1" applyFill="1"/>
    <xf numFmtId="0" fontId="31" fillId="0" borderId="0" xfId="0" applyFont="1" applyAlignment="1">
      <alignment vertical="center"/>
    </xf>
    <xf numFmtId="166" fontId="31" fillId="0" borderId="0" xfId="0" applyNumberFormat="1" applyFont="1" applyAlignment="1">
      <alignment vertical="center"/>
    </xf>
    <xf numFmtId="10" fontId="0" fillId="0" borderId="18" xfId="1" applyNumberFormat="1" applyFont="1" applyBorder="1"/>
    <xf numFmtId="4" fontId="0" fillId="0" borderId="0" xfId="0" applyNumberFormat="1"/>
    <xf numFmtId="4" fontId="0" fillId="6" borderId="0" xfId="0" applyNumberFormat="1" applyFill="1"/>
    <xf numFmtId="4" fontId="30" fillId="2" borderId="0" xfId="0" applyNumberFormat="1" applyFont="1" applyFill="1"/>
    <xf numFmtId="0" fontId="31" fillId="7" borderId="0" xfId="0" applyFont="1" applyFill="1"/>
    <xf numFmtId="0" fontId="0" fillId="7" borderId="0" xfId="0" applyFill="1"/>
    <xf numFmtId="166" fontId="4" fillId="7" borderId="0" xfId="0" applyNumberFormat="1" applyFont="1" applyFill="1" applyAlignment="1">
      <alignment vertical="center"/>
    </xf>
    <xf numFmtId="0" fontId="4" fillId="7" borderId="0" xfId="0" applyFont="1" applyFill="1" applyAlignment="1">
      <alignment vertical="center"/>
    </xf>
    <xf numFmtId="168" fontId="0" fillId="0" borderId="0" xfId="0" applyNumberFormat="1"/>
    <xf numFmtId="166" fontId="1" fillId="7" borderId="0" xfId="0" applyNumberFormat="1" applyFont="1" applyFill="1" applyAlignment="1">
      <alignment vertical="center"/>
    </xf>
    <xf numFmtId="14" fontId="4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70" fontId="5" fillId="0" borderId="0" xfId="0" applyNumberFormat="1" applyFont="1" applyAlignment="1">
      <alignment vertical="center"/>
    </xf>
    <xf numFmtId="10" fontId="18" fillId="0" borderId="0" xfId="1" applyNumberFormat="1" applyFont="1" applyAlignment="1">
      <alignment vertical="center"/>
    </xf>
    <xf numFmtId="10" fontId="18" fillId="0" borderId="0" xfId="0" applyNumberFormat="1" applyFont="1" applyAlignment="1">
      <alignment vertical="center"/>
    </xf>
    <xf numFmtId="171" fontId="4" fillId="0" borderId="0" xfId="1" applyNumberFormat="1" applyFont="1" applyAlignment="1">
      <alignment vertical="center"/>
    </xf>
    <xf numFmtId="166" fontId="4" fillId="0" borderId="0" xfId="0" applyNumberFormat="1" applyFont="1" applyAlignment="1">
      <alignment horizontal="left" vertical="center" wrapText="1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center" vertical="center"/>
    </xf>
  </cellXfs>
  <cellStyles count="8">
    <cellStyle name="Comma 2 7" xfId="5" xr:uid="{00000000-0005-0000-0000-000000000000}"/>
    <cellStyle name="Hyperlink" xfId="7" builtinId="8"/>
    <cellStyle name="Normal" xfId="0" builtinId="0"/>
    <cellStyle name="Normal 13 2" xfId="6" xr:uid="{00000000-0005-0000-0000-000003000000}"/>
    <cellStyle name="Note" xfId="4" builtinId="10"/>
    <cellStyle name="Number" xfId="2" xr:uid="{00000000-0005-0000-0000-000005000000}"/>
    <cellStyle name="Per cent" xfId="1" builtinId="5"/>
    <cellStyle name="Percentage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http://FDA499E6C5C5746AC232F246248F4E07.dms.sberbank.ru/FDA499E6C5C5746AC232F246248F4E07-B688C27CDE306D1D3C801045A89F85B8-CB29E5D6CE6BBA237B302EEBFCEE0402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FDA499E6C5C5746AC232F246248F4E07.dms.sberbank.ru/FDA499E6C5C5746AC232F246248F4E07-B688C27CDE306D1D3C801045A89F85B8-CB29E5D6CE6BBA237B302EEBFCEE0402/1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FDA499E6C5C5746AC232F246248F4E07.dms.sberbank.ru/FDA499E6C5C5746AC232F246248F4E07-B688C27CDE306D1D3C801045A89F85B8-CB29E5D6CE6BBA237B302EEBFCEE0402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419100</xdr:colOff>
      <xdr:row>1</xdr:row>
      <xdr:rowOff>30479</xdr:rowOff>
    </xdr:from>
    <xdr:to>
      <xdr:col>16</xdr:col>
      <xdr:colOff>144780</xdr:colOff>
      <xdr:row>4</xdr:row>
      <xdr:rowOff>175260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709445-0F35-D1BD-D7A0-B01642B8BB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169" b="16241"/>
        <a:stretch/>
      </xdr:blipFill>
      <xdr:spPr>
        <a:xfrm>
          <a:off x="7216140" y="213359"/>
          <a:ext cx="1600200" cy="647701"/>
        </a:xfrm>
        <a:prstGeom prst="rect">
          <a:avLst/>
        </a:prstGeom>
      </xdr:spPr>
    </xdr:pic>
    <xdr:clientData/>
  </xdr:twoCellAnchor>
  <xdr:twoCellAnchor editAs="oneCell">
    <xdr:from>
      <xdr:col>15</xdr:col>
      <xdr:colOff>416718</xdr:colOff>
      <xdr:row>57</xdr:row>
      <xdr:rowOff>133350</xdr:rowOff>
    </xdr:from>
    <xdr:to>
      <xdr:col>16</xdr:col>
      <xdr:colOff>136150</xdr:colOff>
      <xdr:row>59</xdr:row>
      <xdr:rowOff>138532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843" y="8458200"/>
          <a:ext cx="329032" cy="329032"/>
        </a:xfrm>
        <a:prstGeom prst="rect">
          <a:avLst/>
        </a:prstGeom>
      </xdr:spPr>
    </xdr:pic>
    <xdr:clientData/>
  </xdr:twoCellAnchor>
  <xdr:twoCellAnchor editAs="oneCell">
    <xdr:from>
      <xdr:col>15</xdr:col>
      <xdr:colOff>120167</xdr:colOff>
      <xdr:row>57</xdr:row>
      <xdr:rowOff>133350</xdr:rowOff>
    </xdr:from>
    <xdr:to>
      <xdr:col>15</xdr:col>
      <xdr:colOff>359626</xdr:colOff>
      <xdr:row>59</xdr:row>
      <xdr:rowOff>138532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8292" y="8458200"/>
          <a:ext cx="239459" cy="3290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FDA499E6C5C5746AC232F246248F4E07.dms.sberbank.ru/FDA499E6C5C5746AC232F246248F4E07-B688C27CDE306D1D3C801045A89F85B8-CB29E5D6CE6BBA237B302EEBFCEE0402/1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Picture 4" descr="http://FDA499E6C5C5746AC232F246248F4E07.dms.sberbank.ru/FDA499E6C5C5746AC232F246248F4E07-B688C27CDE306D1D3C801045A89F85B8-CB29E5D6CE6BBA237B302EEBFCEE0402/1.png">
          <a:extLst>
            <a:ext uri="{FF2B5EF4-FFF2-40B4-BE49-F238E27FC236}">
              <a16:creationId xmlns:a16="http://schemas.microsoft.com/office/drawing/2014/main" id="{26195580-CB93-49C1-9D80-C9A816E87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" name="Picture 4" descr="http://FDA499E6C5C5746AC232F246248F4E07.dms.sberbank.ru/FDA499E6C5C5746AC232F246248F4E07-B688C27CDE306D1D3C801045A89F85B8-CB29E5D6CE6BBA237B302EEBFCEE0402/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lstelms@my.msu.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</sheetPr>
  <dimension ref="A1:R63"/>
  <sheetViews>
    <sheetView showGridLines="0" zoomScaleNormal="100" workbookViewId="0">
      <selection activeCell="E47" sqref="E47"/>
    </sheetView>
  </sheetViews>
  <sheetFormatPr defaultColWidth="0" defaultRowHeight="13.2" customHeight="1" zeroHeight="1" x14ac:dyDescent="0.25"/>
  <cols>
    <col min="1" max="3" width="2.6640625" style="1" customWidth="1"/>
    <col min="4" max="16" width="9.109375" style="1" customWidth="1"/>
    <col min="17" max="18" width="2.6640625" style="1" customWidth="1"/>
    <col min="19" max="16384" width="9.109375" style="1" hidden="1"/>
  </cols>
  <sheetData>
    <row r="1" spans="1:18" ht="14.4" x14ac:dyDescent="0.3">
      <c r="A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x14ac:dyDescent="0.25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  <c r="R2" s="18"/>
    </row>
    <row r="3" spans="1:18" x14ac:dyDescent="0.25">
      <c r="A3" s="18"/>
      <c r="B3" s="22"/>
      <c r="Q3" s="24"/>
      <c r="R3" s="18"/>
    </row>
    <row r="4" spans="1:18" x14ac:dyDescent="0.25">
      <c r="A4" s="18"/>
      <c r="B4" s="22"/>
      <c r="Q4" s="24"/>
      <c r="R4" s="18"/>
    </row>
    <row r="5" spans="1:18" ht="15.6" x14ac:dyDescent="0.3">
      <c r="A5" s="18"/>
      <c r="B5" s="22"/>
      <c r="C5" s="23" t="s">
        <v>5</v>
      </c>
      <c r="Q5" s="24"/>
      <c r="R5" s="18"/>
    </row>
    <row r="6" spans="1:18" x14ac:dyDescent="0.25">
      <c r="A6" s="18"/>
      <c r="B6" s="22"/>
      <c r="C6" s="25" t="s">
        <v>125</v>
      </c>
      <c r="Q6" s="24"/>
      <c r="R6" s="18"/>
    </row>
    <row r="7" spans="1:18" x14ac:dyDescent="0.25">
      <c r="A7" s="18"/>
      <c r="B7" s="22"/>
      <c r="Q7" s="24"/>
      <c r="R7" s="18"/>
    </row>
    <row r="8" spans="1:18" x14ac:dyDescent="0.25">
      <c r="A8" s="18"/>
      <c r="B8" s="22"/>
      <c r="C8" s="30" t="s">
        <v>7</v>
      </c>
      <c r="P8" s="26" t="s">
        <v>266</v>
      </c>
      <c r="Q8" s="24"/>
      <c r="R8" s="18"/>
    </row>
    <row r="9" spans="1:18" x14ac:dyDescent="0.25">
      <c r="A9" s="18"/>
      <c r="B9" s="22"/>
      <c r="P9" s="26" t="s">
        <v>4</v>
      </c>
      <c r="Q9" s="24"/>
      <c r="R9" s="18"/>
    </row>
    <row r="10" spans="1:18" x14ac:dyDescent="0.25">
      <c r="A10" s="18"/>
      <c r="B10" s="22"/>
      <c r="C10" s="1" t="s">
        <v>126</v>
      </c>
      <c r="Q10" s="24"/>
      <c r="R10" s="18"/>
    </row>
    <row r="11" spans="1:18" x14ac:dyDescent="0.25">
      <c r="A11" s="18"/>
      <c r="B11" s="22"/>
      <c r="Q11" s="24"/>
      <c r="R11" s="18"/>
    </row>
    <row r="12" spans="1:18" x14ac:dyDescent="0.25">
      <c r="A12" s="18"/>
      <c r="B12" s="22"/>
      <c r="C12" s="31" t="s">
        <v>8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3" t="s">
        <v>3</v>
      </c>
      <c r="Q12" s="24"/>
      <c r="R12" s="18"/>
    </row>
    <row r="13" spans="1:18" x14ac:dyDescent="0.25">
      <c r="A13" s="18"/>
      <c r="B13" s="22"/>
      <c r="C13" s="1" t="s">
        <v>9</v>
      </c>
      <c r="Q13" s="24"/>
      <c r="R13" s="18"/>
    </row>
    <row r="14" spans="1:18" x14ac:dyDescent="0.25">
      <c r="A14" s="18"/>
      <c r="B14" s="22"/>
      <c r="C14" s="106" t="s">
        <v>263</v>
      </c>
      <c r="Q14" s="24"/>
      <c r="R14" s="18"/>
    </row>
    <row r="15" spans="1:18" x14ac:dyDescent="0.25">
      <c r="A15" s="18"/>
      <c r="B15" s="22"/>
      <c r="C15" s="1" t="s">
        <v>10</v>
      </c>
      <c r="Q15" s="24"/>
      <c r="R15" s="18"/>
    </row>
    <row r="16" spans="1:18" x14ac:dyDescent="0.25">
      <c r="A16" s="18"/>
      <c r="B16" s="22"/>
      <c r="D16" s="1" t="s">
        <v>173</v>
      </c>
      <c r="Q16" s="24"/>
      <c r="R16" s="18"/>
    </row>
    <row r="17" spans="1:18" x14ac:dyDescent="0.25">
      <c r="A17" s="18"/>
      <c r="B17" s="22"/>
      <c r="D17" s="1" t="s">
        <v>11</v>
      </c>
      <c r="Q17" s="24"/>
      <c r="R17" s="18"/>
    </row>
    <row r="18" spans="1:18" x14ac:dyDescent="0.25">
      <c r="A18" s="18"/>
      <c r="B18" s="22"/>
      <c r="D18" s="1" t="s">
        <v>12</v>
      </c>
      <c r="Q18" s="24"/>
      <c r="R18" s="18"/>
    </row>
    <row r="19" spans="1:18" x14ac:dyDescent="0.25">
      <c r="A19" s="18"/>
      <c r="B19" s="22"/>
      <c r="Q19" s="24"/>
      <c r="R19" s="18"/>
    </row>
    <row r="20" spans="1:18" x14ac:dyDescent="0.25">
      <c r="A20" s="18"/>
      <c r="B20" s="22"/>
      <c r="C20" s="31" t="s">
        <v>14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3" t="s">
        <v>3</v>
      </c>
      <c r="Q20" s="24"/>
      <c r="R20" s="18"/>
    </row>
    <row r="21" spans="1:18" x14ac:dyDescent="0.25">
      <c r="A21" s="18"/>
      <c r="B21" s="22"/>
      <c r="C21" s="37" t="s">
        <v>18</v>
      </c>
      <c r="P21" s="36"/>
      <c r="Q21" s="24"/>
      <c r="R21" s="18"/>
    </row>
    <row r="22" spans="1:18" x14ac:dyDescent="0.25">
      <c r="A22" s="18"/>
      <c r="B22" s="22"/>
      <c r="C22" s="37"/>
      <c r="D22" s="1" t="s">
        <v>170</v>
      </c>
      <c r="P22" s="36"/>
      <c r="Q22" s="24"/>
      <c r="R22" s="18"/>
    </row>
    <row r="23" spans="1:18" x14ac:dyDescent="0.25">
      <c r="A23" s="18"/>
      <c r="B23" s="22"/>
      <c r="C23" s="37"/>
      <c r="D23" s="1" t="s">
        <v>171</v>
      </c>
      <c r="P23" s="36"/>
      <c r="Q23" s="24"/>
      <c r="R23" s="18"/>
    </row>
    <row r="24" spans="1:18" x14ac:dyDescent="0.25">
      <c r="A24" s="18"/>
      <c r="B24" s="22"/>
      <c r="D24" s="1" t="s">
        <v>157</v>
      </c>
      <c r="Q24" s="24"/>
      <c r="R24" s="18"/>
    </row>
    <row r="25" spans="1:18" x14ac:dyDescent="0.25">
      <c r="A25" s="18"/>
      <c r="B25" s="22"/>
      <c r="C25" s="1" t="s">
        <v>19</v>
      </c>
      <c r="Q25" s="24"/>
      <c r="R25" s="18"/>
    </row>
    <row r="26" spans="1:18" x14ac:dyDescent="0.25">
      <c r="A26" s="18"/>
      <c r="B26" s="22"/>
      <c r="D26" s="1" t="s">
        <v>159</v>
      </c>
      <c r="Q26" s="24"/>
      <c r="R26" s="18"/>
    </row>
    <row r="27" spans="1:18" x14ac:dyDescent="0.25">
      <c r="A27" s="18"/>
      <c r="B27" s="22"/>
      <c r="D27" s="1" t="s">
        <v>127</v>
      </c>
      <c r="Q27" s="24"/>
      <c r="R27" s="18"/>
    </row>
    <row r="28" spans="1:18" x14ac:dyDescent="0.25">
      <c r="A28" s="18"/>
      <c r="B28" s="22"/>
      <c r="D28" s="1" t="s">
        <v>158</v>
      </c>
      <c r="Q28" s="24"/>
      <c r="R28" s="18"/>
    </row>
    <row r="29" spans="1:18" x14ac:dyDescent="0.25">
      <c r="A29" s="18"/>
      <c r="B29" s="22"/>
      <c r="C29" s="1" t="s">
        <v>160</v>
      </c>
      <c r="Q29" s="24"/>
      <c r="R29" s="18"/>
    </row>
    <row r="30" spans="1:18" x14ac:dyDescent="0.25">
      <c r="A30" s="18"/>
      <c r="B30" s="22"/>
      <c r="D30" s="1" t="s">
        <v>161</v>
      </c>
      <c r="Q30" s="24"/>
      <c r="R30" s="18"/>
    </row>
    <row r="31" spans="1:18" x14ac:dyDescent="0.25">
      <c r="A31" s="18"/>
      <c r="B31" s="22"/>
      <c r="C31" s="1" t="s">
        <v>162</v>
      </c>
      <c r="Q31" s="24"/>
      <c r="R31" s="18"/>
    </row>
    <row r="32" spans="1:18" x14ac:dyDescent="0.25">
      <c r="A32" s="18"/>
      <c r="B32" s="22"/>
      <c r="D32" s="1" t="s">
        <v>128</v>
      </c>
      <c r="Q32" s="24"/>
      <c r="R32" s="18"/>
    </row>
    <row r="33" spans="1:18" x14ac:dyDescent="0.25">
      <c r="A33" s="18"/>
      <c r="B33" s="22"/>
      <c r="D33" s="1" t="s">
        <v>163</v>
      </c>
      <c r="Q33" s="24"/>
      <c r="R33" s="18"/>
    </row>
    <row r="34" spans="1:18" x14ac:dyDescent="0.25">
      <c r="A34" s="18"/>
      <c r="B34" s="22"/>
      <c r="C34" s="1" t="s">
        <v>164</v>
      </c>
      <c r="Q34" s="24"/>
      <c r="R34" s="18"/>
    </row>
    <row r="35" spans="1:18" x14ac:dyDescent="0.25">
      <c r="A35" s="18"/>
      <c r="B35" s="22"/>
      <c r="D35" s="1" t="s">
        <v>165</v>
      </c>
      <c r="Q35" s="24"/>
      <c r="R35" s="18"/>
    </row>
    <row r="36" spans="1:18" x14ac:dyDescent="0.25">
      <c r="A36" s="18"/>
      <c r="B36" s="22"/>
      <c r="C36" s="1" t="s">
        <v>166</v>
      </c>
      <c r="Q36" s="24"/>
      <c r="R36" s="18"/>
    </row>
    <row r="37" spans="1:18" x14ac:dyDescent="0.25">
      <c r="A37" s="18"/>
      <c r="B37" s="22"/>
      <c r="D37" s="1" t="s">
        <v>167</v>
      </c>
      <c r="Q37" s="24"/>
      <c r="R37" s="18"/>
    </row>
    <row r="38" spans="1:18" x14ac:dyDescent="0.25">
      <c r="A38" s="18"/>
      <c r="B38" s="22"/>
      <c r="D38" s="34" t="s">
        <v>20</v>
      </c>
      <c r="Q38" s="24"/>
      <c r="R38" s="18"/>
    </row>
    <row r="39" spans="1:18" x14ac:dyDescent="0.25">
      <c r="A39" s="18"/>
      <c r="B39" s="22"/>
      <c r="D39" s="34" t="s">
        <v>21</v>
      </c>
      <c r="Q39" s="24"/>
      <c r="R39" s="18"/>
    </row>
    <row r="40" spans="1:18" x14ac:dyDescent="0.25">
      <c r="A40" s="18"/>
      <c r="B40" s="22"/>
      <c r="D40" s="34" t="s">
        <v>22</v>
      </c>
      <c r="Q40" s="24"/>
      <c r="R40" s="18"/>
    </row>
    <row r="41" spans="1:18" x14ac:dyDescent="0.25">
      <c r="A41" s="18"/>
      <c r="B41" s="22"/>
      <c r="D41" s="54" t="s">
        <v>66</v>
      </c>
      <c r="E41" s="55"/>
      <c r="F41" s="55"/>
      <c r="G41" s="55"/>
      <c r="H41" s="55"/>
      <c r="I41" s="55"/>
      <c r="Q41" s="24"/>
      <c r="R41" s="18"/>
    </row>
    <row r="42" spans="1:18" x14ac:dyDescent="0.25">
      <c r="A42" s="18"/>
      <c r="B42" s="22"/>
      <c r="D42" s="56" t="s">
        <v>69</v>
      </c>
      <c r="E42" s="56"/>
      <c r="Q42" s="24"/>
      <c r="R42" s="18"/>
    </row>
    <row r="43" spans="1:18" x14ac:dyDescent="0.25">
      <c r="A43" s="18"/>
      <c r="B43" s="22"/>
      <c r="D43" s="34" t="s">
        <v>68</v>
      </c>
      <c r="Q43" s="24"/>
      <c r="R43" s="18"/>
    </row>
    <row r="44" spans="1:18" x14ac:dyDescent="0.25">
      <c r="A44" s="18"/>
      <c r="B44" s="22"/>
      <c r="C44" s="1" t="s">
        <v>23</v>
      </c>
      <c r="D44" s="34"/>
      <c r="Q44" s="24"/>
      <c r="R44" s="18"/>
    </row>
    <row r="45" spans="1:18" x14ac:dyDescent="0.25">
      <c r="A45" s="18"/>
      <c r="B45" s="22"/>
      <c r="D45" s="1" t="s">
        <v>168</v>
      </c>
      <c r="Q45" s="24"/>
      <c r="R45" s="18"/>
    </row>
    <row r="46" spans="1:18" x14ac:dyDescent="0.25">
      <c r="A46" s="18"/>
      <c r="B46" s="22"/>
      <c r="D46" s="1" t="s">
        <v>169</v>
      </c>
      <c r="Q46" s="24"/>
      <c r="R46" s="18"/>
    </row>
    <row r="47" spans="1:18" x14ac:dyDescent="0.25">
      <c r="A47" s="18"/>
      <c r="B47" s="22"/>
      <c r="C47" s="37" t="s">
        <v>129</v>
      </c>
      <c r="Q47" s="24"/>
      <c r="R47" s="18"/>
    </row>
    <row r="48" spans="1:18" ht="14.4" x14ac:dyDescent="0.3">
      <c r="A48" s="18"/>
      <c r="B48" s="22"/>
      <c r="C48" s="37"/>
      <c r="D48" s="84" t="s">
        <v>265</v>
      </c>
      <c r="Q48" s="24"/>
      <c r="R48" s="18"/>
    </row>
    <row r="49" spans="1:18" x14ac:dyDescent="0.25">
      <c r="A49" s="18"/>
      <c r="B49" s="22"/>
      <c r="Q49" s="24"/>
      <c r="R49" s="18"/>
    </row>
    <row r="50" spans="1:18" x14ac:dyDescent="0.25">
      <c r="A50" s="18"/>
      <c r="B50" s="22"/>
      <c r="C50" s="31" t="s">
        <v>13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3" t="s">
        <v>3</v>
      </c>
      <c r="Q50" s="24"/>
      <c r="R50" s="18"/>
    </row>
    <row r="51" spans="1:18" x14ac:dyDescent="0.25">
      <c r="A51" s="18"/>
      <c r="B51" s="22"/>
      <c r="D51" s="1" t="s">
        <v>264</v>
      </c>
      <c r="P51" s="36"/>
      <c r="Q51" s="24"/>
      <c r="R51" s="18"/>
    </row>
    <row r="52" spans="1:18" ht="14.4" x14ac:dyDescent="0.3">
      <c r="A52" s="18"/>
      <c r="B52" s="22"/>
      <c r="D52" s="84"/>
      <c r="P52" s="36"/>
      <c r="Q52" s="24"/>
      <c r="R52" s="18"/>
    </row>
    <row r="53" spans="1:18" x14ac:dyDescent="0.25">
      <c r="A53" s="18"/>
      <c r="B53" s="22"/>
      <c r="Q53" s="24"/>
      <c r="R53" s="18"/>
    </row>
    <row r="54" spans="1:18" x14ac:dyDescent="0.25">
      <c r="A54" s="18"/>
      <c r="B54" s="22"/>
      <c r="Q54" s="24"/>
      <c r="R54" s="18"/>
    </row>
    <row r="55" spans="1:18" x14ac:dyDescent="0.25">
      <c r="A55" s="18"/>
      <c r="B55" s="22"/>
      <c r="C55" s="1" t="s">
        <v>15</v>
      </c>
      <c r="Q55" s="24"/>
      <c r="R55" s="18"/>
    </row>
    <row r="56" spans="1:18" x14ac:dyDescent="0.25">
      <c r="A56" s="18"/>
      <c r="B56" s="22"/>
      <c r="Q56" s="24"/>
      <c r="R56" s="18"/>
    </row>
    <row r="57" spans="1:18" x14ac:dyDescent="0.25">
      <c r="A57" s="18"/>
      <c r="B57" s="22"/>
      <c r="C57" s="1" t="s">
        <v>16</v>
      </c>
      <c r="Q57" s="24"/>
      <c r="R57" s="18"/>
    </row>
    <row r="58" spans="1:18" x14ac:dyDescent="0.25">
      <c r="A58" s="18"/>
      <c r="B58" s="22"/>
      <c r="C58" s="1" t="s">
        <v>17</v>
      </c>
      <c r="Q58" s="24"/>
      <c r="R58" s="18"/>
    </row>
    <row r="59" spans="1:18" x14ac:dyDescent="0.25">
      <c r="A59" s="18"/>
      <c r="B59" s="22"/>
      <c r="Q59" s="24"/>
      <c r="R59" s="18"/>
    </row>
    <row r="60" spans="1:18" x14ac:dyDescent="0.25">
      <c r="A60" s="18"/>
      <c r="B60" s="27"/>
      <c r="C60" s="28"/>
      <c r="D60" s="28"/>
      <c r="E60" s="28"/>
      <c r="F60" s="28"/>
      <c r="G60" s="28"/>
      <c r="H60" s="28"/>
      <c r="I60" s="28"/>
      <c r="J60" s="35"/>
      <c r="K60" s="35" t="s">
        <v>6</v>
      </c>
      <c r="L60" s="35"/>
      <c r="M60" s="35"/>
      <c r="N60" s="28"/>
      <c r="O60" s="28"/>
      <c r="P60" s="28"/>
      <c r="Q60" s="29"/>
      <c r="R60" s="18"/>
    </row>
    <row r="61" spans="1:18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 hidden="1" x14ac:dyDescent="0.25"/>
    <row r="63" spans="1:18" hidden="1" x14ac:dyDescent="0.25"/>
  </sheetData>
  <hyperlinks>
    <hyperlink ref="D48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2009-8224-4036-A58D-2D18344136A6}">
  <sheetPr>
    <tabColor theme="4" tint="0.39997558519241921"/>
  </sheetPr>
  <dimension ref="A1:W325"/>
  <sheetViews>
    <sheetView showGridLines="0" tabSelected="1" zoomScale="95" zoomScaleNormal="100" workbookViewId="0">
      <pane xSplit="7" ySplit="5" topLeftCell="H6" activePane="bottomRight" state="frozen"/>
      <selection pane="topRight"/>
      <selection pane="bottomLeft"/>
      <selection pane="bottomRight" activeCell="U5" sqref="U5"/>
    </sheetView>
  </sheetViews>
  <sheetFormatPr defaultColWidth="0" defaultRowHeight="13.2" customHeight="1" zeroHeight="1" x14ac:dyDescent="0.3"/>
  <cols>
    <col min="1" max="4" width="2.6640625" style="3" customWidth="1"/>
    <col min="5" max="5" width="40.6640625" style="3" customWidth="1"/>
    <col min="6" max="6" width="9.109375" style="4" customWidth="1"/>
    <col min="7" max="7" width="10.6640625" style="4" customWidth="1"/>
    <col min="8" max="20" width="9.109375" style="3" customWidth="1"/>
    <col min="21" max="21" width="111.44140625" style="3" bestFit="1" customWidth="1"/>
    <col min="22" max="22" width="9.109375" style="3" customWidth="1"/>
    <col min="23" max="26" width="9.109375" style="3" hidden="1" customWidth="1"/>
    <col min="27" max="16384" width="9.109375" style="3" hidden="1"/>
  </cols>
  <sheetData>
    <row r="1" spans="1:22" x14ac:dyDescent="0.3">
      <c r="A1" s="2"/>
    </row>
    <row r="2" spans="1:22" ht="15.6" x14ac:dyDescent="0.3">
      <c r="A2" s="12" t="s">
        <v>130</v>
      </c>
    </row>
    <row r="3" spans="1:22" x14ac:dyDescent="0.3">
      <c r="A3" s="11" t="s">
        <v>143</v>
      </c>
    </row>
    <row r="4" spans="1:22" x14ac:dyDescent="0.3"/>
    <row r="5" spans="1:22" ht="15" customHeight="1" x14ac:dyDescent="0.3">
      <c r="B5" s="5"/>
      <c r="C5" s="5"/>
      <c r="D5" s="5"/>
      <c r="E5" s="5"/>
      <c r="F5" s="6" t="s">
        <v>1</v>
      </c>
      <c r="G5" s="7" t="s">
        <v>2</v>
      </c>
      <c r="H5" s="9">
        <v>2020</v>
      </c>
      <c r="I5" s="9">
        <f>H5 + 1</f>
        <v>2021</v>
      </c>
      <c r="J5" s="9">
        <f t="shared" ref="J5:S5" si="0">I5 + 1</f>
        <v>2022</v>
      </c>
      <c r="K5" s="8">
        <f t="shared" si="0"/>
        <v>2023</v>
      </c>
      <c r="L5" s="8">
        <f t="shared" si="0"/>
        <v>2024</v>
      </c>
      <c r="M5" s="8">
        <f t="shared" si="0"/>
        <v>2025</v>
      </c>
      <c r="N5" s="8">
        <f t="shared" si="0"/>
        <v>2026</v>
      </c>
      <c r="O5" s="8">
        <f t="shared" si="0"/>
        <v>2027</v>
      </c>
      <c r="P5" s="8">
        <f t="shared" si="0"/>
        <v>2028</v>
      </c>
      <c r="Q5" s="8">
        <f t="shared" si="0"/>
        <v>2029</v>
      </c>
      <c r="R5" s="8">
        <f t="shared" si="0"/>
        <v>2030</v>
      </c>
      <c r="S5" s="10">
        <f t="shared" si="0"/>
        <v>2031</v>
      </c>
      <c r="U5" s="10" t="s">
        <v>150</v>
      </c>
      <c r="V5" s="81"/>
    </row>
    <row r="6" spans="1:22" x14ac:dyDescent="0.3"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22" x14ac:dyDescent="0.3">
      <c r="B7" s="38" t="s">
        <v>142</v>
      </c>
      <c r="C7" s="13"/>
      <c r="D7" s="13"/>
      <c r="E7" s="13"/>
      <c r="F7" s="14"/>
      <c r="G7" s="14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 t="s">
        <v>3</v>
      </c>
    </row>
    <row r="8" spans="1:22" ht="5.0999999999999996" customHeight="1" x14ac:dyDescent="0.3"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22" x14ac:dyDescent="0.3">
      <c r="C9" s="42" t="s">
        <v>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22" x14ac:dyDescent="0.3">
      <c r="D10" s="68" t="s">
        <v>71</v>
      </c>
      <c r="G10" s="60" t="s">
        <v>72</v>
      </c>
      <c r="H10" s="59">
        <f>H13 + H16</f>
        <v>4167</v>
      </c>
      <c r="I10" s="59">
        <f>I13 + I16</f>
        <v>4904</v>
      </c>
      <c r="J10" s="59">
        <f>J13 + J16</f>
        <v>5663</v>
      </c>
      <c r="K10" s="59">
        <f>K13 + K16</f>
        <v>6186</v>
      </c>
      <c r="L10" s="59">
        <f>L13+L16</f>
        <v>6636</v>
      </c>
      <c r="M10" s="59">
        <f t="shared" ref="M10:S10" si="1">M13+M16</f>
        <v>7036</v>
      </c>
      <c r="N10" s="59">
        <f t="shared" si="1"/>
        <v>7386</v>
      </c>
      <c r="O10" s="59">
        <f t="shared" si="1"/>
        <v>7686</v>
      </c>
      <c r="P10" s="59">
        <f t="shared" si="1"/>
        <v>7936</v>
      </c>
      <c r="Q10" s="59">
        <f t="shared" si="1"/>
        <v>8136</v>
      </c>
      <c r="R10" s="59">
        <f t="shared" si="1"/>
        <v>8286</v>
      </c>
      <c r="S10" s="59">
        <f t="shared" si="1"/>
        <v>8386</v>
      </c>
      <c r="U10" s="44"/>
    </row>
    <row r="11" spans="1:22" x14ac:dyDescent="0.3">
      <c r="D11" s="69" t="s">
        <v>73</v>
      </c>
      <c r="G11" s="61" t="s">
        <v>72</v>
      </c>
      <c r="H11" s="47"/>
      <c r="I11" s="64">
        <f>I10 - H10</f>
        <v>737</v>
      </c>
      <c r="J11" s="64">
        <f>J10 - I10</f>
        <v>759</v>
      </c>
      <c r="K11" s="64">
        <f>K10 - J10</f>
        <v>523</v>
      </c>
      <c r="L11" s="64">
        <f>L10-K10</f>
        <v>450</v>
      </c>
      <c r="M11" s="64">
        <f t="shared" ref="M11:S11" si="2">M10-L10</f>
        <v>400</v>
      </c>
      <c r="N11" s="64">
        <f t="shared" si="2"/>
        <v>350</v>
      </c>
      <c r="O11" s="64">
        <f t="shared" si="2"/>
        <v>300</v>
      </c>
      <c r="P11" s="64">
        <f t="shared" si="2"/>
        <v>250</v>
      </c>
      <c r="Q11" s="64">
        <f t="shared" si="2"/>
        <v>200</v>
      </c>
      <c r="R11" s="64">
        <f t="shared" si="2"/>
        <v>150</v>
      </c>
      <c r="S11" s="64">
        <f t="shared" si="2"/>
        <v>100</v>
      </c>
    </row>
    <row r="12" spans="1:22" x14ac:dyDescent="0.3">
      <c r="D12" s="4"/>
      <c r="G12" s="62"/>
      <c r="H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U12" s="44"/>
    </row>
    <row r="13" spans="1:22" x14ac:dyDescent="0.3">
      <c r="D13" s="68" t="s">
        <v>174</v>
      </c>
      <c r="G13" s="62" t="s">
        <v>72</v>
      </c>
      <c r="H13" s="40">
        <v>3742</v>
      </c>
      <c r="I13" s="40">
        <v>4368</v>
      </c>
      <c r="J13" s="40">
        <v>5039</v>
      </c>
      <c r="K13" s="40">
        <v>5500</v>
      </c>
      <c r="L13" s="15">
        <f>K13+L14</f>
        <v>5950</v>
      </c>
      <c r="M13" s="15">
        <f t="shared" ref="M13:S13" si="3">L13+M14</f>
        <v>6350</v>
      </c>
      <c r="N13" s="15">
        <f t="shared" si="3"/>
        <v>6700</v>
      </c>
      <c r="O13" s="15">
        <f t="shared" si="3"/>
        <v>7000</v>
      </c>
      <c r="P13" s="15">
        <f t="shared" si="3"/>
        <v>7250</v>
      </c>
      <c r="Q13" s="15">
        <f t="shared" si="3"/>
        <v>7450</v>
      </c>
      <c r="R13" s="15">
        <f t="shared" si="3"/>
        <v>7600</v>
      </c>
      <c r="S13" s="15">
        <f t="shared" si="3"/>
        <v>7700</v>
      </c>
      <c r="U13" s="44"/>
    </row>
    <row r="14" spans="1:22" x14ac:dyDescent="0.3">
      <c r="D14" s="69" t="s">
        <v>73</v>
      </c>
      <c r="F14" s="3"/>
      <c r="G14" s="61" t="s">
        <v>72</v>
      </c>
      <c r="H14" s="15"/>
      <c r="I14" s="64">
        <f>I13 - H13</f>
        <v>626</v>
      </c>
      <c r="J14" s="64">
        <f>J13 - I13</f>
        <v>671</v>
      </c>
      <c r="K14" s="64">
        <f>K13 - J13</f>
        <v>461</v>
      </c>
      <c r="L14" s="70">
        <v>450</v>
      </c>
      <c r="M14" s="70">
        <v>400</v>
      </c>
      <c r="N14" s="70">
        <v>350</v>
      </c>
      <c r="O14" s="70">
        <v>300</v>
      </c>
      <c r="P14" s="70">
        <v>250</v>
      </c>
      <c r="Q14" s="70">
        <v>200</v>
      </c>
      <c r="R14" s="70">
        <v>150</v>
      </c>
      <c r="S14" s="70">
        <v>100</v>
      </c>
      <c r="U14" s="44" t="s">
        <v>177</v>
      </c>
    </row>
    <row r="15" spans="1:22" x14ac:dyDescent="0.3">
      <c r="D15" s="4"/>
      <c r="G15" s="62"/>
      <c r="H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22" x14ac:dyDescent="0.3">
      <c r="D16" s="68" t="s">
        <v>175</v>
      </c>
      <c r="G16" s="62" t="s">
        <v>72</v>
      </c>
      <c r="H16" s="40">
        <v>425</v>
      </c>
      <c r="I16" s="63">
        <v>536</v>
      </c>
      <c r="J16" s="40">
        <v>624</v>
      </c>
      <c r="K16" s="40">
        <v>686</v>
      </c>
      <c r="L16" s="15">
        <f>K16</f>
        <v>686</v>
      </c>
      <c r="M16" s="15">
        <f t="shared" ref="M16:S16" si="4">L16</f>
        <v>686</v>
      </c>
      <c r="N16" s="15">
        <f t="shared" si="4"/>
        <v>686</v>
      </c>
      <c r="O16" s="15">
        <f t="shared" si="4"/>
        <v>686</v>
      </c>
      <c r="P16" s="15">
        <f t="shared" si="4"/>
        <v>686</v>
      </c>
      <c r="Q16" s="15">
        <f t="shared" si="4"/>
        <v>686</v>
      </c>
      <c r="R16" s="15">
        <f t="shared" si="4"/>
        <v>686</v>
      </c>
      <c r="S16" s="15">
        <f t="shared" si="4"/>
        <v>686</v>
      </c>
    </row>
    <row r="17" spans="3:21" x14ac:dyDescent="0.3">
      <c r="D17" s="69" t="s">
        <v>73</v>
      </c>
      <c r="F17" s="3"/>
      <c r="G17" s="61" t="s">
        <v>72</v>
      </c>
      <c r="H17" s="15"/>
      <c r="I17" s="64">
        <f>I16 - H16</f>
        <v>111</v>
      </c>
      <c r="J17" s="64">
        <f>J16 - I16</f>
        <v>88</v>
      </c>
      <c r="K17" s="64">
        <f>K16 - J16</f>
        <v>62</v>
      </c>
      <c r="L17" s="119">
        <f>L16-K16</f>
        <v>0</v>
      </c>
      <c r="M17" s="119">
        <f t="shared" ref="M17:S17" si="5">M16-L16</f>
        <v>0</v>
      </c>
      <c r="N17" s="119">
        <f t="shared" si="5"/>
        <v>0</v>
      </c>
      <c r="O17" s="119">
        <f t="shared" si="5"/>
        <v>0</v>
      </c>
      <c r="P17" s="119">
        <f t="shared" si="5"/>
        <v>0</v>
      </c>
      <c r="Q17" s="119">
        <f t="shared" si="5"/>
        <v>0</v>
      </c>
      <c r="R17" s="119">
        <f t="shared" si="5"/>
        <v>0</v>
      </c>
      <c r="S17" s="119">
        <f t="shared" si="5"/>
        <v>0</v>
      </c>
      <c r="U17" s="44" t="s">
        <v>176</v>
      </c>
    </row>
    <row r="18" spans="3:21" x14ac:dyDescent="0.3">
      <c r="D18" s="69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3:21" x14ac:dyDescent="0.3">
      <c r="C19" s="42" t="s">
        <v>76</v>
      </c>
      <c r="G19" s="6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3:21" x14ac:dyDescent="0.3">
      <c r="D20" s="68" t="s">
        <v>174</v>
      </c>
      <c r="G20" s="62" t="s">
        <v>75</v>
      </c>
      <c r="H20" s="40">
        <v>797.35199999999998</v>
      </c>
      <c r="I20" s="40">
        <v>938.39171999999996</v>
      </c>
      <c r="J20" s="40">
        <v>1087.0468800000001</v>
      </c>
      <c r="K20" s="40">
        <v>1190</v>
      </c>
      <c r="L20" s="15">
        <f>L24*L13/1000</f>
        <v>1287.3636363636365</v>
      </c>
      <c r="M20" s="15">
        <f t="shared" ref="M20:S20" si="6">M24*M13/1000</f>
        <v>1373.909090909091</v>
      </c>
      <c r="N20" s="15">
        <f t="shared" si="6"/>
        <v>1449.6363636363637</v>
      </c>
      <c r="O20" s="15">
        <f t="shared" si="6"/>
        <v>1514.5454545454545</v>
      </c>
      <c r="P20" s="15">
        <f t="shared" si="6"/>
        <v>1568.6363636363637</v>
      </c>
      <c r="Q20" s="15">
        <f t="shared" si="6"/>
        <v>1611.909090909091</v>
      </c>
      <c r="R20" s="15">
        <f t="shared" si="6"/>
        <v>1644.3636363636365</v>
      </c>
      <c r="S20" s="15">
        <f t="shared" si="6"/>
        <v>1666</v>
      </c>
    </row>
    <row r="21" spans="3:21" x14ac:dyDescent="0.3">
      <c r="D21" s="68" t="s">
        <v>175</v>
      </c>
      <c r="G21" s="62" t="s">
        <v>75</v>
      </c>
      <c r="H21" s="40">
        <v>92.174099999999996</v>
      </c>
      <c r="I21" s="40">
        <v>118.44799999999999</v>
      </c>
      <c r="J21" s="40">
        <v>138.31309999999999</v>
      </c>
      <c r="K21" s="40">
        <v>152.13399999999999</v>
      </c>
      <c r="L21" s="15">
        <f>L25*L16/1000</f>
        <v>152.13399999999996</v>
      </c>
      <c r="M21" s="15">
        <f t="shared" ref="M21:S21" si="7">M25*M16/1000</f>
        <v>152.13399999999996</v>
      </c>
      <c r="N21" s="15">
        <f t="shared" si="7"/>
        <v>152.13399999999996</v>
      </c>
      <c r="O21" s="15">
        <f t="shared" si="7"/>
        <v>152.13399999999996</v>
      </c>
      <c r="P21" s="15">
        <f t="shared" si="7"/>
        <v>152.13399999999996</v>
      </c>
      <c r="Q21" s="15">
        <f t="shared" si="7"/>
        <v>152.13399999999996</v>
      </c>
      <c r="R21" s="15">
        <f t="shared" si="7"/>
        <v>152.13399999999996</v>
      </c>
      <c r="S21" s="15">
        <f t="shared" si="7"/>
        <v>152.13399999999996</v>
      </c>
    </row>
    <row r="22" spans="3:21" x14ac:dyDescent="0.3"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3:21" x14ac:dyDescent="0.3">
      <c r="C23" s="42" t="s">
        <v>154</v>
      </c>
      <c r="G23" s="62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3:21" x14ac:dyDescent="0.3">
      <c r="D24" s="68" t="s">
        <v>174</v>
      </c>
      <c r="G24" s="62" t="s">
        <v>78</v>
      </c>
      <c r="H24" s="59">
        <f xml:space="preserve"> H20 / H13 * 1000</f>
        <v>213.08177445216461</v>
      </c>
      <c r="I24" s="59">
        <f xml:space="preserve"> I20 / I13 * 1000</f>
        <v>214.83326923076922</v>
      </c>
      <c r="J24" s="59">
        <f xml:space="preserve"> J20 / J13 * 1000</f>
        <v>215.72670768009527</v>
      </c>
      <c r="K24" s="59">
        <f xml:space="preserve"> K20 / K13 * 1000</f>
        <v>216.36363636363637</v>
      </c>
      <c r="L24" s="59">
        <f>K24</f>
        <v>216.36363636363637</v>
      </c>
      <c r="M24" s="59">
        <f t="shared" ref="M24:S25" si="8">L24</f>
        <v>216.36363636363637</v>
      </c>
      <c r="N24" s="59">
        <f t="shared" si="8"/>
        <v>216.36363636363637</v>
      </c>
      <c r="O24" s="59">
        <f t="shared" si="8"/>
        <v>216.36363636363637</v>
      </c>
      <c r="P24" s="59">
        <f t="shared" si="8"/>
        <v>216.36363636363637</v>
      </c>
      <c r="Q24" s="59">
        <f t="shared" si="8"/>
        <v>216.36363636363637</v>
      </c>
      <c r="R24" s="59">
        <f t="shared" si="8"/>
        <v>216.36363636363637</v>
      </c>
      <c r="S24" s="59">
        <f t="shared" si="8"/>
        <v>216.36363636363637</v>
      </c>
      <c r="U24" s="44" t="s">
        <v>178</v>
      </c>
    </row>
    <row r="25" spans="3:21" x14ac:dyDescent="0.3">
      <c r="D25" s="68" t="s">
        <v>175</v>
      </c>
      <c r="G25" s="62" t="s">
        <v>78</v>
      </c>
      <c r="H25" s="59">
        <f xml:space="preserve"> H21 / H16 * 1000</f>
        <v>216.88023529411763</v>
      </c>
      <c r="I25" s="59">
        <f xml:space="preserve"> I21 / I16 * 1000</f>
        <v>220.98507462686564</v>
      </c>
      <c r="J25" s="59">
        <f xml:space="preserve"> J21 / J16 * 1000</f>
        <v>221.65560897435896</v>
      </c>
      <c r="K25" s="59">
        <f xml:space="preserve"> K21 / K16 * 1000</f>
        <v>221.7696793002915</v>
      </c>
      <c r="L25" s="59">
        <f>K25</f>
        <v>221.7696793002915</v>
      </c>
      <c r="M25" s="59">
        <f t="shared" si="8"/>
        <v>221.7696793002915</v>
      </c>
      <c r="N25" s="59">
        <f t="shared" si="8"/>
        <v>221.7696793002915</v>
      </c>
      <c r="O25" s="59">
        <f t="shared" si="8"/>
        <v>221.7696793002915</v>
      </c>
      <c r="P25" s="59">
        <f t="shared" si="8"/>
        <v>221.7696793002915</v>
      </c>
      <c r="Q25" s="59">
        <f t="shared" si="8"/>
        <v>221.7696793002915</v>
      </c>
      <c r="R25" s="59">
        <f t="shared" si="8"/>
        <v>221.7696793002915</v>
      </c>
      <c r="S25" s="59">
        <f t="shared" si="8"/>
        <v>221.7696793002915</v>
      </c>
      <c r="U25" s="44" t="s">
        <v>178</v>
      </c>
    </row>
    <row r="26" spans="3:21" x14ac:dyDescent="0.3"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3:21" x14ac:dyDescent="0.3">
      <c r="C27" s="42" t="s">
        <v>79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3:21" x14ac:dyDescent="0.3">
      <c r="D28" s="68" t="s">
        <v>174</v>
      </c>
      <c r="G28" s="4" t="s">
        <v>248</v>
      </c>
      <c r="H28" s="15">
        <f>H51 / ( H20 / 1000)</f>
        <v>208220.45972167878</v>
      </c>
      <c r="I28" s="15">
        <f>I51 / ( I20 / 1000)</f>
        <v>216677.1036726539</v>
      </c>
      <c r="J28" s="15">
        <f>J51 / ( J20 / 1000)</f>
        <v>226496.21146053975</v>
      </c>
      <c r="K28" s="15">
        <f>J28*(1+K29)</f>
        <v>235556.05991896134</v>
      </c>
      <c r="L28" s="15">
        <f t="shared" ref="L28:R28" si="9">K28*(1+L29)</f>
        <v>244978.3023157198</v>
      </c>
      <c r="M28" s="15">
        <f t="shared" si="9"/>
        <v>254777.43440834861</v>
      </c>
      <c r="N28" s="15">
        <f t="shared" si="9"/>
        <v>264968.53178468253</v>
      </c>
      <c r="O28" s="15">
        <f t="shared" si="9"/>
        <v>275567.27305606985</v>
      </c>
      <c r="P28" s="15">
        <f t="shared" si="9"/>
        <v>286589.96397831268</v>
      </c>
      <c r="Q28" s="15">
        <f t="shared" si="9"/>
        <v>298053.56253744522</v>
      </c>
      <c r="R28" s="15">
        <f t="shared" si="9"/>
        <v>309975.70503894304</v>
      </c>
      <c r="S28" s="15">
        <f>R28*(1+S29)</f>
        <v>322374.73324050079</v>
      </c>
      <c r="U28" s="44"/>
    </row>
    <row r="29" spans="3:21" x14ac:dyDescent="0.3">
      <c r="D29" s="69" t="s">
        <v>73</v>
      </c>
      <c r="G29" s="61" t="s">
        <v>24</v>
      </c>
      <c r="H29" s="47"/>
      <c r="I29" s="47">
        <f xml:space="preserve"> I28 / H28 - 1</f>
        <v>4.0613895302502145E-2</v>
      </c>
      <c r="J29" s="47">
        <f xml:space="preserve"> J28 / I28 - 1</f>
        <v>4.531677607579665E-2</v>
      </c>
      <c r="K29" s="71">
        <v>0.04</v>
      </c>
      <c r="L29" s="71">
        <v>0.04</v>
      </c>
      <c r="M29" s="71">
        <v>0.04</v>
      </c>
      <c r="N29" s="71">
        <v>0.04</v>
      </c>
      <c r="O29" s="71">
        <v>0.04</v>
      </c>
      <c r="P29" s="71">
        <v>0.04</v>
      </c>
      <c r="Q29" s="71">
        <v>0.04</v>
      </c>
      <c r="R29" s="71">
        <v>0.04</v>
      </c>
      <c r="S29" s="71">
        <v>0.04</v>
      </c>
    </row>
    <row r="30" spans="3:21" x14ac:dyDescent="0.3"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3:21" x14ac:dyDescent="0.3">
      <c r="D31" s="68" t="s">
        <v>175</v>
      </c>
      <c r="F31" s="80"/>
      <c r="G31" s="4" t="s">
        <v>248</v>
      </c>
      <c r="H31" s="15">
        <f>H52 / ( H21 / 1000)</f>
        <v>260745.69754410404</v>
      </c>
      <c r="I31" s="15">
        <f>I52 / ( I21 / 1000)</f>
        <v>229172.29501553424</v>
      </c>
      <c r="J31" s="15">
        <f>J52 / ( J21 / 1000)</f>
        <v>227252.51621140732</v>
      </c>
      <c r="K31" s="15">
        <f>J31*(1+K32)</f>
        <v>236342.61685986363</v>
      </c>
      <c r="L31" s="15">
        <f t="shared" ref="L31:S31" si="10">K31*(1+L32)</f>
        <v>245796.32153425817</v>
      </c>
      <c r="M31" s="15">
        <f t="shared" si="10"/>
        <v>255628.17439562851</v>
      </c>
      <c r="N31" s="15">
        <f t="shared" si="10"/>
        <v>265853.30137145368</v>
      </c>
      <c r="O31" s="15">
        <f t="shared" si="10"/>
        <v>276487.43342631182</v>
      </c>
      <c r="P31" s="15">
        <f t="shared" si="10"/>
        <v>287546.9307633643</v>
      </c>
      <c r="Q31" s="15">
        <f t="shared" si="10"/>
        <v>299048.80799389887</v>
      </c>
      <c r="R31" s="15">
        <f t="shared" si="10"/>
        <v>311010.76031365484</v>
      </c>
      <c r="S31" s="15">
        <f t="shared" si="10"/>
        <v>323451.19072620105</v>
      </c>
      <c r="U31" s="44"/>
    </row>
    <row r="32" spans="3:21" x14ac:dyDescent="0.3">
      <c r="D32" s="69" t="s">
        <v>73</v>
      </c>
      <c r="G32" s="61" t="s">
        <v>24</v>
      </c>
      <c r="H32" s="47"/>
      <c r="I32" s="102">
        <f xml:space="preserve"> I31 / H31 - 1</f>
        <v>-0.12108887251429834</v>
      </c>
      <c r="J32" s="102">
        <f xml:space="preserve"> J31 / I31 - 1</f>
        <v>-8.3770108598719695E-3</v>
      </c>
      <c r="K32" s="71">
        <v>0.04</v>
      </c>
      <c r="L32" s="71">
        <v>0.04</v>
      </c>
      <c r="M32" s="71">
        <v>0.04</v>
      </c>
      <c r="N32" s="71">
        <v>0.04</v>
      </c>
      <c r="O32" s="71">
        <v>0.04</v>
      </c>
      <c r="P32" s="71">
        <v>0.04</v>
      </c>
      <c r="Q32" s="71">
        <v>0.04</v>
      </c>
      <c r="R32" s="71">
        <v>0.04</v>
      </c>
      <c r="S32" s="71">
        <v>0.04</v>
      </c>
    </row>
    <row r="33" spans="2:21" x14ac:dyDescent="0.3"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2:21" x14ac:dyDescent="0.3">
      <c r="C34" s="42" t="s">
        <v>155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2:21" s="44" customFormat="1" x14ac:dyDescent="0.3">
      <c r="D35" s="3" t="s">
        <v>184</v>
      </c>
      <c r="E35" s="3"/>
      <c r="F35" s="46"/>
      <c r="G35" s="46" t="s">
        <v>24</v>
      </c>
      <c r="H35" s="146">
        <f t="shared" ref="H35:J35" si="11">H63 / H$50 * -1</f>
        <v>9.1176950315428371E-2</v>
      </c>
      <c r="I35" s="146">
        <f t="shared" si="11"/>
        <v>9.0613651056739838E-2</v>
      </c>
      <c r="J35" s="146">
        <f t="shared" si="11"/>
        <v>0.10155090691677111</v>
      </c>
      <c r="K35" s="146">
        <f>AVERAGE(H35:J35)</f>
        <v>9.4447169429646441E-2</v>
      </c>
      <c r="L35" s="146">
        <f>K35</f>
        <v>9.4447169429646441E-2</v>
      </c>
      <c r="M35" s="146">
        <f t="shared" ref="M35:S35" si="12">L35</f>
        <v>9.4447169429646441E-2</v>
      </c>
      <c r="N35" s="146">
        <f t="shared" si="12"/>
        <v>9.4447169429646441E-2</v>
      </c>
      <c r="O35" s="146">
        <f t="shared" si="12"/>
        <v>9.4447169429646441E-2</v>
      </c>
      <c r="P35" s="146">
        <f t="shared" si="12"/>
        <v>9.4447169429646441E-2</v>
      </c>
      <c r="Q35" s="146">
        <f t="shared" si="12"/>
        <v>9.4447169429646441E-2</v>
      </c>
      <c r="R35" s="146">
        <f t="shared" si="12"/>
        <v>9.4447169429646441E-2</v>
      </c>
      <c r="S35" s="146">
        <f t="shared" si="12"/>
        <v>9.4447169429646441E-2</v>
      </c>
      <c r="U35" s="44" t="s">
        <v>283</v>
      </c>
    </row>
    <row r="36" spans="2:21" s="44" customFormat="1" x14ac:dyDescent="0.3">
      <c r="D36" s="3" t="s">
        <v>185</v>
      </c>
      <c r="E36" s="3"/>
      <c r="F36" s="46"/>
      <c r="G36" s="46" t="s">
        <v>24</v>
      </c>
      <c r="H36" s="146">
        <f>H64 / H$50 * -1</f>
        <v>1.0570401822591932E-2</v>
      </c>
      <c r="I36" s="146">
        <f>I64 / I$50 * -1</f>
        <v>1.0999119202683177E-2</v>
      </c>
      <c r="J36" s="146">
        <f>J64 / J$50 * -1</f>
        <v>1.0081255132471798E-2</v>
      </c>
      <c r="K36" s="146">
        <f t="shared" ref="K36:K46" si="13">AVERAGE(H36:J36)</f>
        <v>1.0550258719248968E-2</v>
      </c>
      <c r="L36" s="146">
        <f t="shared" ref="L36:S46" si="14">K36</f>
        <v>1.0550258719248968E-2</v>
      </c>
      <c r="M36" s="146">
        <f t="shared" si="14"/>
        <v>1.0550258719248968E-2</v>
      </c>
      <c r="N36" s="146">
        <f t="shared" si="14"/>
        <v>1.0550258719248968E-2</v>
      </c>
      <c r="O36" s="146">
        <f t="shared" si="14"/>
        <v>1.0550258719248968E-2</v>
      </c>
      <c r="P36" s="146">
        <f t="shared" si="14"/>
        <v>1.0550258719248968E-2</v>
      </c>
      <c r="Q36" s="146">
        <f t="shared" si="14"/>
        <v>1.0550258719248968E-2</v>
      </c>
      <c r="R36" s="146">
        <f t="shared" si="14"/>
        <v>1.0550258719248968E-2</v>
      </c>
      <c r="S36" s="146">
        <f t="shared" si="14"/>
        <v>1.0550258719248968E-2</v>
      </c>
      <c r="U36" s="44" t="s">
        <v>283</v>
      </c>
    </row>
    <row r="37" spans="2:21" s="44" customFormat="1" x14ac:dyDescent="0.3">
      <c r="D37" s="3" t="s">
        <v>186</v>
      </c>
      <c r="E37" s="3"/>
      <c r="F37" s="46"/>
      <c r="G37" s="46" t="s">
        <v>24</v>
      </c>
      <c r="H37" s="146">
        <f>H65 / H$50 * -1</f>
        <v>8.6394224951199371E-3</v>
      </c>
      <c r="I37" s="146">
        <f>I65 / I$50 * -1</f>
        <v>7.2329513652358412E-3</v>
      </c>
      <c r="J37" s="146">
        <f>J65 / J$50 * -1</f>
        <v>8.2443704888274186E-3</v>
      </c>
      <c r="K37" s="146">
        <f t="shared" si="13"/>
        <v>8.0389147830610668E-3</v>
      </c>
      <c r="L37" s="146">
        <f t="shared" si="14"/>
        <v>8.0389147830610668E-3</v>
      </c>
      <c r="M37" s="146">
        <f t="shared" si="14"/>
        <v>8.0389147830610668E-3</v>
      </c>
      <c r="N37" s="146">
        <f t="shared" si="14"/>
        <v>8.0389147830610668E-3</v>
      </c>
      <c r="O37" s="146">
        <f t="shared" si="14"/>
        <v>8.0389147830610668E-3</v>
      </c>
      <c r="P37" s="146">
        <f t="shared" si="14"/>
        <v>8.0389147830610668E-3</v>
      </c>
      <c r="Q37" s="146">
        <f t="shared" si="14"/>
        <v>8.0389147830610668E-3</v>
      </c>
      <c r="R37" s="146">
        <f t="shared" si="14"/>
        <v>8.0389147830610668E-3</v>
      </c>
      <c r="S37" s="146">
        <f t="shared" si="14"/>
        <v>8.0389147830610668E-3</v>
      </c>
      <c r="U37" s="44" t="s">
        <v>283</v>
      </c>
    </row>
    <row r="38" spans="2:21" s="44" customFormat="1" x14ac:dyDescent="0.3">
      <c r="D38" s="3" t="s">
        <v>187</v>
      </c>
      <c r="E38" s="3"/>
      <c r="F38" s="46"/>
      <c r="G38" s="46" t="s">
        <v>24</v>
      </c>
      <c r="H38" s="146">
        <f>H66 / H$50 * -1</f>
        <v>7.0662268032558309E-3</v>
      </c>
      <c r="I38" s="146">
        <f>I66 / I$50 * -1</f>
        <v>6.9986506011550159E-3</v>
      </c>
      <c r="J38" s="146">
        <f>J66 / J$50 * -1</f>
        <v>6.8324905274380144E-3</v>
      </c>
      <c r="K38" s="146">
        <f t="shared" si="13"/>
        <v>6.965789310616287E-3</v>
      </c>
      <c r="L38" s="146">
        <f t="shared" si="14"/>
        <v>6.965789310616287E-3</v>
      </c>
      <c r="M38" s="146">
        <f t="shared" si="14"/>
        <v>6.965789310616287E-3</v>
      </c>
      <c r="N38" s="146">
        <f t="shared" si="14"/>
        <v>6.965789310616287E-3</v>
      </c>
      <c r="O38" s="146">
        <f t="shared" si="14"/>
        <v>6.965789310616287E-3</v>
      </c>
      <c r="P38" s="146">
        <f t="shared" si="14"/>
        <v>6.965789310616287E-3</v>
      </c>
      <c r="Q38" s="146">
        <f t="shared" si="14"/>
        <v>6.965789310616287E-3</v>
      </c>
      <c r="R38" s="146">
        <f t="shared" si="14"/>
        <v>6.965789310616287E-3</v>
      </c>
      <c r="S38" s="146">
        <f t="shared" si="14"/>
        <v>6.965789310616287E-3</v>
      </c>
      <c r="U38" s="44" t="s">
        <v>283</v>
      </c>
    </row>
    <row r="39" spans="2:21" s="44" customFormat="1" x14ac:dyDescent="0.3">
      <c r="D39" s="3" t="s">
        <v>188</v>
      </c>
      <c r="E39" s="3"/>
      <c r="F39" s="46"/>
      <c r="G39" s="46" t="s">
        <v>24</v>
      </c>
      <c r="H39" s="146">
        <f>H67 / H$50 * -1</f>
        <v>3.4673443509647003E-3</v>
      </c>
      <c r="I39" s="146">
        <f>I67 / I$50 * -1</f>
        <v>3.3279386305554229E-3</v>
      </c>
      <c r="J39" s="146">
        <f>J67 / J$50 * -1</f>
        <v>2.5896471740790364E-3</v>
      </c>
      <c r="K39" s="146">
        <f>AVERAGE(H39:J39)</f>
        <v>3.1283100518663867E-3</v>
      </c>
      <c r="L39" s="146">
        <f t="shared" si="14"/>
        <v>3.1283100518663867E-3</v>
      </c>
      <c r="M39" s="146">
        <f t="shared" si="14"/>
        <v>3.1283100518663867E-3</v>
      </c>
      <c r="N39" s="146">
        <f t="shared" si="14"/>
        <v>3.1283100518663867E-3</v>
      </c>
      <c r="O39" s="146">
        <f t="shared" si="14"/>
        <v>3.1283100518663867E-3</v>
      </c>
      <c r="P39" s="146">
        <f t="shared" si="14"/>
        <v>3.1283100518663867E-3</v>
      </c>
      <c r="Q39" s="146">
        <f t="shared" si="14"/>
        <v>3.1283100518663867E-3</v>
      </c>
      <c r="R39" s="146">
        <f t="shared" si="14"/>
        <v>3.1283100518663867E-3</v>
      </c>
      <c r="S39" s="146">
        <f t="shared" si="14"/>
        <v>3.1283100518663867E-3</v>
      </c>
      <c r="U39" s="44" t="s">
        <v>283</v>
      </c>
    </row>
    <row r="40" spans="2:21" s="44" customFormat="1" x14ac:dyDescent="0.3">
      <c r="D40" s="3" t="s">
        <v>189</v>
      </c>
      <c r="E40" s="3"/>
      <c r="F40" s="46"/>
      <c r="G40" s="46" t="s">
        <v>24</v>
      </c>
      <c r="H40" s="146">
        <f>H68 / H$50 * -1</f>
        <v>3.9829737081643066E-3</v>
      </c>
      <c r="I40" s="146">
        <f>I68 / I$50 * -1</f>
        <v>4.0134853106437631E-3</v>
      </c>
      <c r="J40" s="146">
        <f>J68 / J$50 * -1</f>
        <v>4.0375444814222533E-3</v>
      </c>
      <c r="K40" s="146">
        <f t="shared" si="13"/>
        <v>4.0113345000767743E-3</v>
      </c>
      <c r="L40" s="146">
        <f t="shared" si="14"/>
        <v>4.0113345000767743E-3</v>
      </c>
      <c r="M40" s="146">
        <f t="shared" si="14"/>
        <v>4.0113345000767743E-3</v>
      </c>
      <c r="N40" s="146">
        <f t="shared" si="14"/>
        <v>4.0113345000767743E-3</v>
      </c>
      <c r="O40" s="146">
        <f t="shared" si="14"/>
        <v>4.0113345000767743E-3</v>
      </c>
      <c r="P40" s="146">
        <f t="shared" si="14"/>
        <v>4.0113345000767743E-3</v>
      </c>
      <c r="Q40" s="146">
        <f t="shared" si="14"/>
        <v>4.0113345000767743E-3</v>
      </c>
      <c r="R40" s="146">
        <f t="shared" si="14"/>
        <v>4.0113345000767743E-3</v>
      </c>
      <c r="S40" s="146">
        <f t="shared" si="14"/>
        <v>4.0113345000767743E-3</v>
      </c>
      <c r="U40" s="44" t="s">
        <v>283</v>
      </c>
    </row>
    <row r="41" spans="2:21" s="44" customFormat="1" x14ac:dyDescent="0.3">
      <c r="D41" s="3" t="s">
        <v>190</v>
      </c>
      <c r="E41" s="3"/>
      <c r="F41" s="46"/>
      <c r="G41" s="46" t="s">
        <v>24</v>
      </c>
      <c r="H41" s="146">
        <f>H69 / H$50 * -1</f>
        <v>2.9990687102426088E-3</v>
      </c>
      <c r="I41" s="146">
        <f>I69 / I$50 * -1</f>
        <v>3.0892989634360643E-3</v>
      </c>
      <c r="J41" s="146">
        <f>J69 / J$50 * -1</f>
        <v>3.0074483871432483E-3</v>
      </c>
      <c r="K41" s="146">
        <f t="shared" si="13"/>
        <v>3.0319386869406399E-3</v>
      </c>
      <c r="L41" s="146">
        <f t="shared" si="14"/>
        <v>3.0319386869406399E-3</v>
      </c>
      <c r="M41" s="146">
        <f t="shared" si="14"/>
        <v>3.0319386869406399E-3</v>
      </c>
      <c r="N41" s="146">
        <f t="shared" si="14"/>
        <v>3.0319386869406399E-3</v>
      </c>
      <c r="O41" s="146">
        <f t="shared" si="14"/>
        <v>3.0319386869406399E-3</v>
      </c>
      <c r="P41" s="146">
        <f t="shared" si="14"/>
        <v>3.0319386869406399E-3</v>
      </c>
      <c r="Q41" s="146">
        <f t="shared" si="14"/>
        <v>3.0319386869406399E-3</v>
      </c>
      <c r="R41" s="146">
        <f t="shared" si="14"/>
        <v>3.0319386869406399E-3</v>
      </c>
      <c r="S41" s="146">
        <f t="shared" si="14"/>
        <v>3.0319386869406399E-3</v>
      </c>
      <c r="U41" s="44" t="s">
        <v>283</v>
      </c>
    </row>
    <row r="42" spans="2:21" s="44" customFormat="1" x14ac:dyDescent="0.3">
      <c r="D42" s="3" t="s">
        <v>191</v>
      </c>
      <c r="E42" s="3"/>
      <c r="F42" s="46"/>
      <c r="G42" s="46" t="s">
        <v>24</v>
      </c>
      <c r="H42" s="146">
        <f>H70 / H$50 * -1</f>
        <v>3.988235232217364E-3</v>
      </c>
      <c r="I42" s="146">
        <f>I70 / I$50 * -1</f>
        <v>4.5948983178072918E-3</v>
      </c>
      <c r="J42" s="146">
        <f>J70 / J$50 * -1</f>
        <v>4.660644566423189E-3</v>
      </c>
      <c r="K42" s="146">
        <f t="shared" si="13"/>
        <v>4.4145927054826152E-3</v>
      </c>
      <c r="L42" s="146">
        <f t="shared" si="14"/>
        <v>4.4145927054826152E-3</v>
      </c>
      <c r="M42" s="146">
        <f t="shared" si="14"/>
        <v>4.4145927054826152E-3</v>
      </c>
      <c r="N42" s="146">
        <f t="shared" si="14"/>
        <v>4.4145927054826152E-3</v>
      </c>
      <c r="O42" s="146">
        <f t="shared" si="14"/>
        <v>4.4145927054826152E-3</v>
      </c>
      <c r="P42" s="146">
        <f t="shared" si="14"/>
        <v>4.4145927054826152E-3</v>
      </c>
      <c r="Q42" s="146">
        <f t="shared" si="14"/>
        <v>4.4145927054826152E-3</v>
      </c>
      <c r="R42" s="146">
        <f t="shared" si="14"/>
        <v>4.4145927054826152E-3</v>
      </c>
      <c r="S42" s="146">
        <f t="shared" si="14"/>
        <v>4.4145927054826152E-3</v>
      </c>
      <c r="U42" s="44" t="s">
        <v>283</v>
      </c>
    </row>
    <row r="43" spans="2:21" s="44" customFormat="1" x14ac:dyDescent="0.3">
      <c r="D43" s="3" t="s">
        <v>193</v>
      </c>
      <c r="E43" s="3"/>
      <c r="F43" s="46"/>
      <c r="G43" s="46" t="s">
        <v>24</v>
      </c>
      <c r="H43" s="146">
        <f>H72 / H$50 * -1</f>
        <v>1.1822644547219548E-2</v>
      </c>
      <c r="I43" s="146">
        <f>I72 / I$50 * -1</f>
        <v>1.1415653894382422E-2</v>
      </c>
      <c r="J43" s="146">
        <f>J72 / J$50 * -1</f>
        <v>1.1269827548947573E-2</v>
      </c>
      <c r="K43" s="146">
        <f t="shared" si="13"/>
        <v>1.1502708663516513E-2</v>
      </c>
      <c r="L43" s="146">
        <f t="shared" si="14"/>
        <v>1.1502708663516513E-2</v>
      </c>
      <c r="M43" s="146">
        <f t="shared" si="14"/>
        <v>1.1502708663516513E-2</v>
      </c>
      <c r="N43" s="146">
        <f t="shared" si="14"/>
        <v>1.1502708663516513E-2</v>
      </c>
      <c r="O43" s="146">
        <f t="shared" si="14"/>
        <v>1.1502708663516513E-2</v>
      </c>
      <c r="P43" s="146">
        <f t="shared" si="14"/>
        <v>1.1502708663516513E-2</v>
      </c>
      <c r="Q43" s="146">
        <f t="shared" si="14"/>
        <v>1.1502708663516513E-2</v>
      </c>
      <c r="R43" s="146">
        <f t="shared" si="14"/>
        <v>1.1502708663516513E-2</v>
      </c>
      <c r="S43" s="146">
        <f t="shared" si="14"/>
        <v>1.1502708663516513E-2</v>
      </c>
      <c r="U43" s="44" t="s">
        <v>283</v>
      </c>
    </row>
    <row r="44" spans="2:21" s="44" customFormat="1" ht="11.4" x14ac:dyDescent="0.3">
      <c r="F44" s="46"/>
      <c r="G44" s="46"/>
      <c r="H44" s="147"/>
      <c r="I44" s="147"/>
      <c r="J44" s="147"/>
      <c r="K44" s="146"/>
      <c r="L44" s="146"/>
      <c r="M44" s="146"/>
      <c r="N44" s="146"/>
      <c r="O44" s="146"/>
      <c r="P44" s="146"/>
      <c r="Q44" s="146"/>
      <c r="R44" s="146"/>
      <c r="S44" s="146"/>
    </row>
    <row r="45" spans="2:21" s="44" customFormat="1" ht="11.4" x14ac:dyDescent="0.3">
      <c r="D45" s="44" t="s">
        <v>180</v>
      </c>
      <c r="F45" s="46"/>
      <c r="G45" s="46" t="s">
        <v>24</v>
      </c>
      <c r="H45" s="146">
        <f>H74 / H$50</f>
        <v>1.5311034994396476E-3</v>
      </c>
      <c r="I45" s="146">
        <f>I74 / I$50</f>
        <v>3.7878623526400057E-3</v>
      </c>
      <c r="J45" s="146">
        <f>J74 / J$50</f>
        <v>4.6642463010185707E-3</v>
      </c>
      <c r="K45" s="146">
        <f t="shared" si="13"/>
        <v>3.3277373843660744E-3</v>
      </c>
      <c r="L45" s="146">
        <f t="shared" si="14"/>
        <v>3.3277373843660744E-3</v>
      </c>
      <c r="M45" s="146">
        <f t="shared" si="14"/>
        <v>3.3277373843660744E-3</v>
      </c>
      <c r="N45" s="146">
        <f t="shared" si="14"/>
        <v>3.3277373843660744E-3</v>
      </c>
      <c r="O45" s="146">
        <f t="shared" si="14"/>
        <v>3.3277373843660744E-3</v>
      </c>
      <c r="P45" s="146">
        <f t="shared" si="14"/>
        <v>3.3277373843660744E-3</v>
      </c>
      <c r="Q45" s="146">
        <f t="shared" si="14"/>
        <v>3.3277373843660744E-3</v>
      </c>
      <c r="R45" s="146">
        <f t="shared" si="14"/>
        <v>3.3277373843660744E-3</v>
      </c>
      <c r="S45" s="146">
        <f t="shared" si="14"/>
        <v>3.3277373843660744E-3</v>
      </c>
      <c r="U45" s="44" t="s">
        <v>283</v>
      </c>
    </row>
    <row r="46" spans="2:21" s="44" customFormat="1" ht="11.4" x14ac:dyDescent="0.3">
      <c r="D46" s="44" t="s">
        <v>181</v>
      </c>
      <c r="F46" s="46"/>
      <c r="G46" s="46" t="s">
        <v>24</v>
      </c>
      <c r="H46" s="146">
        <f>H75 / H$50</f>
        <v>2.5781467859980323E-4</v>
      </c>
      <c r="I46" s="146">
        <f>I75 / I$50</f>
        <v>1.9091173369548711E-4</v>
      </c>
      <c r="J46" s="146">
        <f>J75 / J$50</f>
        <v>2.0890060653210585E-4</v>
      </c>
      <c r="K46" s="146">
        <f t="shared" si="13"/>
        <v>2.1920900627579872E-4</v>
      </c>
      <c r="L46" s="146">
        <f>K46</f>
        <v>2.1920900627579872E-4</v>
      </c>
      <c r="M46" s="146">
        <f t="shared" si="14"/>
        <v>2.1920900627579872E-4</v>
      </c>
      <c r="N46" s="146">
        <f t="shared" si="14"/>
        <v>2.1920900627579872E-4</v>
      </c>
      <c r="O46" s="146">
        <f t="shared" si="14"/>
        <v>2.1920900627579872E-4</v>
      </c>
      <c r="P46" s="146">
        <f t="shared" si="14"/>
        <v>2.1920900627579872E-4</v>
      </c>
      <c r="Q46" s="146">
        <f t="shared" si="14"/>
        <v>2.1920900627579872E-4</v>
      </c>
      <c r="R46" s="146">
        <f t="shared" si="14"/>
        <v>2.1920900627579872E-4</v>
      </c>
      <c r="S46" s="146">
        <f t="shared" si="14"/>
        <v>2.1920900627579872E-4</v>
      </c>
      <c r="U46" s="44" t="s">
        <v>283</v>
      </c>
    </row>
    <row r="47" spans="2:21" x14ac:dyDescent="0.3">
      <c r="H47" s="15"/>
      <c r="I47" s="15"/>
      <c r="J47" s="15"/>
      <c r="K47" s="115"/>
      <c r="L47" s="15"/>
      <c r="M47" s="15"/>
      <c r="N47" s="15"/>
      <c r="O47" s="15"/>
      <c r="P47" s="15"/>
      <c r="Q47" s="15"/>
      <c r="R47" s="15"/>
      <c r="S47" s="15"/>
    </row>
    <row r="48" spans="2:21" x14ac:dyDescent="0.3">
      <c r="B48" s="38" t="s">
        <v>144</v>
      </c>
      <c r="C48" s="13"/>
      <c r="D48" s="13"/>
      <c r="E48" s="13"/>
      <c r="F48" s="14"/>
      <c r="G48" s="14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 t="s">
        <v>3</v>
      </c>
    </row>
    <row r="49" spans="3:21" ht="5.0999999999999996" customHeight="1" x14ac:dyDescent="0.3"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3:21" s="42" customFormat="1" x14ac:dyDescent="0.3">
      <c r="C50" s="42" t="s">
        <v>40</v>
      </c>
      <c r="F50" s="43"/>
      <c r="G50" s="43" t="s">
        <v>48</v>
      </c>
      <c r="H50" s="53">
        <f>H51 + H52</f>
        <v>190059</v>
      </c>
      <c r="I50" s="53">
        <f>I51 + I52</f>
        <v>230473</v>
      </c>
      <c r="J50" s="53">
        <f>J51 + J52</f>
        <v>277644</v>
      </c>
      <c r="K50" s="53">
        <f>K51+K52</f>
        <v>316267.4589769225</v>
      </c>
      <c r="L50" s="53">
        <f t="shared" ref="L50:S50" si="15">L51+L52</f>
        <v>352770.13567964814</v>
      </c>
      <c r="M50" s="53">
        <f t="shared" si="15"/>
        <v>388930.76997562934</v>
      </c>
      <c r="N50" s="53">
        <f t="shared" si="15"/>
        <v>424553.34504525823</v>
      </c>
      <c r="O50" s="53">
        <f t="shared" si="15"/>
        <v>459422.30002543522</v>
      </c>
      <c r="P50" s="53">
        <f t="shared" si="15"/>
        <v>493301.10371437052</v>
      </c>
      <c r="Q50" s="53">
        <f t="shared" si="15"/>
        <v>525930.73838729307</v>
      </c>
      <c r="R50" s="53">
        <f t="shared" si="15"/>
        <v>557028.08853177587</v>
      </c>
      <c r="S50" s="53">
        <f t="shared" si="15"/>
        <v>586284.22902861412</v>
      </c>
    </row>
    <row r="51" spans="3:21" x14ac:dyDescent="0.3">
      <c r="D51" s="68" t="s">
        <v>174</v>
      </c>
      <c r="G51" s="4" t="s">
        <v>48</v>
      </c>
      <c r="H51" s="90">
        <v>166025</v>
      </c>
      <c r="I51" s="90">
        <v>203328</v>
      </c>
      <c r="J51" s="90">
        <v>246212</v>
      </c>
      <c r="K51" s="59">
        <f>K28*K20/1000</f>
        <v>280311.71130356402</v>
      </c>
      <c r="L51" s="59">
        <f t="shared" ref="L51:S51" si="16">L28*L20/1000</f>
        <v>315376.15809935535</v>
      </c>
      <c r="M51" s="59">
        <f t="shared" si="16"/>
        <v>350041.0332921248</v>
      </c>
      <c r="N51" s="59">
        <f t="shared" si="16"/>
        <v>384108.01889441349</v>
      </c>
      <c r="O51" s="59">
        <f t="shared" si="16"/>
        <v>417359.16082855669</v>
      </c>
      <c r="P51" s="59">
        <f t="shared" si="16"/>
        <v>449555.43894961686</v>
      </c>
      <c r="Q51" s="59">
        <f t="shared" si="16"/>
        <v>480435.24703194923</v>
      </c>
      <c r="R51" s="59">
        <f t="shared" si="16"/>
        <v>509712.77752221836</v>
      </c>
      <c r="S51" s="59">
        <f t="shared" si="16"/>
        <v>537076.30557867431</v>
      </c>
    </row>
    <row r="52" spans="3:21" x14ac:dyDescent="0.3">
      <c r="D52" s="68" t="s">
        <v>175</v>
      </c>
      <c r="G52" s="4" t="s">
        <v>48</v>
      </c>
      <c r="H52" s="40">
        <v>24034</v>
      </c>
      <c r="I52" s="40">
        <v>27145</v>
      </c>
      <c r="J52" s="40">
        <v>31432</v>
      </c>
      <c r="K52" s="59">
        <f t="shared" ref="K52:S52" si="17">K31*K21/1000</f>
        <v>35955.747673358492</v>
      </c>
      <c r="L52" s="59">
        <f t="shared" si="17"/>
        <v>37393.97758029282</v>
      </c>
      <c r="M52" s="59">
        <f t="shared" si="17"/>
        <v>38889.73668350454</v>
      </c>
      <c r="N52" s="59">
        <f t="shared" si="17"/>
        <v>40445.326150844725</v>
      </c>
      <c r="O52" s="59">
        <f t="shared" si="17"/>
        <v>42063.13919687851</v>
      </c>
      <c r="P52" s="59">
        <f t="shared" si="17"/>
        <v>43745.664764753652</v>
      </c>
      <c r="Q52" s="59">
        <f t="shared" si="17"/>
        <v>45495.491355343795</v>
      </c>
      <c r="R52" s="59">
        <f t="shared" si="17"/>
        <v>47315.311009557554</v>
      </c>
      <c r="S52" s="59">
        <f t="shared" si="17"/>
        <v>49207.923449939852</v>
      </c>
    </row>
    <row r="53" spans="3:21" x14ac:dyDescent="0.3">
      <c r="D53" s="69" t="s">
        <v>49</v>
      </c>
      <c r="G53" s="46" t="s">
        <v>24</v>
      </c>
      <c r="H53" s="52" t="s">
        <v>50</v>
      </c>
      <c r="I53" s="47">
        <f xml:space="preserve"> I50 / H50 - 1</f>
        <v>0.21263923308025401</v>
      </c>
      <c r="J53" s="47">
        <f xml:space="preserve"> J50 / I50 - 1</f>
        <v>0.20467039523067787</v>
      </c>
      <c r="K53" s="47">
        <f>K50/J50-1</f>
        <v>0.13911144839046585</v>
      </c>
      <c r="L53" s="47">
        <f t="shared" ref="L53:S53" si="18">L50/K50-1</f>
        <v>0.11541711189891712</v>
      </c>
      <c r="M53" s="47">
        <f t="shared" si="18"/>
        <v>0.10250480593067768</v>
      </c>
      <c r="N53" s="47">
        <f t="shared" si="18"/>
        <v>9.1591043495635516E-2</v>
      </c>
      <c r="O53" s="47">
        <f t="shared" si="18"/>
        <v>8.2130915671998483E-2</v>
      </c>
      <c r="P53" s="47">
        <f t="shared" si="18"/>
        <v>7.3742183797041783E-2</v>
      </c>
      <c r="Q53" s="47">
        <f t="shared" si="18"/>
        <v>6.614547266818116E-2</v>
      </c>
      <c r="R53" s="47">
        <f t="shared" si="18"/>
        <v>5.9128223309098171E-2</v>
      </c>
      <c r="S53" s="47">
        <f t="shared" si="18"/>
        <v>5.2521840638148243E-2</v>
      </c>
    </row>
    <row r="54" spans="3:21" x14ac:dyDescent="0.3">
      <c r="D54" s="69"/>
      <c r="G54" s="46"/>
      <c r="H54" s="112"/>
      <c r="I54" s="113"/>
      <c r="J54" s="113"/>
      <c r="K54" s="47"/>
      <c r="L54" s="47"/>
      <c r="M54" s="47"/>
      <c r="N54" s="47"/>
      <c r="O54" s="47"/>
      <c r="P54" s="47"/>
      <c r="Q54" s="47"/>
      <c r="R54" s="47"/>
      <c r="S54" s="47"/>
    </row>
    <row r="55" spans="3:21" x14ac:dyDescent="0.3">
      <c r="C55" s="3" t="s">
        <v>41</v>
      </c>
      <c r="G55" s="4" t="s">
        <v>48</v>
      </c>
      <c r="H55" s="40">
        <v>-128544</v>
      </c>
      <c r="I55" s="40">
        <v>-157073</v>
      </c>
      <c r="J55" s="40">
        <v>-185650</v>
      </c>
      <c r="K55" s="59">
        <f>-K56*K$50</f>
        <v>-213641.18734359022</v>
      </c>
      <c r="L55" s="59">
        <f>-L56*L$50</f>
        <v>-238299.03616944287</v>
      </c>
      <c r="M55" s="59">
        <f t="shared" ref="M55:S55" si="19">-M56*M$50</f>
        <v>-262725.83262545918</v>
      </c>
      <c r="N55" s="59">
        <f t="shared" si="19"/>
        <v>-286789.16578888468</v>
      </c>
      <c r="O55" s="59">
        <f t="shared" si="19"/>
        <v>-310343.42257993435</v>
      </c>
      <c r="P55" s="59">
        <f t="shared" si="19"/>
        <v>-333228.8242880269</v>
      </c>
      <c r="Q55" s="59">
        <f t="shared" si="19"/>
        <v>-355270.40237722074</v>
      </c>
      <c r="R55" s="59">
        <f t="shared" si="19"/>
        <v>-376276.91006409423</v>
      </c>
      <c r="S55" s="59">
        <f t="shared" si="19"/>
        <v>-396039.66597029543</v>
      </c>
    </row>
    <row r="56" spans="3:21" x14ac:dyDescent="0.3">
      <c r="D56" s="69" t="s">
        <v>67</v>
      </c>
      <c r="G56" s="46" t="s">
        <v>24</v>
      </c>
      <c r="H56" s="47">
        <f xml:space="preserve"> H55 / H$50 * -1</f>
        <v>0.67633734787618582</v>
      </c>
      <c r="I56" s="47">
        <f xml:space="preserve"> I55 / I$50 * -1</f>
        <v>0.6815245169716192</v>
      </c>
      <c r="J56" s="47">
        <f xml:space="preserve"> J55 / J$50 * -1</f>
        <v>0.66866202763250782</v>
      </c>
      <c r="K56" s="47">
        <f>AVERAGE(H56:J56)</f>
        <v>0.67550796416010428</v>
      </c>
      <c r="L56" s="47">
        <f>K56</f>
        <v>0.67550796416010428</v>
      </c>
      <c r="M56" s="47">
        <f t="shared" ref="M56:S56" si="20">L56</f>
        <v>0.67550796416010428</v>
      </c>
      <c r="N56" s="47">
        <f t="shared" si="20"/>
        <v>0.67550796416010428</v>
      </c>
      <c r="O56" s="47">
        <f t="shared" si="20"/>
        <v>0.67550796416010428</v>
      </c>
      <c r="P56" s="47">
        <f t="shared" si="20"/>
        <v>0.67550796416010428</v>
      </c>
      <c r="Q56" s="47">
        <f t="shared" si="20"/>
        <v>0.67550796416010428</v>
      </c>
      <c r="R56" s="47">
        <f t="shared" si="20"/>
        <v>0.67550796416010428</v>
      </c>
      <c r="S56" s="47">
        <f t="shared" si="20"/>
        <v>0.67550796416010428</v>
      </c>
      <c r="U56" s="44" t="s">
        <v>179</v>
      </c>
    </row>
    <row r="57" spans="3:21" x14ac:dyDescent="0.3">
      <c r="D57" s="69"/>
      <c r="G57" s="46"/>
      <c r="H57" s="47"/>
      <c r="I57" s="47"/>
      <c r="J57" s="87"/>
      <c r="K57" s="72"/>
      <c r="L57" s="91"/>
      <c r="M57" s="91"/>
      <c r="N57" s="72"/>
      <c r="O57" s="91"/>
      <c r="P57" s="52"/>
      <c r="Q57" s="52"/>
      <c r="R57" s="52"/>
      <c r="S57" s="52"/>
      <c r="U57" s="44"/>
    </row>
    <row r="58" spans="3:21" x14ac:dyDescent="0.3">
      <c r="C58" s="73" t="s">
        <v>42</v>
      </c>
      <c r="D58" s="73"/>
      <c r="E58" s="48"/>
      <c r="F58" s="49"/>
      <c r="G58" s="49" t="s">
        <v>48</v>
      </c>
      <c r="H58" s="50">
        <f xml:space="preserve"> H50 + H55</f>
        <v>61515</v>
      </c>
      <c r="I58" s="50">
        <f xml:space="preserve"> I50 + I55</f>
        <v>73400</v>
      </c>
      <c r="J58" s="50">
        <f xml:space="preserve"> J50 + J55</f>
        <v>91994</v>
      </c>
      <c r="K58" s="50">
        <f>K50+K55</f>
        <v>102626.27163333228</v>
      </c>
      <c r="L58" s="50">
        <f t="shared" ref="L58:S58" si="21">L50+L55</f>
        <v>114471.09951020527</v>
      </c>
      <c r="M58" s="50">
        <f t="shared" si="21"/>
        <v>126204.93735017016</v>
      </c>
      <c r="N58" s="50">
        <f t="shared" si="21"/>
        <v>137764.17925637355</v>
      </c>
      <c r="O58" s="50">
        <f t="shared" si="21"/>
        <v>149078.87744550087</v>
      </c>
      <c r="P58" s="50">
        <f t="shared" si="21"/>
        <v>160072.27942634362</v>
      </c>
      <c r="Q58" s="50">
        <f t="shared" si="21"/>
        <v>170660.33601007232</v>
      </c>
      <c r="R58" s="50">
        <f t="shared" si="21"/>
        <v>180751.17846768163</v>
      </c>
      <c r="S58" s="50">
        <f t="shared" si="21"/>
        <v>190244.56305831869</v>
      </c>
    </row>
    <row r="59" spans="3:21" s="44" customFormat="1" ht="11.4" x14ac:dyDescent="0.3">
      <c r="D59" s="69" t="s">
        <v>43</v>
      </c>
      <c r="F59" s="46"/>
      <c r="G59" s="46" t="s">
        <v>24</v>
      </c>
      <c r="H59" s="47">
        <f xml:space="preserve"> H58 / H$50</f>
        <v>0.32366265212381418</v>
      </c>
      <c r="I59" s="47">
        <f xml:space="preserve"> I58 / I$50</f>
        <v>0.31847548302838075</v>
      </c>
      <c r="J59" s="47">
        <f xml:space="preserve"> J58 / J$50</f>
        <v>0.33133797236749218</v>
      </c>
      <c r="K59" s="47">
        <f>K58/K50</f>
        <v>0.32449203583989567</v>
      </c>
      <c r="L59" s="47">
        <f t="shared" ref="L59:S59" si="22">L58/L50</f>
        <v>0.32449203583989572</v>
      </c>
      <c r="M59" s="47">
        <f t="shared" si="22"/>
        <v>0.32449203583989572</v>
      </c>
      <c r="N59" s="47">
        <f t="shared" si="22"/>
        <v>0.32449203583989572</v>
      </c>
      <c r="O59" s="47">
        <f t="shared" si="22"/>
        <v>0.32449203583989578</v>
      </c>
      <c r="P59" s="47">
        <f t="shared" si="22"/>
        <v>0.32449203583989572</v>
      </c>
      <c r="Q59" s="47">
        <f t="shared" si="22"/>
        <v>0.32449203583989572</v>
      </c>
      <c r="R59" s="47">
        <f t="shared" si="22"/>
        <v>0.32449203583989572</v>
      </c>
      <c r="S59" s="47">
        <f t="shared" si="22"/>
        <v>0.32449203583989572</v>
      </c>
    </row>
    <row r="60" spans="3:21" x14ac:dyDescent="0.3">
      <c r="H60" s="15"/>
      <c r="I60" s="15"/>
      <c r="J60" s="15"/>
      <c r="L60" s="15"/>
      <c r="O60" s="15"/>
      <c r="P60" s="15"/>
      <c r="Q60" s="15"/>
      <c r="R60" s="15"/>
      <c r="S60" s="15"/>
    </row>
    <row r="61" spans="3:21" x14ac:dyDescent="0.3">
      <c r="C61" s="73" t="s">
        <v>44</v>
      </c>
      <c r="D61" s="73"/>
      <c r="E61" s="48"/>
      <c r="F61" s="51"/>
      <c r="G61" s="49" t="s">
        <v>48</v>
      </c>
      <c r="H61" s="50">
        <f>SUM(H63:H72)</f>
        <v>-34932</v>
      </c>
      <c r="I61" s="50">
        <f>SUM(I63:I72)</f>
        <v>-41991</v>
      </c>
      <c r="J61" s="50">
        <f>SUM(J63:J72)</f>
        <v>-52287</v>
      </c>
      <c r="K61" s="50">
        <f>SUM(K63:K72)</f>
        <v>-57013.554678648397</v>
      </c>
      <c r="L61" s="50">
        <f>SUM(L63:L72)</f>
        <v>-63211.045435913024</v>
      </c>
      <c r="M61" s="50">
        <f>SUM(M63:M72)</f>
        <v>-69427.749078170382</v>
      </c>
      <c r="N61" s="50">
        <f>SUM(N63:N72)</f>
        <v>-75640.563885564159</v>
      </c>
      <c r="O61" s="50">
        <f>SUM(O63:O72)</f>
        <v>-81823.975695182162</v>
      </c>
      <c r="P61" s="50">
        <f>SUM(P63:P72)</f>
        <v>-87949.884953430999</v>
      </c>
      <c r="Q61" s="50">
        <f>SUM(Q63:Q72)</f>
        <v>-93987.423470124879</v>
      </c>
      <c r="R61" s="50">
        <f>SUM(R63:R72)</f>
        <v>-99902.760342584152</v>
      </c>
      <c r="S61" s="50">
        <f>SUM(S63:S72)</f>
        <v>-105658.89649486398</v>
      </c>
    </row>
    <row r="62" spans="3:21" x14ac:dyDescent="0.3">
      <c r="D62" s="69" t="s">
        <v>67</v>
      </c>
      <c r="G62" s="46" t="s">
        <v>24</v>
      </c>
      <c r="H62" s="47">
        <f xml:space="preserve"> H61 / H$50 * -1</f>
        <v>0.1837955582213944</v>
      </c>
      <c r="I62" s="47">
        <f xml:space="preserve"> I61 / I$50 * -1</f>
        <v>0.18219487749107272</v>
      </c>
      <c r="J62" s="47">
        <f xml:space="preserve"> J61 / J$50 * -1</f>
        <v>0.18832389678869343</v>
      </c>
      <c r="K62" s="47">
        <f>-K61/K50</f>
        <v>0.18027006275978769</v>
      </c>
      <c r="L62" s="47">
        <f t="shared" ref="L62:S62" si="23">-L61/L50</f>
        <v>0.17918479781212321</v>
      </c>
      <c r="M62" s="47">
        <f t="shared" si="23"/>
        <v>0.17850927321209575</v>
      </c>
      <c r="N62" s="47">
        <f t="shared" si="23"/>
        <v>0.17816504043208214</v>
      </c>
      <c r="O62" s="47">
        <f t="shared" si="23"/>
        <v>0.17810188075470454</v>
      </c>
      <c r="P62" s="47">
        <f t="shared" si="23"/>
        <v>0.17828844146344225</v>
      </c>
      <c r="Q62" s="47">
        <f t="shared" si="23"/>
        <v>0.17870684599711104</v>
      </c>
      <c r="R62" s="47">
        <f t="shared" si="23"/>
        <v>0.17934959187769067</v>
      </c>
      <c r="S62" s="47">
        <f t="shared" si="23"/>
        <v>0.1802178726006754</v>
      </c>
    </row>
    <row r="63" spans="3:21" x14ac:dyDescent="0.3">
      <c r="D63" s="3" t="s">
        <v>184</v>
      </c>
      <c r="G63" s="4" t="s">
        <v>48</v>
      </c>
      <c r="H63" s="40">
        <v>-17329</v>
      </c>
      <c r="I63" s="40">
        <v>-20884</v>
      </c>
      <c r="J63" s="40">
        <v>-28195</v>
      </c>
      <c r="K63" s="59">
        <f>-K$50*K35</f>
        <v>-29870.566283077154</v>
      </c>
      <c r="L63" s="59">
        <f t="shared" ref="L63:S63" si="24">-L$50*L35</f>
        <v>-33318.140774255095</v>
      </c>
      <c r="M63" s="59">
        <f t="shared" si="24"/>
        <v>-36733.410328291109</v>
      </c>
      <c r="N63" s="59">
        <f t="shared" si="24"/>
        <v>-40097.861711412654</v>
      </c>
      <c r="O63" s="59">
        <f t="shared" si="24"/>
        <v>-43391.135810260144</v>
      </c>
      <c r="P63" s="59">
        <f t="shared" si="24"/>
        <v>-46590.89292234274</v>
      </c>
      <c r="Q63" s="59">
        <f t="shared" si="24"/>
        <v>-49672.669556723726</v>
      </c>
      <c r="R63" s="59">
        <f t="shared" si="24"/>
        <v>-52609.726254632733</v>
      </c>
      <c r="S63" s="59">
        <f t="shared" si="24"/>
        <v>-55372.88591299516</v>
      </c>
    </row>
    <row r="64" spans="3:21" x14ac:dyDescent="0.3">
      <c r="D64" s="3" t="s">
        <v>185</v>
      </c>
      <c r="G64" s="4" t="s">
        <v>48</v>
      </c>
      <c r="H64" s="40">
        <v>-2009</v>
      </c>
      <c r="I64" s="40">
        <v>-2535</v>
      </c>
      <c r="J64" s="40">
        <v>-2799</v>
      </c>
      <c r="K64" s="59">
        <f t="shared" ref="K64:S64" si="25">-K$50*K36</f>
        <v>-3336.7035166859919</v>
      </c>
      <c r="L64" s="59">
        <f t="shared" si="25"/>
        <v>-3721.8161998448491</v>
      </c>
      <c r="M64" s="59">
        <f t="shared" si="25"/>
        <v>-4103.3202471195982</v>
      </c>
      <c r="N64" s="59">
        <f t="shared" si="25"/>
        <v>-4479.1476303500513</v>
      </c>
      <c r="O64" s="59">
        <f t="shared" si="25"/>
        <v>-4847.0241266607627</v>
      </c>
      <c r="P64" s="59">
        <f t="shared" si="25"/>
        <v>-5204.4542706776765</v>
      </c>
      <c r="Q64" s="59">
        <f t="shared" si="25"/>
        <v>-5548.7053583915867</v>
      </c>
      <c r="R64" s="59">
        <f t="shared" si="25"/>
        <v>-5876.790447898954</v>
      </c>
      <c r="S64" s="59">
        <f t="shared" si="25"/>
        <v>-6185.4502992672951</v>
      </c>
    </row>
    <row r="65" spans="3:23" x14ac:dyDescent="0.3">
      <c r="D65" s="3" t="s">
        <v>186</v>
      </c>
      <c r="G65" s="4" t="s">
        <v>48</v>
      </c>
      <c r="H65" s="40">
        <v>-1642</v>
      </c>
      <c r="I65" s="40">
        <v>-1667</v>
      </c>
      <c r="J65" s="40">
        <v>-2289</v>
      </c>
      <c r="K65" s="59">
        <f t="shared" ref="K65:S65" si="26">-K$50*K37</f>
        <v>-2542.4471513707417</v>
      </c>
      <c r="L65" s="59">
        <f t="shared" si="26"/>
        <v>-2835.8890587375818</v>
      </c>
      <c r="M65" s="59">
        <f t="shared" si="26"/>
        <v>-3126.58131634441</v>
      </c>
      <c r="N65" s="59">
        <f t="shared" si="26"/>
        <v>-3412.9481616823523</v>
      </c>
      <c r="O65" s="59">
        <f t="shared" si="26"/>
        <v>-3693.2567193423879</v>
      </c>
      <c r="P65" s="59">
        <f t="shared" si="26"/>
        <v>-3965.6055351497935</v>
      </c>
      <c r="Q65" s="59">
        <f t="shared" si="26"/>
        <v>-4227.912387687833</v>
      </c>
      <c r="R65" s="59">
        <f t="shared" si="26"/>
        <v>-4477.9013354783419</v>
      </c>
      <c r="S65" s="59">
        <f t="shared" si="26"/>
        <v>-4713.088955813686</v>
      </c>
    </row>
    <row r="66" spans="3:23" x14ac:dyDescent="0.3">
      <c r="D66" s="3" t="s">
        <v>187</v>
      </c>
      <c r="G66" s="4" t="s">
        <v>48</v>
      </c>
      <c r="H66" s="40">
        <v>-1343</v>
      </c>
      <c r="I66" s="40">
        <v>-1613</v>
      </c>
      <c r="J66" s="40">
        <v>-1897</v>
      </c>
      <c r="K66" s="59">
        <f t="shared" ref="K66:S66" si="27">-K$50*K38</f>
        <v>-2203.0524850372217</v>
      </c>
      <c r="L66" s="59">
        <f t="shared" si="27"/>
        <v>-2457.3224402219503</v>
      </c>
      <c r="M66" s="59">
        <f t="shared" si="27"/>
        <v>-2709.2098000660008</v>
      </c>
      <c r="N66" s="59">
        <f t="shared" si="27"/>
        <v>-2957.3491527026481</v>
      </c>
      <c r="O66" s="59">
        <f t="shared" si="27"/>
        <v>-3200.2389465759256</v>
      </c>
      <c r="P66" s="59">
        <f t="shared" si="27"/>
        <v>-3436.2315551687784</v>
      </c>
      <c r="Q66" s="59">
        <f t="shared" si="27"/>
        <v>-3663.522715582737</v>
      </c>
      <c r="R66" s="59">
        <f t="shared" si="27"/>
        <v>-3880.1403048076672</v>
      </c>
      <c r="S66" s="59">
        <f t="shared" si="27"/>
        <v>-4083.9324155504314</v>
      </c>
    </row>
    <row r="67" spans="3:23" x14ac:dyDescent="0.3">
      <c r="D67" s="3" t="s">
        <v>188</v>
      </c>
      <c r="G67" s="4" t="s">
        <v>48</v>
      </c>
      <c r="H67" s="40">
        <v>-659</v>
      </c>
      <c r="I67" s="40">
        <v>-767</v>
      </c>
      <c r="J67" s="40">
        <v>-719</v>
      </c>
      <c r="K67" s="59">
        <f t="shared" ref="K67:S67" si="28">-K$50*K39</f>
        <v>-989.38267099574671</v>
      </c>
      <c r="L67" s="59">
        <f t="shared" si="28"/>
        <v>-1103.5743614449123</v>
      </c>
      <c r="M67" s="59">
        <f t="shared" si="28"/>
        <v>-1216.6960371948946</v>
      </c>
      <c r="N67" s="59">
        <f t="shared" si="28"/>
        <v>-1328.1344968585797</v>
      </c>
      <c r="O67" s="59">
        <f t="shared" si="28"/>
        <v>-1437.2153992211438</v>
      </c>
      <c r="P67" s="59">
        <f t="shared" si="28"/>
        <v>-1543.1988013464481</v>
      </c>
      <c r="Q67" s="59">
        <f t="shared" si="28"/>
        <v>-1645.2744154824798</v>
      </c>
      <c r="R67" s="59">
        <f t="shared" si="28"/>
        <v>-1742.5565685258739</v>
      </c>
      <c r="S67" s="59">
        <f t="shared" si="28"/>
        <v>-1834.0788469209483</v>
      </c>
    </row>
    <row r="68" spans="3:23" x14ac:dyDescent="0.3">
      <c r="D68" s="3" t="s">
        <v>189</v>
      </c>
      <c r="G68" s="4" t="s">
        <v>48</v>
      </c>
      <c r="H68" s="40">
        <v>-757</v>
      </c>
      <c r="I68" s="40">
        <v>-925</v>
      </c>
      <c r="J68" s="40">
        <v>-1121</v>
      </c>
      <c r="K68" s="59">
        <f t="shared" ref="K68:S68" si="29">-K$50*K40</f>
        <v>-1268.6545694457452</v>
      </c>
      <c r="L68" s="59">
        <f t="shared" si="29"/>
        <v>-1415.0790158485372</v>
      </c>
      <c r="M68" s="59">
        <f t="shared" si="29"/>
        <v>-1560.1314157446661</v>
      </c>
      <c r="N68" s="59">
        <f t="shared" si="29"/>
        <v>-1703.0254801030433</v>
      </c>
      <c r="O68" s="59">
        <f t="shared" si="29"/>
        <v>-1842.8965221966509</v>
      </c>
      <c r="P68" s="59">
        <f t="shared" si="29"/>
        <v>-1978.7957362554055</v>
      </c>
      <c r="Q68" s="59">
        <f t="shared" si="29"/>
        <v>-2109.684115543801</v>
      </c>
      <c r="R68" s="59">
        <f t="shared" si="29"/>
        <v>-2234.4259890393323</v>
      </c>
      <c r="S68" s="59">
        <f t="shared" si="29"/>
        <v>-2351.7821547533931</v>
      </c>
    </row>
    <row r="69" spans="3:23" x14ac:dyDescent="0.3">
      <c r="D69" s="3" t="s">
        <v>190</v>
      </c>
      <c r="G69" s="4" t="s">
        <v>48</v>
      </c>
      <c r="H69" s="40">
        <v>-570</v>
      </c>
      <c r="I69" s="40">
        <v>-712</v>
      </c>
      <c r="J69" s="40">
        <v>-835</v>
      </c>
      <c r="K69" s="59">
        <f t="shared" ref="K69:S69" si="30">-K$50*K41</f>
        <v>-958.90354429254307</v>
      </c>
      <c r="L69" s="59">
        <f t="shared" si="30"/>
        <v>-1069.5774219644238</v>
      </c>
      <c r="M69" s="59">
        <f t="shared" si="30"/>
        <v>-1179.2142480307216</v>
      </c>
      <c r="N69" s="59">
        <f t="shared" si="30"/>
        <v>-1287.2197115127767</v>
      </c>
      <c r="O69" s="59">
        <f t="shared" si="30"/>
        <v>-1392.9402450903667</v>
      </c>
      <c r="P69" s="59">
        <f t="shared" si="30"/>
        <v>-1495.6587006621169</v>
      </c>
      <c r="Q69" s="59">
        <f t="shared" si="30"/>
        <v>-1594.5897523676906</v>
      </c>
      <c r="R69" s="59">
        <f t="shared" si="30"/>
        <v>-1688.8750113320871</v>
      </c>
      <c r="S69" s="59">
        <f t="shared" si="30"/>
        <v>-1777.5778355350217</v>
      </c>
    </row>
    <row r="70" spans="3:23" x14ac:dyDescent="0.3">
      <c r="D70" s="3" t="s">
        <v>191</v>
      </c>
      <c r="G70" s="4" t="s">
        <v>48</v>
      </c>
      <c r="H70" s="40">
        <v>-758</v>
      </c>
      <c r="I70" s="40">
        <v>-1059</v>
      </c>
      <c r="J70" s="40">
        <v>-1294</v>
      </c>
      <c r="K70" s="59">
        <f t="shared" ref="K70:S70" si="31">-K$50*K42</f>
        <v>-1396.1920173810443</v>
      </c>
      <c r="L70" s="59">
        <f t="shared" si="31"/>
        <v>-1557.3364676834872</v>
      </c>
      <c r="M70" s="59">
        <f t="shared" si="31"/>
        <v>-1716.9709400721501</v>
      </c>
      <c r="N70" s="59">
        <f t="shared" si="31"/>
        <v>-1874.2301001250407</v>
      </c>
      <c r="O70" s="59">
        <f t="shared" si="31"/>
        <v>-2028.1623344283319</v>
      </c>
      <c r="P70" s="59">
        <f t="shared" si="31"/>
        <v>-2177.7234540639829</v>
      </c>
      <c r="Q70" s="59">
        <f t="shared" si="31"/>
        <v>-2321.7700012736295</v>
      </c>
      <c r="R70" s="59">
        <f t="shared" si="31"/>
        <v>-2459.0521363813023</v>
      </c>
      <c r="S70" s="59">
        <f t="shared" si="31"/>
        <v>-2588.2060808092187</v>
      </c>
      <c r="U70" s="44"/>
      <c r="V70" s="15"/>
      <c r="W70" s="15"/>
    </row>
    <row r="71" spans="3:23" x14ac:dyDescent="0.3">
      <c r="D71" s="3" t="s">
        <v>192</v>
      </c>
      <c r="G71" s="4" t="s">
        <v>48</v>
      </c>
      <c r="H71" s="40">
        <v>-7618</v>
      </c>
      <c r="I71" s="40">
        <v>-9198</v>
      </c>
      <c r="J71" s="40">
        <v>-10009</v>
      </c>
      <c r="K71" s="59">
        <f>K225</f>
        <v>-10809.720000000001</v>
      </c>
      <c r="L71" s="59">
        <f t="shared" ref="L71:S71" si="32">L225</f>
        <v>-11674.497600000002</v>
      </c>
      <c r="M71" s="59">
        <f t="shared" si="32"/>
        <v>-12608.457408000004</v>
      </c>
      <c r="N71" s="59">
        <f t="shared" si="32"/>
        <v>-13617.134000640004</v>
      </c>
      <c r="O71" s="59">
        <f t="shared" si="32"/>
        <v>-14706.504720691206</v>
      </c>
      <c r="P71" s="59">
        <f t="shared" si="32"/>
        <v>-15883.025098346503</v>
      </c>
      <c r="Q71" s="59">
        <f t="shared" si="32"/>
        <v>-17153.667106214223</v>
      </c>
      <c r="R71" s="59">
        <f t="shared" si="32"/>
        <v>-18525.960474711363</v>
      </c>
      <c r="S71" s="59">
        <f t="shared" si="32"/>
        <v>-20008.037312688273</v>
      </c>
      <c r="U71" s="44"/>
      <c r="V71" s="15"/>
      <c r="W71" s="15"/>
    </row>
    <row r="72" spans="3:23" x14ac:dyDescent="0.3">
      <c r="D72" s="3" t="s">
        <v>193</v>
      </c>
      <c r="G72" s="4" t="s">
        <v>48</v>
      </c>
      <c r="H72" s="40">
        <v>-2247</v>
      </c>
      <c r="I72" s="40">
        <v>-2631</v>
      </c>
      <c r="J72" s="40">
        <v>-3129</v>
      </c>
      <c r="K72" s="59">
        <f>-K43*K$50</f>
        <v>-3637.9324403621999</v>
      </c>
      <c r="L72" s="59">
        <f>-L43*L$50</f>
        <v>-4057.8120959121843</v>
      </c>
      <c r="M72" s="59">
        <f>-M43*M$50</f>
        <v>-4473.7573373068199</v>
      </c>
      <c r="N72" s="59">
        <f>-N43*N$50</f>
        <v>-4883.5134401770074</v>
      </c>
      <c r="O72" s="59">
        <f>-O43*O$50</f>
        <v>-5284.6008707152569</v>
      </c>
      <c r="P72" s="59">
        <f>-P43*P$50</f>
        <v>-5674.2988794175481</v>
      </c>
      <c r="Q72" s="59">
        <f>-Q43*Q$50</f>
        <v>-6049.6280608571524</v>
      </c>
      <c r="R72" s="59">
        <f>-R43*R$50</f>
        <v>-6407.3318197765011</v>
      </c>
      <c r="S72" s="59">
        <f>-S43*S$50</f>
        <v>-6743.8566805305391</v>
      </c>
      <c r="U72" s="44"/>
      <c r="V72" s="15"/>
      <c r="W72" s="15"/>
    </row>
    <row r="73" spans="3:23" x14ac:dyDescent="0.3">
      <c r="H73" s="114"/>
      <c r="I73" s="114"/>
      <c r="J73" s="114"/>
      <c r="K73" s="67"/>
      <c r="L73" s="59"/>
      <c r="M73" s="67"/>
      <c r="N73" s="67"/>
      <c r="O73" s="59"/>
      <c r="P73" s="59"/>
      <c r="Q73" s="59"/>
      <c r="R73" s="59"/>
      <c r="S73" s="59"/>
    </row>
    <row r="74" spans="3:23" x14ac:dyDescent="0.3">
      <c r="D74" s="3" t="s">
        <v>180</v>
      </c>
      <c r="G74" s="4" t="s">
        <v>48</v>
      </c>
      <c r="H74" s="40">
        <v>291</v>
      </c>
      <c r="I74" s="40">
        <v>873</v>
      </c>
      <c r="J74" s="40">
        <v>1295</v>
      </c>
      <c r="K74" s="59">
        <f t="shared" ref="K74:S74" si="33">K45*K$50</f>
        <v>1052.4550466959688</v>
      </c>
      <c r="L74" s="59">
        <f t="shared" si="33"/>
        <v>1173.9263685890576</v>
      </c>
      <c r="M74" s="59">
        <f t="shared" si="33"/>
        <v>1294.2594631781842</v>
      </c>
      <c r="N74" s="59">
        <f t="shared" si="33"/>
        <v>1412.8020379647751</v>
      </c>
      <c r="O74" s="59">
        <f t="shared" si="33"/>
        <v>1528.8367630060877</v>
      </c>
      <c r="P74" s="59">
        <f t="shared" si="33"/>
        <v>1641.5765245793571</v>
      </c>
      <c r="Q74" s="59">
        <f t="shared" si="33"/>
        <v>1750.1593797186488</v>
      </c>
      <c r="R74" s="59">
        <f t="shared" si="33"/>
        <v>1853.6431943491659</v>
      </c>
      <c r="S74" s="59">
        <f t="shared" si="33"/>
        <v>1950.9999468027609</v>
      </c>
      <c r="U74" s="44"/>
    </row>
    <row r="75" spans="3:23" x14ac:dyDescent="0.3">
      <c r="D75" s="3" t="s">
        <v>181</v>
      </c>
      <c r="G75" s="4" t="s">
        <v>48</v>
      </c>
      <c r="H75" s="40">
        <v>49</v>
      </c>
      <c r="I75" s="40">
        <v>44</v>
      </c>
      <c r="J75" s="40">
        <v>58</v>
      </c>
      <c r="K75" s="59">
        <f t="shared" ref="K75:S75" si="34">K46*K$50</f>
        <v>69.328675399703116</v>
      </c>
      <c r="L75" s="59">
        <f t="shared" si="34"/>
        <v>77.330390886114358</v>
      </c>
      <c r="M75" s="59">
        <f t="shared" si="34"/>
        <v>85.257127596438963</v>
      </c>
      <c r="N75" s="59">
        <f t="shared" si="34"/>
        <v>93.065916878437349</v>
      </c>
      <c r="O75" s="59">
        <f t="shared" si="34"/>
        <v>100.70950584951751</v>
      </c>
      <c r="P75" s="59">
        <f t="shared" si="34"/>
        <v>108.13604473998188</v>
      </c>
      <c r="Q75" s="59">
        <f t="shared" si="34"/>
        <v>115.28875453177558</v>
      </c>
      <c r="R75" s="59">
        <f t="shared" si="34"/>
        <v>122.10557375475823</v>
      </c>
      <c r="S75" s="59">
        <f t="shared" si="34"/>
        <v>128.5187832405353</v>
      </c>
      <c r="U75" s="44"/>
    </row>
    <row r="76" spans="3:23" x14ac:dyDescent="0.3">
      <c r="H76" s="40"/>
      <c r="I76" s="40"/>
      <c r="J76" s="40"/>
      <c r="K76" s="59"/>
      <c r="L76" s="59"/>
      <c r="M76" s="59"/>
      <c r="N76" s="59"/>
      <c r="O76" s="59"/>
      <c r="P76" s="59"/>
      <c r="Q76" s="59"/>
      <c r="R76" s="59"/>
      <c r="S76" s="59"/>
      <c r="U76" s="44"/>
    </row>
    <row r="77" spans="3:23" x14ac:dyDescent="0.3">
      <c r="C77" s="73" t="s">
        <v>182</v>
      </c>
      <c r="D77" s="92"/>
      <c r="E77" s="93"/>
      <c r="F77" s="94"/>
      <c r="G77" s="49" t="s">
        <v>48</v>
      </c>
      <c r="H77" s="50">
        <f xml:space="preserve"> H58 + H61 + H74 + H75</f>
        <v>26923</v>
      </c>
      <c r="I77" s="50">
        <f xml:space="preserve"> I58 + I61 + I74 + I75</f>
        <v>32326</v>
      </c>
      <c r="J77" s="50">
        <f xml:space="preserve"> J58 + J61 + J74 + J75</f>
        <v>41060</v>
      </c>
      <c r="K77" s="50">
        <f>K58+K61+K74+K75</f>
        <v>46734.500676779549</v>
      </c>
      <c r="L77" s="50">
        <f>L58+L61+L74+L75</f>
        <v>52511.310833767413</v>
      </c>
      <c r="M77" s="50">
        <f>M58+M61+M74+M75</f>
        <v>58156.704862774401</v>
      </c>
      <c r="N77" s="50">
        <f>N58+N61+N74+N75</f>
        <v>63629.483325652611</v>
      </c>
      <c r="O77" s="50">
        <f>O58+O61+O74+O75</f>
        <v>68884.448019174306</v>
      </c>
      <c r="P77" s="50">
        <f>P58+P61+P74+P75</f>
        <v>73872.107042231961</v>
      </c>
      <c r="Q77" s="50">
        <f>Q58+Q61+Q74+Q75</f>
        <v>78538.360674197873</v>
      </c>
      <c r="R77" s="50">
        <f>R58+R61+R74+R75</f>
        <v>82824.1668932014</v>
      </c>
      <c r="S77" s="50">
        <f>S58+S61+S74+S75</f>
        <v>86665.185293498012</v>
      </c>
    </row>
    <row r="78" spans="3:23" x14ac:dyDescent="0.3">
      <c r="H78" s="15"/>
      <c r="I78" s="15"/>
      <c r="J78" s="15"/>
      <c r="L78" s="15"/>
      <c r="O78" s="15"/>
      <c r="P78" s="15"/>
      <c r="Q78" s="15"/>
      <c r="R78" s="15"/>
      <c r="S78" s="15"/>
    </row>
    <row r="79" spans="3:23" x14ac:dyDescent="0.3">
      <c r="C79" s="73" t="s">
        <v>46</v>
      </c>
      <c r="D79" s="92"/>
      <c r="E79" s="93"/>
      <c r="F79" s="94"/>
      <c r="G79" s="95" t="s">
        <v>48</v>
      </c>
      <c r="H79" s="50">
        <f>H77  - H71 -H72</f>
        <v>36788</v>
      </c>
      <c r="I79" s="50">
        <f>I77  - I71 -I72</f>
        <v>44155</v>
      </c>
      <c r="J79" s="50">
        <f>J77  - J71 -J72</f>
        <v>54198</v>
      </c>
      <c r="K79" s="50">
        <f>K77  - K71 -K72</f>
        <v>61182.153117141752</v>
      </c>
      <c r="L79" s="50">
        <f t="shared" ref="L79:S79" si="35">L77  - L71 -L72</f>
        <v>68243.620529679596</v>
      </c>
      <c r="M79" s="50">
        <f t="shared" si="35"/>
        <v>75238.919608081225</v>
      </c>
      <c r="N79" s="50">
        <f t="shared" si="35"/>
        <v>82130.130766469621</v>
      </c>
      <c r="O79" s="50">
        <f t="shared" si="35"/>
        <v>88875.55361058077</v>
      </c>
      <c r="P79" s="50">
        <f t="shared" si="35"/>
        <v>95429.431019996016</v>
      </c>
      <c r="Q79" s="50">
        <f t="shared" si="35"/>
        <v>101741.65584126925</v>
      </c>
      <c r="R79" s="50">
        <f t="shared" si="35"/>
        <v>107757.45918768927</v>
      </c>
      <c r="S79" s="50">
        <f t="shared" si="35"/>
        <v>113417.07928671683</v>
      </c>
    </row>
    <row r="80" spans="3:23" s="44" customFormat="1" ht="11.4" x14ac:dyDescent="0.3">
      <c r="D80" s="69" t="s">
        <v>47</v>
      </c>
      <c r="F80" s="46"/>
      <c r="G80" s="46" t="s">
        <v>24</v>
      </c>
      <c r="H80" s="47">
        <f xml:space="preserve"> H79 / H$50</f>
        <v>0.1935609468638686</v>
      </c>
      <c r="I80" s="47">
        <f xml:space="preserve"> I79 / I$50</f>
        <v>0.19158426366645984</v>
      </c>
      <c r="J80" s="47">
        <f xml:space="preserve"> J79 / J$50</f>
        <v>0.1952068116004668</v>
      </c>
      <c r="K80" s="47">
        <f>K79/K50</f>
        <v>0.19345067404359836</v>
      </c>
      <c r="L80" s="47">
        <f>L79/L50</f>
        <v>0.19345067404359839</v>
      </c>
      <c r="M80" s="47">
        <f>M79/M50</f>
        <v>0.19345067404359842</v>
      </c>
      <c r="N80" s="47">
        <f>N79/N50</f>
        <v>0.19345067404359842</v>
      </c>
      <c r="O80" s="47">
        <f>O79/O50</f>
        <v>0.19345067404359848</v>
      </c>
      <c r="P80" s="47">
        <f>P79/P50</f>
        <v>0.19345067404359839</v>
      </c>
      <c r="Q80" s="47">
        <f>Q79/Q50</f>
        <v>0.19345067404359839</v>
      </c>
      <c r="R80" s="47">
        <f>R79/R50</f>
        <v>0.19345067404359845</v>
      </c>
      <c r="S80" s="47">
        <f>S79/S50</f>
        <v>0.19345067404359842</v>
      </c>
    </row>
    <row r="81" spans="2:21" x14ac:dyDescent="0.3">
      <c r="H81" s="15"/>
      <c r="I81" s="15"/>
      <c r="J81" s="15"/>
      <c r="L81" s="15"/>
      <c r="O81" s="15"/>
      <c r="P81" s="15"/>
      <c r="Q81" s="15"/>
      <c r="R81" s="15"/>
      <c r="S81" s="15"/>
    </row>
    <row r="82" spans="2:21" x14ac:dyDescent="0.3">
      <c r="D82" s="3" t="s">
        <v>103</v>
      </c>
      <c r="F82" s="101">
        <v>0.1</v>
      </c>
      <c r="G82" s="4" t="s">
        <v>48</v>
      </c>
      <c r="H82" s="40">
        <v>376</v>
      </c>
      <c r="I82" s="40">
        <v>131</v>
      </c>
      <c r="J82" s="40">
        <v>328</v>
      </c>
      <c r="K82" s="59">
        <f>J82*(1+$F$82)</f>
        <v>360.8</v>
      </c>
      <c r="L82" s="59">
        <f t="shared" ref="L82:S82" si="36">K82*(1+$F$82)</f>
        <v>396.88000000000005</v>
      </c>
      <c r="M82" s="59">
        <f t="shared" si="36"/>
        <v>436.5680000000001</v>
      </c>
      <c r="N82" s="59">
        <f t="shared" si="36"/>
        <v>480.22480000000013</v>
      </c>
      <c r="O82" s="59">
        <f t="shared" si="36"/>
        <v>528.24728000000016</v>
      </c>
      <c r="P82" s="59">
        <f t="shared" si="36"/>
        <v>581.07200800000021</v>
      </c>
      <c r="Q82" s="59">
        <f t="shared" si="36"/>
        <v>639.17920880000031</v>
      </c>
      <c r="R82" s="59">
        <f t="shared" si="36"/>
        <v>703.09712968000042</v>
      </c>
      <c r="S82" s="59">
        <f t="shared" si="36"/>
        <v>773.40684264800052</v>
      </c>
      <c r="U82" s="44" t="s">
        <v>239</v>
      </c>
    </row>
    <row r="83" spans="2:21" x14ac:dyDescent="0.3">
      <c r="D83" s="3" t="s">
        <v>102</v>
      </c>
      <c r="F83" s="83"/>
      <c r="G83" s="4" t="s">
        <v>48</v>
      </c>
      <c r="H83" s="40">
        <v>-1125</v>
      </c>
      <c r="I83" s="40">
        <v>-1778</v>
      </c>
      <c r="J83" s="40">
        <v>-3329</v>
      </c>
      <c r="K83" s="59">
        <f>-K204-K219</f>
        <v>-3613.624548719984</v>
      </c>
      <c r="L83" s="59">
        <f t="shared" ref="L83:S83" si="37">-L204-L219</f>
        <v>-4249.8427155648615</v>
      </c>
      <c r="M83" s="59">
        <f t="shared" si="37"/>
        <v>-4977.1556441544071</v>
      </c>
      <c r="N83" s="59">
        <f t="shared" si="37"/>
        <v>-5778.8484687544715</v>
      </c>
      <c r="O83" s="59">
        <f t="shared" si="37"/>
        <v>-6640.8786474443923</v>
      </c>
      <c r="P83" s="59">
        <f t="shared" si="37"/>
        <v>-7547.2758361816759</v>
      </c>
      <c r="Q83" s="59">
        <f t="shared" si="37"/>
        <v>-8487.3119742500239</v>
      </c>
      <c r="R83" s="59">
        <f t="shared" si="37"/>
        <v>-9456.1118546041398</v>
      </c>
      <c r="S83" s="59">
        <f t="shared" si="37"/>
        <v>-10448.163177488996</v>
      </c>
      <c r="U83" s="44"/>
    </row>
    <row r="84" spans="2:21" x14ac:dyDescent="0.3">
      <c r="D84" s="3" t="s">
        <v>183</v>
      </c>
      <c r="G84" s="4" t="s">
        <v>48</v>
      </c>
      <c r="H84" s="40">
        <v>136</v>
      </c>
      <c r="I84" s="40">
        <v>-83</v>
      </c>
      <c r="J84" s="40">
        <v>-234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U84" s="44" t="s">
        <v>104</v>
      </c>
    </row>
    <row r="85" spans="2:21" x14ac:dyDescent="0.3">
      <c r="H85" s="15"/>
      <c r="I85" s="15"/>
      <c r="J85" s="15"/>
      <c r="L85" s="15"/>
      <c r="O85" s="15"/>
      <c r="P85" s="15"/>
      <c r="Q85" s="15"/>
      <c r="R85" s="15"/>
      <c r="S85" s="15"/>
    </row>
    <row r="86" spans="2:21" x14ac:dyDescent="0.3">
      <c r="C86" s="73" t="s">
        <v>105</v>
      </c>
      <c r="D86" s="73"/>
      <c r="E86" s="48"/>
      <c r="F86" s="51"/>
      <c r="G86" s="49" t="s">
        <v>48</v>
      </c>
      <c r="H86" s="50">
        <f>H77 + SUM(H82:H84)</f>
        <v>26310</v>
      </c>
      <c r="I86" s="50">
        <f>I77 + SUM(I82:I84)</f>
        <v>30596</v>
      </c>
      <c r="J86" s="50">
        <f>J77 + SUM(J82:J84)</f>
        <v>37825</v>
      </c>
      <c r="K86" s="50">
        <f>K77+K82+K83+K84</f>
        <v>43481.676128059567</v>
      </c>
      <c r="L86" s="50">
        <f t="shared" ref="L86:S86" si="38">L77+L82+L83+L84</f>
        <v>48658.34811820255</v>
      </c>
      <c r="M86" s="50">
        <f t="shared" si="38"/>
        <v>53616.117218619991</v>
      </c>
      <c r="N86" s="50">
        <f t="shared" si="38"/>
        <v>58330.859656898145</v>
      </c>
      <c r="O86" s="50">
        <f t="shared" si="38"/>
        <v>62771.816651729911</v>
      </c>
      <c r="P86" s="50">
        <f t="shared" si="38"/>
        <v>66905.903214050282</v>
      </c>
      <c r="Q86" s="50">
        <f t="shared" si="38"/>
        <v>70690.227908747853</v>
      </c>
      <c r="R86" s="50">
        <f t="shared" si="38"/>
        <v>74071.152168277258</v>
      </c>
      <c r="S86" s="50">
        <f t="shared" si="38"/>
        <v>76990.428958657008</v>
      </c>
    </row>
    <row r="87" spans="2:21" x14ac:dyDescent="0.3">
      <c r="D87" s="75"/>
      <c r="G87" s="43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</row>
    <row r="88" spans="2:21" x14ac:dyDescent="0.3">
      <c r="D88" s="3" t="s">
        <v>106</v>
      </c>
      <c r="F88" s="80">
        <v>0.2</v>
      </c>
      <c r="G88" s="4" t="s">
        <v>48</v>
      </c>
      <c r="H88" s="40">
        <v>-8735</v>
      </c>
      <c r="I88" s="40">
        <v>-9207</v>
      </c>
      <c r="J88" s="40">
        <v>-16414</v>
      </c>
      <c r="K88" s="59">
        <f>-K86*$F$88</f>
        <v>-8696.3352256119142</v>
      </c>
      <c r="L88" s="59">
        <f t="shared" ref="L88:S88" si="39">-L86*$F$88</f>
        <v>-9731.6696236405096</v>
      </c>
      <c r="M88" s="59">
        <f t="shared" si="39"/>
        <v>-10723.223443723999</v>
      </c>
      <c r="N88" s="59">
        <f t="shared" si="39"/>
        <v>-11666.171931379629</v>
      </c>
      <c r="O88" s="59">
        <f t="shared" si="39"/>
        <v>-12554.363330345983</v>
      </c>
      <c r="P88" s="59">
        <f t="shared" si="39"/>
        <v>-13381.180642810057</v>
      </c>
      <c r="Q88" s="59">
        <f t="shared" si="39"/>
        <v>-14138.045581749571</v>
      </c>
      <c r="R88" s="59">
        <f t="shared" si="39"/>
        <v>-14814.230433655452</v>
      </c>
      <c r="S88" s="59">
        <f t="shared" si="39"/>
        <v>-15398.085791731402</v>
      </c>
      <c r="U88" s="44" t="s">
        <v>124</v>
      </c>
    </row>
    <row r="89" spans="2:21" x14ac:dyDescent="0.3">
      <c r="F89" s="80"/>
      <c r="H89" s="40"/>
      <c r="I89" s="40"/>
      <c r="J89" s="40"/>
      <c r="K89" s="59"/>
      <c r="L89" s="59"/>
      <c r="M89" s="59"/>
      <c r="N89" s="59"/>
      <c r="O89" s="59"/>
      <c r="P89" s="59"/>
      <c r="Q89" s="59"/>
      <c r="R89" s="59"/>
      <c r="S89" s="59"/>
      <c r="U89" s="44"/>
    </row>
    <row r="90" spans="2:21" x14ac:dyDescent="0.3">
      <c r="C90" s="73" t="s">
        <v>107</v>
      </c>
      <c r="D90" s="73"/>
      <c r="E90" s="48"/>
      <c r="F90" s="51"/>
      <c r="G90" s="49" t="s">
        <v>48</v>
      </c>
      <c r="H90" s="50">
        <f xml:space="preserve"> H86 + H88</f>
        <v>17575</v>
      </c>
      <c r="I90" s="50">
        <f xml:space="preserve"> I86 + I88</f>
        <v>21389</v>
      </c>
      <c r="J90" s="50">
        <f xml:space="preserve"> J86 + J88</f>
        <v>21411</v>
      </c>
      <c r="K90" s="50">
        <f>K86+K88</f>
        <v>34785.340902447657</v>
      </c>
      <c r="L90" s="50">
        <f t="shared" ref="L90:S90" si="40">L86+L88</f>
        <v>38926.678494562038</v>
      </c>
      <c r="M90" s="50">
        <f t="shared" si="40"/>
        <v>42892.893774895994</v>
      </c>
      <c r="N90" s="50">
        <f t="shared" si="40"/>
        <v>46664.687725518517</v>
      </c>
      <c r="O90" s="50">
        <f t="shared" si="40"/>
        <v>50217.453321383931</v>
      </c>
      <c r="P90" s="50">
        <f t="shared" si="40"/>
        <v>53524.722571240229</v>
      </c>
      <c r="Q90" s="50">
        <f t="shared" si="40"/>
        <v>56552.182326998285</v>
      </c>
      <c r="R90" s="50">
        <f t="shared" si="40"/>
        <v>59256.921734621807</v>
      </c>
      <c r="S90" s="50">
        <f t="shared" si="40"/>
        <v>61592.34316692561</v>
      </c>
    </row>
    <row r="91" spans="2:21" s="44" customFormat="1" ht="11.4" x14ac:dyDescent="0.3">
      <c r="D91" s="69" t="s">
        <v>108</v>
      </c>
      <c r="F91" s="46"/>
      <c r="G91" s="46" t="s">
        <v>24</v>
      </c>
      <c r="H91" s="96">
        <f xml:space="preserve"> H90 / H$50</f>
        <v>9.2471285232480438E-2</v>
      </c>
      <c r="I91" s="96">
        <f t="shared" ref="I91:S91" si="41" xml:space="preserve"> I90 / I$50</f>
        <v>9.2804797091199404E-2</v>
      </c>
      <c r="J91" s="96">
        <f t="shared" si="41"/>
        <v>7.7116739421705494E-2</v>
      </c>
      <c r="K91" s="96">
        <f t="shared" si="41"/>
        <v>0.10998710083855287</v>
      </c>
      <c r="L91" s="96">
        <f t="shared" si="41"/>
        <v>0.11034573099439318</v>
      </c>
      <c r="M91" s="96">
        <f t="shared" si="41"/>
        <v>0.11028413559972046</v>
      </c>
      <c r="N91" s="96">
        <f t="shared" si="41"/>
        <v>0.10991478048664054</v>
      </c>
      <c r="O91" s="96">
        <f t="shared" si="41"/>
        <v>0.10930565041924112</v>
      </c>
      <c r="P91" s="96">
        <f t="shared" si="41"/>
        <v>0.10850314781016976</v>
      </c>
      <c r="Q91" s="96">
        <f t="shared" si="41"/>
        <v>0.10752781345393338</v>
      </c>
      <c r="R91" s="96">
        <f t="shared" si="41"/>
        <v>0.10638049131563941</v>
      </c>
      <c r="S91" s="96">
        <f t="shared" si="41"/>
        <v>0.10505543236081068</v>
      </c>
    </row>
    <row r="92" spans="2:21" x14ac:dyDescent="0.3">
      <c r="H92" s="15"/>
      <c r="I92" s="15"/>
      <c r="J92" s="15"/>
      <c r="L92" s="15"/>
      <c r="O92" s="15"/>
      <c r="P92" s="15"/>
      <c r="Q92" s="15"/>
      <c r="R92" s="15"/>
      <c r="S92" s="15"/>
    </row>
    <row r="93" spans="2:21" x14ac:dyDescent="0.3">
      <c r="B93" s="38" t="s">
        <v>145</v>
      </c>
      <c r="C93" s="13"/>
      <c r="D93" s="13"/>
      <c r="E93" s="13"/>
      <c r="F93" s="14"/>
      <c r="G93" s="14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 t="s">
        <v>3</v>
      </c>
    </row>
    <row r="94" spans="2:21" ht="5.0999999999999996" customHeight="1" x14ac:dyDescent="0.3"/>
    <row r="95" spans="2:21" x14ac:dyDescent="0.3">
      <c r="C95" s="42" t="s">
        <v>51</v>
      </c>
      <c r="H95" s="4"/>
      <c r="I95" s="4"/>
      <c r="J95" s="4"/>
      <c r="K95" s="4"/>
      <c r="L95" s="4"/>
      <c r="M95" s="4"/>
      <c r="N95" s="15"/>
      <c r="O95" s="15"/>
      <c r="P95" s="15"/>
      <c r="Q95" s="15"/>
      <c r="R95" s="15"/>
      <c r="S95" s="15"/>
    </row>
    <row r="96" spans="2:21" x14ac:dyDescent="0.3">
      <c r="D96" s="42" t="s">
        <v>52</v>
      </c>
      <c r="H96" s="62"/>
      <c r="I96" s="62"/>
      <c r="J96" s="62"/>
      <c r="K96" s="4"/>
      <c r="L96" s="4"/>
      <c r="M96" s="4"/>
      <c r="N96" s="15"/>
      <c r="O96" s="15"/>
      <c r="P96" s="15"/>
      <c r="Q96" s="15"/>
      <c r="R96" s="15"/>
      <c r="S96" s="15"/>
    </row>
    <row r="97" spans="3:21" x14ac:dyDescent="0.3">
      <c r="E97" s="3" t="s">
        <v>53</v>
      </c>
      <c r="G97" s="4" t="s">
        <v>48</v>
      </c>
      <c r="H97" s="40">
        <v>13308</v>
      </c>
      <c r="I97" s="40">
        <v>18142</v>
      </c>
      <c r="J97" s="40">
        <v>19692</v>
      </c>
      <c r="K97" s="59">
        <f>J97+K191+K72</f>
        <v>29635.542058546314</v>
      </c>
      <c r="L97" s="59">
        <f t="shared" ref="L97:S97" si="42">K97+L191+L72</f>
        <v>41445.830895358871</v>
      </c>
      <c r="M97" s="59">
        <f t="shared" si="42"/>
        <v>55092.378060135794</v>
      </c>
      <c r="N97" s="59">
        <f t="shared" si="42"/>
        <v>70475.069749690883</v>
      </c>
      <c r="O97" s="59">
        <f t="shared" si="42"/>
        <v>87422.798386965325</v>
      </c>
      <c r="P97" s="59">
        <f t="shared" si="42"/>
        <v>105695.89443472524</v>
      </c>
      <c r="Q97" s="59">
        <f t="shared" si="42"/>
        <v>125238.59960087098</v>
      </c>
      <c r="R97" s="59">
        <f t="shared" si="42"/>
        <v>145983.18748931339</v>
      </c>
      <c r="S97" s="59">
        <f t="shared" si="42"/>
        <v>167848.87989081143</v>
      </c>
      <c r="U97" s="44"/>
    </row>
    <row r="98" spans="3:21" x14ac:dyDescent="0.3">
      <c r="E98" s="3" t="s">
        <v>194</v>
      </c>
      <c r="G98" s="4" t="s">
        <v>48</v>
      </c>
      <c r="H98" s="40">
        <v>10278</v>
      </c>
      <c r="I98" s="40">
        <v>11354</v>
      </c>
      <c r="J98" s="40">
        <v>13388</v>
      </c>
      <c r="K98" s="59">
        <f>K226</f>
        <v>13741.501559787004</v>
      </c>
      <c r="L98" s="59">
        <f t="shared" ref="L98:S98" si="43">L226</f>
        <v>15412.450701714253</v>
      </c>
      <c r="M98" s="59">
        <f t="shared" si="43"/>
        <v>18531.391209529495</v>
      </c>
      <c r="N98" s="59">
        <f t="shared" si="43"/>
        <v>23252.263998217524</v>
      </c>
      <c r="O98" s="59">
        <f t="shared" si="43"/>
        <v>29729.787642869538</v>
      </c>
      <c r="P98" s="59">
        <f t="shared" si="43"/>
        <v>38116.079444727024</v>
      </c>
      <c r="Q98" s="59">
        <f t="shared" si="43"/>
        <v>48556.340132669429</v>
      </c>
      <c r="R98" s="59">
        <f t="shared" si="43"/>
        <v>61183.417051598386</v>
      </c>
      <c r="S98" s="59">
        <f t="shared" si="43"/>
        <v>76111.029095734062</v>
      </c>
    </row>
    <row r="99" spans="3:21" x14ac:dyDescent="0.3">
      <c r="E99" s="3" t="s">
        <v>195</v>
      </c>
      <c r="G99" s="4" t="s">
        <v>48</v>
      </c>
      <c r="H99" s="40">
        <v>73</v>
      </c>
      <c r="I99" s="40">
        <v>58</v>
      </c>
      <c r="J99" s="40">
        <v>70</v>
      </c>
      <c r="K99" s="59">
        <f>J99+K75-K153</f>
        <v>104.66433769985156</v>
      </c>
      <c r="L99" s="59">
        <f t="shared" ref="L99:S99" si="44">K99+L75-L153</f>
        <v>143.32953314290873</v>
      </c>
      <c r="M99" s="59">
        <f t="shared" si="44"/>
        <v>185.95809694112819</v>
      </c>
      <c r="N99" s="59">
        <f t="shared" si="44"/>
        <v>232.49105538034686</v>
      </c>
      <c r="O99" s="59">
        <f t="shared" si="44"/>
        <v>282.84580830510561</v>
      </c>
      <c r="P99" s="59">
        <f t="shared" si="44"/>
        <v>336.91383067509656</v>
      </c>
      <c r="Q99" s="59">
        <f t="shared" si="44"/>
        <v>394.55820794098435</v>
      </c>
      <c r="R99" s="59">
        <f t="shared" si="44"/>
        <v>455.61099481836351</v>
      </c>
      <c r="S99" s="59">
        <f t="shared" si="44"/>
        <v>519.87038643863116</v>
      </c>
    </row>
    <row r="100" spans="3:21" x14ac:dyDescent="0.3">
      <c r="E100" s="3" t="s">
        <v>45</v>
      </c>
      <c r="G100" s="4" t="s">
        <v>48</v>
      </c>
      <c r="H100" s="40">
        <v>3362</v>
      </c>
      <c r="I100" s="40">
        <v>1968</v>
      </c>
      <c r="J100" s="40">
        <v>9172</v>
      </c>
      <c r="K100" s="59">
        <f>J100</f>
        <v>9172</v>
      </c>
      <c r="L100" s="59">
        <f t="shared" ref="L100:S100" si="45">K100</f>
        <v>9172</v>
      </c>
      <c r="M100" s="59">
        <f t="shared" si="45"/>
        <v>9172</v>
      </c>
      <c r="N100" s="59">
        <f t="shared" si="45"/>
        <v>9172</v>
      </c>
      <c r="O100" s="59">
        <f t="shared" si="45"/>
        <v>9172</v>
      </c>
      <c r="P100" s="59">
        <f t="shared" si="45"/>
        <v>9172</v>
      </c>
      <c r="Q100" s="59">
        <f t="shared" si="45"/>
        <v>9172</v>
      </c>
      <c r="R100" s="59">
        <f t="shared" si="45"/>
        <v>9172</v>
      </c>
      <c r="S100" s="59">
        <f t="shared" si="45"/>
        <v>9172</v>
      </c>
      <c r="U100" s="44" t="s">
        <v>225</v>
      </c>
    </row>
    <row r="101" spans="3:21" s="42" customFormat="1" x14ac:dyDescent="0.3">
      <c r="D101" s="42" t="s">
        <v>54</v>
      </c>
      <c r="F101" s="43"/>
      <c r="G101" s="43" t="s">
        <v>48</v>
      </c>
      <c r="H101" s="53">
        <f t="shared" ref="H101:S101" si="46">SUM(H97:H100)</f>
        <v>27021</v>
      </c>
      <c r="I101" s="53">
        <f t="shared" si="46"/>
        <v>31522</v>
      </c>
      <c r="J101" s="53">
        <f t="shared" si="46"/>
        <v>42322</v>
      </c>
      <c r="K101" s="53">
        <f t="shared" si="46"/>
        <v>52653.707956033177</v>
      </c>
      <c r="L101" s="53">
        <f t="shared" si="46"/>
        <v>66173.611130216043</v>
      </c>
      <c r="M101" s="53">
        <f t="shared" si="46"/>
        <v>82981.727366606428</v>
      </c>
      <c r="N101" s="53">
        <f t="shared" si="46"/>
        <v>103131.82480328876</v>
      </c>
      <c r="O101" s="53">
        <f t="shared" si="46"/>
        <v>126607.43183813998</v>
      </c>
      <c r="P101" s="53">
        <f t="shared" si="46"/>
        <v>153320.88771012737</v>
      </c>
      <c r="Q101" s="53">
        <f t="shared" si="46"/>
        <v>183361.49794148139</v>
      </c>
      <c r="R101" s="53">
        <f t="shared" si="46"/>
        <v>216794.21553573015</v>
      </c>
      <c r="S101" s="53">
        <f t="shared" si="46"/>
        <v>253651.77937298411</v>
      </c>
    </row>
    <row r="102" spans="3:21" x14ac:dyDescent="0.3">
      <c r="D102" s="42" t="s">
        <v>55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 spans="3:21" x14ac:dyDescent="0.3">
      <c r="E103" s="3" t="s">
        <v>56</v>
      </c>
      <c r="G103" s="4" t="s">
        <v>48</v>
      </c>
      <c r="H103" s="40">
        <v>26991</v>
      </c>
      <c r="I103" s="40">
        <v>40566</v>
      </c>
      <c r="J103" s="40">
        <v>41020</v>
      </c>
      <c r="K103" s="59">
        <f>K174</f>
        <v>49079.810159906774</v>
      </c>
      <c r="L103" s="59">
        <f t="shared" ref="L103:S104" si="47">L174</f>
        <v>52652.983914196317</v>
      </c>
      <c r="M103" s="59">
        <f t="shared" si="47"/>
        <v>58050.167811992113</v>
      </c>
      <c r="N103" s="59">
        <f t="shared" si="47"/>
        <v>63367.043256989222</v>
      </c>
      <c r="O103" s="59">
        <f t="shared" si="47"/>
        <v>68571.436543112897</v>
      </c>
      <c r="P103" s="59">
        <f t="shared" si="47"/>
        <v>73628.0440199023</v>
      </c>
      <c r="Q103" s="59">
        <f t="shared" si="47"/>
        <v>78498.205793232395</v>
      </c>
      <c r="R103" s="59">
        <f t="shared" si="47"/>
        <v>83139.66523473819</v>
      </c>
      <c r="S103" s="59">
        <f t="shared" si="47"/>
        <v>87506.313482906102</v>
      </c>
    </row>
    <row r="104" spans="3:21" x14ac:dyDescent="0.3">
      <c r="E104" s="3" t="s">
        <v>90</v>
      </c>
      <c r="G104" s="4" t="s">
        <v>48</v>
      </c>
      <c r="H104" s="40">
        <v>902</v>
      </c>
      <c r="I104" s="40">
        <v>1843</v>
      </c>
      <c r="J104" s="40">
        <v>2531</v>
      </c>
      <c r="K104" s="59">
        <f>K175</f>
        <v>2304.3756522376707</v>
      </c>
      <c r="L104" s="59">
        <f t="shared" si="47"/>
        <v>3215.8491211954497</v>
      </c>
      <c r="M104" s="59">
        <f t="shared" si="47"/>
        <v>3545.4891112659307</v>
      </c>
      <c r="N104" s="59">
        <f t="shared" si="47"/>
        <v>3870.2241586691903</v>
      </c>
      <c r="O104" s="59">
        <f t="shared" si="47"/>
        <v>4188.0892126765812</v>
      </c>
      <c r="P104" s="59">
        <f t="shared" si="47"/>
        <v>4496.9280571561849</v>
      </c>
      <c r="Q104" s="59">
        <f t="shared" si="47"/>
        <v>4794.3794890515874</v>
      </c>
      <c r="R104" s="59">
        <f t="shared" si="47"/>
        <v>5077.8626301087897</v>
      </c>
      <c r="S104" s="59">
        <f t="shared" si="47"/>
        <v>5344.5613219497718</v>
      </c>
    </row>
    <row r="105" spans="3:21" x14ac:dyDescent="0.3">
      <c r="E105" s="3" t="s">
        <v>57</v>
      </c>
      <c r="G105" s="4" t="s">
        <v>48</v>
      </c>
      <c r="H105" s="40">
        <v>26375</v>
      </c>
      <c r="I105" s="40">
        <v>8779</v>
      </c>
      <c r="J105" s="40">
        <v>23584</v>
      </c>
      <c r="K105" s="59">
        <f>K170</f>
        <v>55397.634889477296</v>
      </c>
      <c r="L105" s="59">
        <f t="shared" ref="L105:S105" si="48">L170</f>
        <v>83749.942306304016</v>
      </c>
      <c r="M105" s="59">
        <f t="shared" si="48"/>
        <v>97109.991540640942</v>
      </c>
      <c r="N105" s="59">
        <f t="shared" si="48"/>
        <v>109661.76485597144</v>
      </c>
      <c r="O105" s="59">
        <f t="shared" si="48"/>
        <v>121174.01908424924</v>
      </c>
      <c r="P105" s="59">
        <f t="shared" si="48"/>
        <v>131455.96664353198</v>
      </c>
      <c r="Q105" s="59">
        <f t="shared" si="48"/>
        <v>140229.18879278051</v>
      </c>
      <c r="R105" s="59">
        <f t="shared" si="48"/>
        <v>147207.60527432774</v>
      </c>
      <c r="S105" s="59">
        <f t="shared" si="48"/>
        <v>152103.6577729139</v>
      </c>
    </row>
    <row r="106" spans="3:21" x14ac:dyDescent="0.3">
      <c r="E106" s="3" t="s">
        <v>45</v>
      </c>
      <c r="G106" s="4" t="s">
        <v>48</v>
      </c>
      <c r="H106" s="40">
        <v>818</v>
      </c>
      <c r="I106" s="40">
        <v>2219</v>
      </c>
      <c r="J106" s="40">
        <v>3569</v>
      </c>
      <c r="K106" s="59">
        <f>$J$106</f>
        <v>3569</v>
      </c>
      <c r="L106" s="59">
        <f t="shared" ref="L106:S106" si="49">$J$106</f>
        <v>3569</v>
      </c>
      <c r="M106" s="59">
        <f t="shared" si="49"/>
        <v>3569</v>
      </c>
      <c r="N106" s="59">
        <f t="shared" si="49"/>
        <v>3569</v>
      </c>
      <c r="O106" s="59">
        <f t="shared" si="49"/>
        <v>3569</v>
      </c>
      <c r="P106" s="59">
        <f t="shared" si="49"/>
        <v>3569</v>
      </c>
      <c r="Q106" s="59">
        <f t="shared" si="49"/>
        <v>3569</v>
      </c>
      <c r="R106" s="59">
        <f t="shared" si="49"/>
        <v>3569</v>
      </c>
      <c r="S106" s="59">
        <f t="shared" si="49"/>
        <v>3569</v>
      </c>
      <c r="U106" s="44" t="s">
        <v>225</v>
      </c>
    </row>
    <row r="107" spans="3:21" x14ac:dyDescent="0.3">
      <c r="D107" s="42" t="s">
        <v>58</v>
      </c>
      <c r="G107" s="43" t="s">
        <v>48</v>
      </c>
      <c r="H107" s="53">
        <f>SUM(H103:H106)</f>
        <v>55086</v>
      </c>
      <c r="I107" s="53">
        <f t="shared" ref="I107:S107" si="50">SUM(I103:I106)</f>
        <v>53407</v>
      </c>
      <c r="J107" s="53">
        <f t="shared" si="50"/>
        <v>70704</v>
      </c>
      <c r="K107" s="53">
        <f t="shared" si="50"/>
        <v>110350.82070162173</v>
      </c>
      <c r="L107" s="53">
        <f t="shared" si="50"/>
        <v>143187.77534169579</v>
      </c>
      <c r="M107" s="53">
        <f t="shared" si="50"/>
        <v>162274.64846389898</v>
      </c>
      <c r="N107" s="53">
        <f t="shared" si="50"/>
        <v>180468.03227162984</v>
      </c>
      <c r="O107" s="53">
        <f t="shared" si="50"/>
        <v>197502.54484003872</v>
      </c>
      <c r="P107" s="53">
        <f t="shared" si="50"/>
        <v>213149.93872059046</v>
      </c>
      <c r="Q107" s="53">
        <f t="shared" si="50"/>
        <v>227090.77407506449</v>
      </c>
      <c r="R107" s="53">
        <f t="shared" si="50"/>
        <v>238994.13313917472</v>
      </c>
      <c r="S107" s="53">
        <f t="shared" si="50"/>
        <v>248523.53257776977</v>
      </c>
    </row>
    <row r="108" spans="3:21" x14ac:dyDescent="0.3"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3:21" s="42" customFormat="1" x14ac:dyDescent="0.3">
      <c r="D109" s="42" t="s">
        <v>59</v>
      </c>
      <c r="F109" s="43"/>
      <c r="G109" s="43" t="s">
        <v>48</v>
      </c>
      <c r="H109" s="53">
        <f t="shared" ref="H109:S109" si="51" xml:space="preserve"> H101 + H107</f>
        <v>82107</v>
      </c>
      <c r="I109" s="53">
        <f t="shared" si="51"/>
        <v>84929</v>
      </c>
      <c r="J109" s="53">
        <f t="shared" si="51"/>
        <v>113026</v>
      </c>
      <c r="K109" s="53">
        <f t="shared" si="51"/>
        <v>163004.52865765491</v>
      </c>
      <c r="L109" s="53">
        <f t="shared" si="51"/>
        <v>209361.38647191183</v>
      </c>
      <c r="M109" s="53">
        <f t="shared" si="51"/>
        <v>245256.37583050539</v>
      </c>
      <c r="N109" s="53">
        <f t="shared" si="51"/>
        <v>283599.85707491857</v>
      </c>
      <c r="O109" s="53">
        <f t="shared" si="51"/>
        <v>324109.9766781787</v>
      </c>
      <c r="P109" s="53">
        <f t="shared" si="51"/>
        <v>366470.82643071783</v>
      </c>
      <c r="Q109" s="53">
        <f t="shared" si="51"/>
        <v>410452.27201654587</v>
      </c>
      <c r="R109" s="53">
        <f t="shared" si="51"/>
        <v>455788.3486749049</v>
      </c>
      <c r="S109" s="53">
        <f t="shared" si="51"/>
        <v>502175.31195075391</v>
      </c>
    </row>
    <row r="110" spans="3:21" x14ac:dyDescent="0.3"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3:21" x14ac:dyDescent="0.3">
      <c r="C111" s="42" t="s">
        <v>60</v>
      </c>
      <c r="H111" s="15"/>
      <c r="I111" s="15"/>
      <c r="J111" s="15"/>
      <c r="K111" s="15"/>
      <c r="L111" s="15"/>
      <c r="M111" s="121"/>
      <c r="N111" s="15"/>
      <c r="O111" s="15"/>
      <c r="P111" s="15"/>
      <c r="Q111" s="122"/>
      <c r="R111" s="15"/>
      <c r="S111" s="15"/>
    </row>
    <row r="112" spans="3:21" x14ac:dyDescent="0.3">
      <c r="D112" s="42" t="s">
        <v>61</v>
      </c>
      <c r="H112" s="15"/>
      <c r="I112" s="15"/>
      <c r="J112" s="15"/>
      <c r="K112" s="15"/>
      <c r="L112" s="15"/>
      <c r="M112" s="15"/>
      <c r="N112" s="15"/>
      <c r="O112" s="15"/>
      <c r="P112" s="15"/>
      <c r="R112" s="15"/>
      <c r="S112" s="15"/>
      <c r="U112" s="123"/>
    </row>
    <row r="113" spans="4:21" x14ac:dyDescent="0.3">
      <c r="E113" s="3" t="s">
        <v>198</v>
      </c>
      <c r="G113" s="4" t="s">
        <v>48</v>
      </c>
      <c r="H113" s="40">
        <v>1</v>
      </c>
      <c r="I113" s="40">
        <v>1</v>
      </c>
      <c r="J113" s="40">
        <v>1</v>
      </c>
      <c r="K113" s="59">
        <f>J113</f>
        <v>1</v>
      </c>
      <c r="L113" s="59">
        <f t="shared" ref="L113:S115" si="52">K113</f>
        <v>1</v>
      </c>
      <c r="M113" s="59">
        <f t="shared" si="52"/>
        <v>1</v>
      </c>
      <c r="N113" s="59">
        <f t="shared" si="52"/>
        <v>1</v>
      </c>
      <c r="O113" s="59">
        <f t="shared" si="52"/>
        <v>1</v>
      </c>
      <c r="P113" s="59">
        <f t="shared" si="52"/>
        <v>1</v>
      </c>
      <c r="Q113" s="59">
        <f t="shared" si="52"/>
        <v>1</v>
      </c>
      <c r="R113" s="59">
        <f t="shared" si="52"/>
        <v>1</v>
      </c>
      <c r="S113" s="59">
        <f t="shared" si="52"/>
        <v>1</v>
      </c>
      <c r="U113" s="44" t="s">
        <v>225</v>
      </c>
    </row>
    <row r="114" spans="4:21" x14ac:dyDescent="0.3">
      <c r="E114" s="3" t="s">
        <v>62</v>
      </c>
      <c r="G114" s="4" t="s">
        <v>48</v>
      </c>
      <c r="H114" s="40">
        <v>154</v>
      </c>
      <c r="I114" s="40">
        <v>154</v>
      </c>
      <c r="J114" s="40">
        <v>154</v>
      </c>
      <c r="K114" s="59">
        <f>J114</f>
        <v>154</v>
      </c>
      <c r="L114" s="59">
        <f t="shared" si="52"/>
        <v>154</v>
      </c>
      <c r="M114" s="59">
        <f t="shared" si="52"/>
        <v>154</v>
      </c>
      <c r="N114" s="59">
        <f t="shared" si="52"/>
        <v>154</v>
      </c>
      <c r="O114" s="59">
        <f t="shared" si="52"/>
        <v>154</v>
      </c>
      <c r="P114" s="59">
        <f t="shared" si="52"/>
        <v>154</v>
      </c>
      <c r="Q114" s="59">
        <f t="shared" si="52"/>
        <v>154</v>
      </c>
      <c r="R114" s="59">
        <f t="shared" si="52"/>
        <v>154</v>
      </c>
      <c r="S114" s="59">
        <f t="shared" si="52"/>
        <v>154</v>
      </c>
      <c r="U114" s="44" t="s">
        <v>225</v>
      </c>
    </row>
    <row r="115" spans="4:21" x14ac:dyDescent="0.3">
      <c r="E115" s="3" t="s">
        <v>63</v>
      </c>
      <c r="G115" s="4" t="s">
        <v>48</v>
      </c>
      <c r="H115" s="40">
        <v>0</v>
      </c>
      <c r="I115" s="40">
        <v>0</v>
      </c>
      <c r="J115" s="40">
        <v>-207</v>
      </c>
      <c r="K115" s="59">
        <f>J115</f>
        <v>-207</v>
      </c>
      <c r="L115" s="59">
        <f t="shared" si="52"/>
        <v>-207</v>
      </c>
      <c r="M115" s="59">
        <f t="shared" si="52"/>
        <v>-207</v>
      </c>
      <c r="N115" s="59">
        <f t="shared" si="52"/>
        <v>-207</v>
      </c>
      <c r="O115" s="59">
        <f t="shared" si="52"/>
        <v>-207</v>
      </c>
      <c r="P115" s="59">
        <f t="shared" si="52"/>
        <v>-207</v>
      </c>
      <c r="Q115" s="59">
        <f t="shared" si="52"/>
        <v>-207</v>
      </c>
      <c r="R115" s="59">
        <f t="shared" si="52"/>
        <v>-207</v>
      </c>
      <c r="S115" s="59">
        <f t="shared" si="52"/>
        <v>-207</v>
      </c>
      <c r="U115" s="44" t="s">
        <v>225</v>
      </c>
    </row>
    <row r="116" spans="4:21" x14ac:dyDescent="0.3">
      <c r="E116" s="3" t="s">
        <v>199</v>
      </c>
      <c r="G116" s="4" t="s">
        <v>48</v>
      </c>
      <c r="H116" s="40">
        <v>-3771</v>
      </c>
      <c r="I116" s="40">
        <v>7830</v>
      </c>
      <c r="J116" s="40">
        <v>29241</v>
      </c>
      <c r="K116" s="59">
        <f>J116+K90+K161</f>
        <v>64026.340902447657</v>
      </c>
      <c r="L116" s="59">
        <f t="shared" ref="L116:S116" si="53">K116+L90+L161</f>
        <v>102953.01939700969</v>
      </c>
      <c r="M116" s="59">
        <f t="shared" si="53"/>
        <v>126382.57392462465</v>
      </c>
      <c r="N116" s="59">
        <f t="shared" si="53"/>
        <v>151600.81476269517</v>
      </c>
      <c r="O116" s="59">
        <f t="shared" si="53"/>
        <v>178485.92422131982</v>
      </c>
      <c r="P116" s="59">
        <f t="shared" si="53"/>
        <v>206901.9201318681</v>
      </c>
      <c r="Q116" s="59">
        <f t="shared" si="53"/>
        <v>236691.74117324626</v>
      </c>
      <c r="R116" s="59">
        <f t="shared" si="53"/>
        <v>267672.57174436888</v>
      </c>
      <c r="S116" s="59">
        <f t="shared" si="53"/>
        <v>299636.4540439836</v>
      </c>
    </row>
    <row r="117" spans="4:21" x14ac:dyDescent="0.3">
      <c r="E117" s="3" t="s">
        <v>200</v>
      </c>
      <c r="G117" s="4" t="s">
        <v>48</v>
      </c>
      <c r="H117" s="40">
        <v>7</v>
      </c>
      <c r="I117" s="40">
        <v>-6</v>
      </c>
      <c r="J117" s="40">
        <v>78</v>
      </c>
      <c r="K117" s="59">
        <f>J117</f>
        <v>78</v>
      </c>
      <c r="L117" s="59">
        <f t="shared" ref="L117:S117" si="54">K117</f>
        <v>78</v>
      </c>
      <c r="M117" s="59">
        <f t="shared" si="54"/>
        <v>78</v>
      </c>
      <c r="N117" s="59">
        <f t="shared" si="54"/>
        <v>78</v>
      </c>
      <c r="O117" s="59">
        <f t="shared" si="54"/>
        <v>78</v>
      </c>
      <c r="P117" s="59">
        <f t="shared" si="54"/>
        <v>78</v>
      </c>
      <c r="Q117" s="59">
        <f t="shared" si="54"/>
        <v>78</v>
      </c>
      <c r="R117" s="59">
        <f t="shared" si="54"/>
        <v>78</v>
      </c>
      <c r="S117" s="59">
        <f t="shared" si="54"/>
        <v>78</v>
      </c>
      <c r="U117" s="44" t="s">
        <v>225</v>
      </c>
    </row>
    <row r="118" spans="4:21" s="42" customFormat="1" x14ac:dyDescent="0.3">
      <c r="D118" s="42" t="s">
        <v>64</v>
      </c>
      <c r="F118" s="43"/>
      <c r="G118" s="43" t="s">
        <v>48</v>
      </c>
      <c r="H118" s="53">
        <f>SUM(H113:H117)</f>
        <v>-3609</v>
      </c>
      <c r="I118" s="53">
        <f>SUM(I113:I117)</f>
        <v>7979</v>
      </c>
      <c r="J118" s="53">
        <f>SUM(J113:J117)</f>
        <v>29267</v>
      </c>
      <c r="K118" s="53">
        <f t="shared" ref="K118:S118" si="55">SUM(K113:K117)</f>
        <v>64052.340902447657</v>
      </c>
      <c r="L118" s="53">
        <f t="shared" si="55"/>
        <v>102979.01939700969</v>
      </c>
      <c r="M118" s="53">
        <f t="shared" si="55"/>
        <v>126408.57392462465</v>
      </c>
      <c r="N118" s="53">
        <f t="shared" si="55"/>
        <v>151626.81476269517</v>
      </c>
      <c r="O118" s="53">
        <f t="shared" si="55"/>
        <v>178511.92422131982</v>
      </c>
      <c r="P118" s="53">
        <f t="shared" si="55"/>
        <v>206927.9201318681</v>
      </c>
      <c r="Q118" s="53">
        <f t="shared" si="55"/>
        <v>236717.74117324626</v>
      </c>
      <c r="R118" s="53">
        <f t="shared" si="55"/>
        <v>267698.57174436888</v>
      </c>
      <c r="S118" s="53">
        <f t="shared" si="55"/>
        <v>299662.4540439836</v>
      </c>
    </row>
    <row r="119" spans="4:21" x14ac:dyDescent="0.3"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 spans="4:21" x14ac:dyDescent="0.3">
      <c r="D120" s="42" t="s">
        <v>236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4:21" x14ac:dyDescent="0.3">
      <c r="E121" s="3" t="s">
        <v>196</v>
      </c>
      <c r="G121" s="4" t="s">
        <v>48</v>
      </c>
      <c r="H121" s="40">
        <v>15680</v>
      </c>
      <c r="I121" s="40">
        <v>21523</v>
      </c>
      <c r="J121" s="40">
        <v>21928</v>
      </c>
      <c r="K121" s="59">
        <f>K202</f>
        <v>25429.537249454257</v>
      </c>
      <c r="L121" s="59">
        <f t="shared" ref="L121:S121" si="56">L202</f>
        <v>29549.157128398496</v>
      </c>
      <c r="M121" s="59">
        <f t="shared" si="56"/>
        <v>34176.935810180592</v>
      </c>
      <c r="N121" s="59">
        <f t="shared" si="56"/>
        <v>39183.498003519555</v>
      </c>
      <c r="O121" s="59">
        <f t="shared" si="56"/>
        <v>44422.138056986463</v>
      </c>
      <c r="P121" s="59">
        <f t="shared" si="56"/>
        <v>49732.514812027228</v>
      </c>
      <c r="Q121" s="59">
        <f t="shared" si="56"/>
        <v>55068.80420372459</v>
      </c>
      <c r="R121" s="59">
        <f t="shared" si="56"/>
        <v>60384.443427275364</v>
      </c>
      <c r="S121" s="59">
        <f t="shared" si="56"/>
        <v>65631.551454198328</v>
      </c>
    </row>
    <row r="122" spans="4:21" x14ac:dyDescent="0.3">
      <c r="E122" s="3" t="s">
        <v>197</v>
      </c>
      <c r="G122" s="4" t="s">
        <v>48</v>
      </c>
      <c r="H122" s="40">
        <v>10052</v>
      </c>
      <c r="I122" s="40">
        <v>10736</v>
      </c>
      <c r="J122" s="40">
        <v>12612</v>
      </c>
      <c r="K122" s="59">
        <f>K214</f>
        <v>15325.181559787005</v>
      </c>
      <c r="L122" s="59">
        <f t="shared" ref="L122:S122" si="57">L214</f>
        <v>18402.756656656962</v>
      </c>
      <c r="M122" s="59">
        <f t="shared" si="57"/>
        <v>21800.307612512039</v>
      </c>
      <c r="N122" s="59">
        <f t="shared" si="57"/>
        <v>25532.10830145701</v>
      </c>
      <c r="O122" s="59">
        <f t="shared" si="57"/>
        <v>29609.62410482403</v>
      </c>
      <c r="P122" s="59">
        <f t="shared" si="57"/>
        <v>34040.492854795921</v>
      </c>
      <c r="Q122" s="59">
        <f t="shared" si="57"/>
        <v>38827.290436239287</v>
      </c>
      <c r="R122" s="59">
        <f t="shared" si="57"/>
        <v>43966.043237599282</v>
      </c>
      <c r="S122" s="59">
        <f t="shared" si="57"/>
        <v>49444.443625231717</v>
      </c>
    </row>
    <row r="123" spans="4:21" x14ac:dyDescent="0.3">
      <c r="E123" s="3" t="s">
        <v>91</v>
      </c>
      <c r="G123" s="4" t="s">
        <v>48</v>
      </c>
      <c r="H123" s="40">
        <v>26751</v>
      </c>
      <c r="I123" s="40">
        <v>34463</v>
      </c>
      <c r="J123" s="40">
        <v>34476</v>
      </c>
      <c r="K123" s="59">
        <f>-K176</f>
        <v>43454.468945966</v>
      </c>
      <c r="L123" s="59">
        <f t="shared" ref="L123:S123" si="58">-L176</f>
        <v>43687.453289846686</v>
      </c>
      <c r="M123" s="59">
        <f t="shared" si="58"/>
        <v>48127.558483188128</v>
      </c>
      <c r="N123" s="59">
        <f t="shared" si="58"/>
        <v>52514.436007246877</v>
      </c>
      <c r="O123" s="59">
        <f t="shared" si="58"/>
        <v>56823.29029504834</v>
      </c>
      <c r="P123" s="59">
        <f t="shared" si="58"/>
        <v>61026.898632026554</v>
      </c>
      <c r="Q123" s="59">
        <f t="shared" si="58"/>
        <v>65095.436203335717</v>
      </c>
      <c r="R123" s="59">
        <f t="shared" si="58"/>
        <v>68996.290265661271</v>
      </c>
      <c r="S123" s="59">
        <f t="shared" si="58"/>
        <v>72693.86282734017</v>
      </c>
    </row>
    <row r="124" spans="4:21" x14ac:dyDescent="0.3">
      <c r="E124" s="3" t="s">
        <v>201</v>
      </c>
      <c r="G124" s="4" t="s">
        <v>48</v>
      </c>
      <c r="H124" s="40">
        <v>5423</v>
      </c>
      <c r="I124" s="40">
        <v>5087</v>
      </c>
      <c r="J124" s="40">
        <v>6005</v>
      </c>
      <c r="K124" s="59">
        <f>J124</f>
        <v>6005</v>
      </c>
      <c r="L124" s="59">
        <f t="shared" ref="L124:S125" si="59">K124</f>
        <v>6005</v>
      </c>
      <c r="M124" s="59">
        <f t="shared" si="59"/>
        <v>6005</v>
      </c>
      <c r="N124" s="59">
        <f t="shared" si="59"/>
        <v>6005</v>
      </c>
      <c r="O124" s="59">
        <f t="shared" si="59"/>
        <v>6005</v>
      </c>
      <c r="P124" s="59">
        <f t="shared" si="59"/>
        <v>6005</v>
      </c>
      <c r="Q124" s="59">
        <f t="shared" si="59"/>
        <v>6005</v>
      </c>
      <c r="R124" s="59">
        <f t="shared" si="59"/>
        <v>6005</v>
      </c>
      <c r="S124" s="59">
        <f t="shared" si="59"/>
        <v>6005</v>
      </c>
      <c r="U124" s="44" t="s">
        <v>225</v>
      </c>
    </row>
    <row r="125" spans="4:21" x14ac:dyDescent="0.3">
      <c r="E125" s="3" t="s">
        <v>45</v>
      </c>
      <c r="G125" s="4" t="s">
        <v>48</v>
      </c>
      <c r="H125" s="40">
        <v>27810</v>
      </c>
      <c r="I125" s="40">
        <v>5141</v>
      </c>
      <c r="J125" s="40">
        <v>8738</v>
      </c>
      <c r="K125" s="59">
        <f>J125</f>
        <v>8738</v>
      </c>
      <c r="L125" s="59">
        <f t="shared" si="59"/>
        <v>8738</v>
      </c>
      <c r="M125" s="59">
        <f t="shared" si="59"/>
        <v>8738</v>
      </c>
      <c r="N125" s="59">
        <f t="shared" si="59"/>
        <v>8738</v>
      </c>
      <c r="O125" s="59">
        <f t="shared" si="59"/>
        <v>8738</v>
      </c>
      <c r="P125" s="59">
        <f t="shared" si="59"/>
        <v>8738</v>
      </c>
      <c r="Q125" s="59">
        <f t="shared" si="59"/>
        <v>8738</v>
      </c>
      <c r="R125" s="59">
        <f t="shared" si="59"/>
        <v>8738</v>
      </c>
      <c r="S125" s="59">
        <f t="shared" si="59"/>
        <v>8738</v>
      </c>
      <c r="U125" s="44" t="s">
        <v>225</v>
      </c>
    </row>
    <row r="126" spans="4:21" s="42" customFormat="1" x14ac:dyDescent="0.3">
      <c r="D126" s="42" t="s">
        <v>237</v>
      </c>
      <c r="F126" s="43"/>
      <c r="G126" s="43" t="s">
        <v>48</v>
      </c>
      <c r="H126" s="53">
        <f>SUM(H121:H125)</f>
        <v>85716</v>
      </c>
      <c r="I126" s="53">
        <f t="shared" ref="I126:S126" si="60">SUM(I121:I125)</f>
        <v>76950</v>
      </c>
      <c r="J126" s="53">
        <f t="shared" si="60"/>
        <v>83759</v>
      </c>
      <c r="K126" s="53">
        <f t="shared" si="60"/>
        <v>98952.187755207269</v>
      </c>
      <c r="L126" s="53">
        <f t="shared" si="60"/>
        <v>106382.36707490214</v>
      </c>
      <c r="M126" s="53">
        <f t="shared" si="60"/>
        <v>118847.80190588075</v>
      </c>
      <c r="N126" s="53">
        <f t="shared" si="60"/>
        <v>131973.04231222344</v>
      </c>
      <c r="O126" s="53">
        <f t="shared" si="60"/>
        <v>145598.05245685883</v>
      </c>
      <c r="P126" s="53">
        <f t="shared" si="60"/>
        <v>159542.9062988497</v>
      </c>
      <c r="Q126" s="53">
        <f t="shared" si="60"/>
        <v>173734.53084329958</v>
      </c>
      <c r="R126" s="53">
        <f t="shared" si="60"/>
        <v>188089.77693053591</v>
      </c>
      <c r="S126" s="53">
        <f t="shared" si="60"/>
        <v>202512.85790677022</v>
      </c>
    </row>
    <row r="127" spans="4:21" x14ac:dyDescent="0.3">
      <c r="K127" s="3">
        <v>14769</v>
      </c>
    </row>
    <row r="128" spans="4:21" x14ac:dyDescent="0.3">
      <c r="D128" s="42" t="s">
        <v>65</v>
      </c>
      <c r="G128" s="43" t="s">
        <v>48</v>
      </c>
      <c r="H128" s="53">
        <f>H118+H126</f>
        <v>82107</v>
      </c>
      <c r="I128" s="53">
        <f t="shared" ref="I128:S128" si="61">I118+I126</f>
        <v>84929</v>
      </c>
      <c r="J128" s="53">
        <f t="shared" si="61"/>
        <v>113026</v>
      </c>
      <c r="K128" s="53">
        <f t="shared" si="61"/>
        <v>163004.52865765494</v>
      </c>
      <c r="L128" s="53">
        <f t="shared" si="61"/>
        <v>209361.38647191183</v>
      </c>
      <c r="M128" s="53">
        <f t="shared" si="61"/>
        <v>245256.37583050539</v>
      </c>
      <c r="N128" s="53">
        <f t="shared" si="61"/>
        <v>283599.85707491857</v>
      </c>
      <c r="O128" s="53">
        <f t="shared" si="61"/>
        <v>324109.97667817865</v>
      </c>
      <c r="P128" s="53">
        <f t="shared" si="61"/>
        <v>366470.82643071783</v>
      </c>
      <c r="Q128" s="53">
        <f t="shared" si="61"/>
        <v>410452.27201654587</v>
      </c>
      <c r="R128" s="53">
        <f t="shared" si="61"/>
        <v>455788.34867490479</v>
      </c>
      <c r="S128" s="53">
        <f t="shared" si="61"/>
        <v>502175.31195075379</v>
      </c>
    </row>
    <row r="129" spans="2:21" x14ac:dyDescent="0.3">
      <c r="E129" s="69" t="s">
        <v>74</v>
      </c>
      <c r="F129" s="3"/>
      <c r="G129" s="61"/>
      <c r="H129" s="65" t="b">
        <f t="shared" ref="H129:S129" si="62" xml:space="preserve"> H109 = H128</f>
        <v>1</v>
      </c>
      <c r="I129" s="65" t="b">
        <f t="shared" si="62"/>
        <v>1</v>
      </c>
      <c r="J129" s="65" t="b">
        <f t="shared" si="62"/>
        <v>1</v>
      </c>
      <c r="K129" s="65" t="b">
        <f t="shared" si="62"/>
        <v>1</v>
      </c>
      <c r="L129" s="65" t="b">
        <f t="shared" si="62"/>
        <v>1</v>
      </c>
      <c r="M129" s="65" t="b">
        <f t="shared" si="62"/>
        <v>1</v>
      </c>
      <c r="N129" s="65" t="b">
        <f t="shared" si="62"/>
        <v>1</v>
      </c>
      <c r="O129" s="65" t="b">
        <f t="shared" si="62"/>
        <v>1</v>
      </c>
      <c r="P129" s="65" t="b">
        <f t="shared" si="62"/>
        <v>1</v>
      </c>
      <c r="Q129" s="65" t="b">
        <f t="shared" si="62"/>
        <v>1</v>
      </c>
      <c r="R129" s="65" t="b">
        <f t="shared" si="62"/>
        <v>1</v>
      </c>
      <c r="S129" s="65" t="b">
        <f t="shared" si="62"/>
        <v>1</v>
      </c>
    </row>
    <row r="130" spans="2:21" x14ac:dyDescent="0.3">
      <c r="E130" s="69"/>
      <c r="F130" s="3"/>
      <c r="G130" s="61"/>
      <c r="H130" s="65"/>
      <c r="I130" s="65"/>
      <c r="J130" s="65"/>
      <c r="K130" s="110"/>
      <c r="L130" s="110"/>
      <c r="M130" s="110"/>
      <c r="N130" s="110"/>
      <c r="O130" s="110"/>
      <c r="P130" s="110"/>
      <c r="Q130" s="110"/>
      <c r="R130" s="110"/>
      <c r="S130" s="110"/>
    </row>
    <row r="131" spans="2:21" x14ac:dyDescent="0.3">
      <c r="B131" s="38" t="s">
        <v>202</v>
      </c>
      <c r="C131" s="13"/>
      <c r="D131" s="13"/>
      <c r="E131" s="13"/>
      <c r="F131" s="14"/>
      <c r="G131" s="14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2:21" ht="5.0999999999999996" customHeight="1" x14ac:dyDescent="0.3"/>
    <row r="133" spans="2:21" x14ac:dyDescent="0.3">
      <c r="C133" s="42" t="s">
        <v>203</v>
      </c>
      <c r="E133" s="69"/>
      <c r="F133" s="3"/>
      <c r="G133" s="61"/>
      <c r="H133" s="65"/>
      <c r="I133" s="65"/>
      <c r="J133" s="110"/>
      <c r="K133" s="65"/>
      <c r="L133" s="65"/>
      <c r="M133" s="65"/>
      <c r="N133" s="65"/>
      <c r="O133" s="65"/>
      <c r="P133" s="65"/>
      <c r="Q133" s="65"/>
      <c r="R133" s="65"/>
      <c r="S133" s="65"/>
    </row>
    <row r="134" spans="2:21" x14ac:dyDescent="0.3">
      <c r="D134" s="3" t="s">
        <v>204</v>
      </c>
      <c r="E134" s="69"/>
      <c r="F134" s="3"/>
      <c r="G134" s="4" t="s">
        <v>48</v>
      </c>
      <c r="H134" s="40">
        <v>26310</v>
      </c>
      <c r="I134" s="40">
        <v>30596</v>
      </c>
      <c r="J134" s="40">
        <v>37825</v>
      </c>
      <c r="K134" s="15">
        <f>K86</f>
        <v>43481.676128059567</v>
      </c>
      <c r="L134" s="15">
        <f t="shared" ref="L134:S134" si="63">L86</f>
        <v>48658.34811820255</v>
      </c>
      <c r="M134" s="15">
        <f t="shared" si="63"/>
        <v>53616.117218619991</v>
      </c>
      <c r="N134" s="15">
        <f t="shared" si="63"/>
        <v>58330.859656898145</v>
      </c>
      <c r="O134" s="15">
        <f t="shared" si="63"/>
        <v>62771.816651729911</v>
      </c>
      <c r="P134" s="15">
        <f t="shared" si="63"/>
        <v>66905.903214050282</v>
      </c>
      <c r="Q134" s="15">
        <f t="shared" si="63"/>
        <v>70690.227908747853</v>
      </c>
      <c r="R134" s="15">
        <f t="shared" si="63"/>
        <v>74071.152168277258</v>
      </c>
      <c r="S134" s="15">
        <f t="shared" si="63"/>
        <v>76990.428958657008</v>
      </c>
    </row>
    <row r="135" spans="2:21" x14ac:dyDescent="0.3">
      <c r="D135" s="3" t="s">
        <v>205</v>
      </c>
      <c r="E135" s="69"/>
      <c r="F135" s="3"/>
      <c r="G135" s="4" t="s">
        <v>48</v>
      </c>
      <c r="H135" s="40">
        <v>9865</v>
      </c>
      <c r="I135" s="40">
        <v>11829</v>
      </c>
      <c r="J135" s="40">
        <v>13138</v>
      </c>
      <c r="K135" s="15">
        <f>-SUM(K71:K72)</f>
        <v>14447.652440362201</v>
      </c>
      <c r="L135" s="15">
        <f t="shared" ref="L135:S135" si="64">-SUM(L71:L72)</f>
        <v>15732.309695912187</v>
      </c>
      <c r="M135" s="15">
        <f t="shared" si="64"/>
        <v>17082.214745306825</v>
      </c>
      <c r="N135" s="15">
        <f t="shared" si="64"/>
        <v>18500.647440817011</v>
      </c>
      <c r="O135" s="15">
        <f t="shared" si="64"/>
        <v>19991.105591406464</v>
      </c>
      <c r="P135" s="15">
        <f t="shared" si="64"/>
        <v>21557.323977764052</v>
      </c>
      <c r="Q135" s="15">
        <f t="shared" si="64"/>
        <v>23203.295167071374</v>
      </c>
      <c r="R135" s="15">
        <f t="shared" si="64"/>
        <v>24933.292294487863</v>
      </c>
      <c r="S135" s="15">
        <f t="shared" si="64"/>
        <v>26751.893993218811</v>
      </c>
    </row>
    <row r="136" spans="2:21" x14ac:dyDescent="0.3">
      <c r="D136" s="3" t="s">
        <v>181</v>
      </c>
      <c r="E136" s="69"/>
      <c r="F136" s="3"/>
      <c r="G136" s="4" t="s">
        <v>48</v>
      </c>
      <c r="H136" s="40">
        <v>-49</v>
      </c>
      <c r="I136" s="40">
        <v>-44</v>
      </c>
      <c r="J136" s="40">
        <v>-58</v>
      </c>
      <c r="K136" s="15">
        <f>-K75</f>
        <v>-69.328675399703116</v>
      </c>
      <c r="L136" s="15">
        <f t="shared" ref="L136:S136" si="65">-L75</f>
        <v>-77.330390886114358</v>
      </c>
      <c r="M136" s="15">
        <f t="shared" si="65"/>
        <v>-85.257127596438963</v>
      </c>
      <c r="N136" s="15">
        <f t="shared" si="65"/>
        <v>-93.065916878437349</v>
      </c>
      <c r="O136" s="15">
        <f t="shared" si="65"/>
        <v>-100.70950584951751</v>
      </c>
      <c r="P136" s="15">
        <f t="shared" si="65"/>
        <v>-108.13604473998188</v>
      </c>
      <c r="Q136" s="15">
        <f t="shared" si="65"/>
        <v>-115.28875453177558</v>
      </c>
      <c r="R136" s="15">
        <f t="shared" si="65"/>
        <v>-122.10557375475823</v>
      </c>
      <c r="S136" s="15">
        <f t="shared" si="65"/>
        <v>-128.5187832405353</v>
      </c>
    </row>
    <row r="137" spans="2:21" x14ac:dyDescent="0.3">
      <c r="D137" s="3" t="s">
        <v>103</v>
      </c>
      <c r="E137" s="69"/>
      <c r="F137" s="3"/>
      <c r="G137" s="4" t="s">
        <v>48</v>
      </c>
      <c r="H137" s="40">
        <v>-376</v>
      </c>
      <c r="I137" s="40">
        <v>-131</v>
      </c>
      <c r="J137" s="40">
        <v>-328</v>
      </c>
      <c r="K137" s="15">
        <f>-K82</f>
        <v>-360.8</v>
      </c>
      <c r="L137" s="15">
        <f t="shared" ref="L137:S137" si="66">-L82</f>
        <v>-396.88000000000005</v>
      </c>
      <c r="M137" s="15">
        <f t="shared" si="66"/>
        <v>-436.5680000000001</v>
      </c>
      <c r="N137" s="15">
        <f t="shared" si="66"/>
        <v>-480.22480000000013</v>
      </c>
      <c r="O137" s="15">
        <f t="shared" si="66"/>
        <v>-528.24728000000016</v>
      </c>
      <c r="P137" s="15">
        <f t="shared" si="66"/>
        <v>-581.07200800000021</v>
      </c>
      <c r="Q137" s="15">
        <f t="shared" si="66"/>
        <v>-639.17920880000031</v>
      </c>
      <c r="R137" s="15">
        <f t="shared" si="66"/>
        <v>-703.09712968000042</v>
      </c>
      <c r="S137" s="15">
        <f t="shared" si="66"/>
        <v>-773.40684264800052</v>
      </c>
    </row>
    <row r="138" spans="2:21" x14ac:dyDescent="0.3">
      <c r="D138" s="3" t="s">
        <v>102</v>
      </c>
      <c r="E138" s="69"/>
      <c r="F138" s="3"/>
      <c r="G138" s="4" t="s">
        <v>48</v>
      </c>
      <c r="H138" s="40">
        <v>1125</v>
      </c>
      <c r="I138" s="40">
        <v>1778</v>
      </c>
      <c r="J138" s="40">
        <v>3329</v>
      </c>
      <c r="K138" s="15">
        <f>-K83</f>
        <v>3613.624548719984</v>
      </c>
      <c r="L138" s="15">
        <f t="shared" ref="L138:S138" si="67">-L83</f>
        <v>4249.8427155648615</v>
      </c>
      <c r="M138" s="15">
        <f t="shared" si="67"/>
        <v>4977.1556441544071</v>
      </c>
      <c r="N138" s="15">
        <f t="shared" si="67"/>
        <v>5778.8484687544715</v>
      </c>
      <c r="O138" s="15">
        <f t="shared" si="67"/>
        <v>6640.8786474443923</v>
      </c>
      <c r="P138" s="15">
        <f t="shared" si="67"/>
        <v>7547.2758361816759</v>
      </c>
      <c r="Q138" s="15">
        <f t="shared" si="67"/>
        <v>8487.3119742500239</v>
      </c>
      <c r="R138" s="15">
        <f t="shared" si="67"/>
        <v>9456.1118546041398</v>
      </c>
      <c r="S138" s="15">
        <f t="shared" si="67"/>
        <v>10448.163177488996</v>
      </c>
    </row>
    <row r="139" spans="2:21" x14ac:dyDescent="0.3">
      <c r="D139" s="3" t="s">
        <v>45</v>
      </c>
      <c r="E139" s="69"/>
      <c r="F139" s="3"/>
      <c r="G139" s="4" t="s">
        <v>48</v>
      </c>
      <c r="H139" s="40">
        <v>1463</v>
      </c>
      <c r="I139" s="40">
        <v>2127</v>
      </c>
      <c r="J139" s="40">
        <v>2983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U139" s="44" t="s">
        <v>104</v>
      </c>
    </row>
    <row r="140" spans="2:21" s="42" customFormat="1" x14ac:dyDescent="0.3">
      <c r="C140" s="42" t="s">
        <v>206</v>
      </c>
      <c r="E140" s="107"/>
      <c r="G140" s="43" t="s">
        <v>48</v>
      </c>
      <c r="H140" s="79">
        <f t="shared" ref="H140:S140" si="68">SUM(H134:H139)</f>
        <v>38338</v>
      </c>
      <c r="I140" s="79">
        <f t="shared" si="68"/>
        <v>46155</v>
      </c>
      <c r="J140" s="79">
        <f>SUM(J134:J139)</f>
        <v>56889</v>
      </c>
      <c r="K140" s="79">
        <f t="shared" si="68"/>
        <v>61112.82444174205</v>
      </c>
      <c r="L140" s="79">
        <f t="shared" si="68"/>
        <v>68166.290138793483</v>
      </c>
      <c r="M140" s="79">
        <f t="shared" si="68"/>
        <v>75153.662480484782</v>
      </c>
      <c r="N140" s="79">
        <f t="shared" si="68"/>
        <v>82037.064849591203</v>
      </c>
      <c r="O140" s="79">
        <f t="shared" si="68"/>
        <v>88774.844104731252</v>
      </c>
      <c r="P140" s="79">
        <f t="shared" si="68"/>
        <v>95321.294975256038</v>
      </c>
      <c r="Q140" s="79">
        <f t="shared" si="68"/>
        <v>101626.36708673746</v>
      </c>
      <c r="R140" s="79">
        <f t="shared" si="68"/>
        <v>107635.35361393451</v>
      </c>
      <c r="S140" s="79">
        <f t="shared" si="68"/>
        <v>113288.56050347628</v>
      </c>
    </row>
    <row r="141" spans="2:21" x14ac:dyDescent="0.3">
      <c r="D141" s="3" t="s">
        <v>207</v>
      </c>
      <c r="E141" s="69"/>
      <c r="F141" s="3"/>
      <c r="G141" s="4" t="s">
        <v>48</v>
      </c>
      <c r="H141" s="40">
        <v>-9134</v>
      </c>
      <c r="I141" s="40">
        <v>-15624</v>
      </c>
      <c r="J141" s="40">
        <v>-3363</v>
      </c>
      <c r="K141" s="15">
        <f>-(K103-J103)</f>
        <v>-8059.8101599067741</v>
      </c>
      <c r="L141" s="15">
        <f t="shared" ref="L141:S141" si="69">-(L103-K103)</f>
        <v>-3573.1737542895426</v>
      </c>
      <c r="M141" s="15">
        <f t="shared" si="69"/>
        <v>-5397.1838977957959</v>
      </c>
      <c r="N141" s="15">
        <f t="shared" si="69"/>
        <v>-5316.8754449971093</v>
      </c>
      <c r="O141" s="15">
        <f t="shared" si="69"/>
        <v>-5204.3932861236754</v>
      </c>
      <c r="P141" s="15">
        <f t="shared" si="69"/>
        <v>-5056.6074767894024</v>
      </c>
      <c r="Q141" s="15">
        <f t="shared" si="69"/>
        <v>-4870.1617733300955</v>
      </c>
      <c r="R141" s="15">
        <f t="shared" si="69"/>
        <v>-4641.4594415057945</v>
      </c>
      <c r="S141" s="15">
        <f t="shared" si="69"/>
        <v>-4366.6482481679122</v>
      </c>
    </row>
    <row r="142" spans="2:21" x14ac:dyDescent="0.3">
      <c r="D142" s="3" t="s">
        <v>226</v>
      </c>
      <c r="E142" s="69"/>
      <c r="F142" s="3"/>
      <c r="G142" s="4" t="s">
        <v>48</v>
      </c>
      <c r="H142" s="40">
        <v>29</v>
      </c>
      <c r="I142" s="40">
        <v>-978</v>
      </c>
      <c r="J142" s="40">
        <v>-747</v>
      </c>
      <c r="K142" s="15">
        <f>-(K104-J104)</f>
        <v>226.62434776232931</v>
      </c>
      <c r="L142" s="15">
        <f t="shared" ref="L142:S142" si="70">-(L104-K104)</f>
        <v>-911.473468957779</v>
      </c>
      <c r="M142" s="15">
        <f t="shared" si="70"/>
        <v>-329.63999007048096</v>
      </c>
      <c r="N142" s="15">
        <f t="shared" si="70"/>
        <v>-324.73504740325961</v>
      </c>
      <c r="O142" s="15">
        <f t="shared" si="70"/>
        <v>-317.86505400739088</v>
      </c>
      <c r="P142" s="15">
        <f t="shared" si="70"/>
        <v>-308.83884447960372</v>
      </c>
      <c r="Q142" s="15">
        <f t="shared" si="70"/>
        <v>-297.45143189540249</v>
      </c>
      <c r="R142" s="15">
        <f t="shared" si="70"/>
        <v>-283.48314105720237</v>
      </c>
      <c r="S142" s="15">
        <f t="shared" si="70"/>
        <v>-266.69869184098206</v>
      </c>
    </row>
    <row r="143" spans="2:21" x14ac:dyDescent="0.3">
      <c r="D143" s="3" t="s">
        <v>238</v>
      </c>
      <c r="E143" s="69"/>
      <c r="F143" s="3"/>
      <c r="G143" s="4" t="s">
        <v>48</v>
      </c>
      <c r="H143" s="40">
        <v>5872</v>
      </c>
      <c r="I143" s="40">
        <v>7518</v>
      </c>
      <c r="J143" s="40">
        <v>12</v>
      </c>
      <c r="K143" s="15">
        <f>-K176+J176</f>
        <v>8978.4689459660003</v>
      </c>
      <c r="L143" s="15">
        <f t="shared" ref="L143:S143" si="71">-L176+K176</f>
        <v>232.98434388068563</v>
      </c>
      <c r="M143" s="15">
        <f t="shared" si="71"/>
        <v>4440.1051933414419</v>
      </c>
      <c r="N143" s="15">
        <f t="shared" si="71"/>
        <v>4386.8775240587493</v>
      </c>
      <c r="O143" s="15">
        <f t="shared" si="71"/>
        <v>4308.8542878014632</v>
      </c>
      <c r="P143" s="15">
        <f t="shared" si="71"/>
        <v>4203.6083369782136</v>
      </c>
      <c r="Q143" s="15">
        <f t="shared" si="71"/>
        <v>4068.5375713091635</v>
      </c>
      <c r="R143" s="15">
        <f t="shared" si="71"/>
        <v>3900.854062325554</v>
      </c>
      <c r="S143" s="15">
        <f t="shared" si="71"/>
        <v>3697.5725616788986</v>
      </c>
    </row>
    <row r="144" spans="2:21" x14ac:dyDescent="0.3">
      <c r="D144" s="3" t="s">
        <v>45</v>
      </c>
      <c r="E144" s="69"/>
      <c r="F144" s="3"/>
      <c r="G144" s="4" t="s">
        <v>48</v>
      </c>
      <c r="H144" s="40">
        <v>1685</v>
      </c>
      <c r="I144" s="40">
        <v>-562</v>
      </c>
      <c r="J144" s="40">
        <v>2410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0">
        <v>0</v>
      </c>
      <c r="U144" s="44" t="s">
        <v>104</v>
      </c>
    </row>
    <row r="145" spans="3:21" s="42" customFormat="1" x14ac:dyDescent="0.3">
      <c r="C145" s="42" t="s">
        <v>208</v>
      </c>
      <c r="E145" s="107"/>
      <c r="G145" s="43" t="s">
        <v>48</v>
      </c>
      <c r="H145" s="53">
        <f>SUM(H140:H144)</f>
        <v>36790</v>
      </c>
      <c r="I145" s="53">
        <f>SUM(I140:I144)</f>
        <v>36509</v>
      </c>
      <c r="J145" s="53">
        <f>SUM(J140:J144)</f>
        <v>55201</v>
      </c>
      <c r="K145" s="53">
        <f>SUM(K140:K144)</f>
        <v>62258.107575563605</v>
      </c>
      <c r="L145" s="53">
        <f t="shared" ref="L145:S145" si="72">SUM(L140:L144)</f>
        <v>63914.627259426845</v>
      </c>
      <c r="M145" s="53">
        <f t="shared" si="72"/>
        <v>73866.943785959942</v>
      </c>
      <c r="N145" s="53">
        <f t="shared" si="72"/>
        <v>80782.331881249585</v>
      </c>
      <c r="O145" s="53">
        <f t="shared" si="72"/>
        <v>87561.440052401653</v>
      </c>
      <c r="P145" s="53">
        <f t="shared" si="72"/>
        <v>94159.456990965249</v>
      </c>
      <c r="Q145" s="53">
        <f t="shared" si="72"/>
        <v>100527.29145282113</v>
      </c>
      <c r="R145" s="53">
        <f t="shared" si="72"/>
        <v>106611.26509369706</v>
      </c>
      <c r="S145" s="53">
        <f t="shared" si="72"/>
        <v>112352.78612514629</v>
      </c>
    </row>
    <row r="146" spans="3:21" x14ac:dyDescent="0.3">
      <c r="D146" s="3" t="s">
        <v>209</v>
      </c>
      <c r="E146" s="69"/>
      <c r="F146" s="3"/>
      <c r="G146" s="4" t="s">
        <v>48</v>
      </c>
      <c r="H146" s="40">
        <v>-1207</v>
      </c>
      <c r="I146" s="40">
        <v>-1907</v>
      </c>
      <c r="J146" s="40">
        <v>-3154</v>
      </c>
      <c r="K146" s="15">
        <f>-K204</f>
        <v>-2604.6645487199839</v>
      </c>
      <c r="L146" s="15">
        <f t="shared" ref="L146:S146" si="73">-L204</f>
        <v>-3023.8281907819014</v>
      </c>
      <c r="M146" s="15">
        <f t="shared" si="73"/>
        <v>-3504.93511162185</v>
      </c>
      <c r="N146" s="15">
        <f t="shared" si="73"/>
        <v>-4034.8238597535083</v>
      </c>
      <c r="O146" s="15">
        <f t="shared" si="73"/>
        <v>-4598.3099833278311</v>
      </c>
      <c r="P146" s="15">
        <f t="shared" si="73"/>
        <v>-5178.505907795753</v>
      </c>
      <c r="Q146" s="15">
        <f t="shared" si="73"/>
        <v>-5764.0725458663501</v>
      </c>
      <c r="R146" s="15">
        <f t="shared" si="73"/>
        <v>-6349.9286197049969</v>
      </c>
      <c r="S146" s="15">
        <f t="shared" si="73"/>
        <v>-6930.8797184810528</v>
      </c>
    </row>
    <row r="147" spans="3:21" x14ac:dyDescent="0.3">
      <c r="D147" s="3" t="s">
        <v>210</v>
      </c>
      <c r="E147" s="69"/>
      <c r="F147" s="3"/>
      <c r="G147" s="4" t="s">
        <v>48</v>
      </c>
      <c r="H147" s="40">
        <v>374</v>
      </c>
      <c r="I147" s="40">
        <v>131</v>
      </c>
      <c r="J147" s="40">
        <v>302</v>
      </c>
      <c r="K147" s="15">
        <f>K82</f>
        <v>360.8</v>
      </c>
      <c r="L147" s="15">
        <f t="shared" ref="L147:S147" si="74">L82</f>
        <v>396.88000000000005</v>
      </c>
      <c r="M147" s="15">
        <f t="shared" si="74"/>
        <v>436.5680000000001</v>
      </c>
      <c r="N147" s="15">
        <f t="shared" si="74"/>
        <v>480.22480000000013</v>
      </c>
      <c r="O147" s="15">
        <f t="shared" si="74"/>
        <v>528.24728000000016</v>
      </c>
      <c r="P147" s="15">
        <f t="shared" si="74"/>
        <v>581.07200800000021</v>
      </c>
      <c r="Q147" s="15">
        <f t="shared" si="74"/>
        <v>639.17920880000031</v>
      </c>
      <c r="R147" s="15">
        <f t="shared" si="74"/>
        <v>703.09712968000042</v>
      </c>
      <c r="S147" s="15">
        <f t="shared" si="74"/>
        <v>773.40684264800052</v>
      </c>
    </row>
    <row r="148" spans="3:21" x14ac:dyDescent="0.3">
      <c r="D148" s="3" t="s">
        <v>211</v>
      </c>
      <c r="E148" s="69"/>
      <c r="F148" s="3"/>
      <c r="G148" s="4" t="s">
        <v>48</v>
      </c>
      <c r="H148" s="40">
        <v>-5687</v>
      </c>
      <c r="I148" s="40">
        <v>-9396</v>
      </c>
      <c r="J148" s="40">
        <v>-15567</v>
      </c>
      <c r="K148" s="15">
        <f>K88</f>
        <v>-8696.3352256119142</v>
      </c>
      <c r="L148" s="15">
        <f t="shared" ref="L148:S148" si="75">L88</f>
        <v>-9731.6696236405096</v>
      </c>
      <c r="M148" s="15">
        <f t="shared" si="75"/>
        <v>-10723.223443723999</v>
      </c>
      <c r="N148" s="15">
        <f t="shared" si="75"/>
        <v>-11666.171931379629</v>
      </c>
      <c r="O148" s="15">
        <f t="shared" si="75"/>
        <v>-12554.363330345983</v>
      </c>
      <c r="P148" s="15">
        <f t="shared" si="75"/>
        <v>-13381.180642810057</v>
      </c>
      <c r="Q148" s="15">
        <f>Q88</f>
        <v>-14138.045581749571</v>
      </c>
      <c r="R148" s="15">
        <f t="shared" si="75"/>
        <v>-14814.230433655452</v>
      </c>
      <c r="S148" s="15">
        <f t="shared" si="75"/>
        <v>-15398.085791731402</v>
      </c>
    </row>
    <row r="149" spans="3:21" s="42" customFormat="1" x14ac:dyDescent="0.3">
      <c r="C149" s="42" t="s">
        <v>212</v>
      </c>
      <c r="E149" s="107"/>
      <c r="G149" s="43" t="s">
        <v>48</v>
      </c>
      <c r="H149" s="53">
        <f t="shared" ref="H149:S149" si="76">SUM(H145:H148)</f>
        <v>30270</v>
      </c>
      <c r="I149" s="53">
        <f t="shared" si="76"/>
        <v>25337</v>
      </c>
      <c r="J149" s="53">
        <f t="shared" si="76"/>
        <v>36782</v>
      </c>
      <c r="K149" s="53">
        <f>SUM(K145:K148)</f>
        <v>51317.907801231704</v>
      </c>
      <c r="L149" s="53">
        <f t="shared" si="76"/>
        <v>51556.009445004427</v>
      </c>
      <c r="M149" s="53">
        <f t="shared" si="76"/>
        <v>60075.353230614099</v>
      </c>
      <c r="N149" s="53">
        <f t="shared" si="76"/>
        <v>65561.560890116438</v>
      </c>
      <c r="O149" s="53">
        <f t="shared" si="76"/>
        <v>70937.014018727845</v>
      </c>
      <c r="P149" s="53">
        <f t="shared" si="76"/>
        <v>76180.842448359443</v>
      </c>
      <c r="Q149" s="53">
        <f t="shared" si="76"/>
        <v>81264.352534005215</v>
      </c>
      <c r="R149" s="53">
        <f t="shared" si="76"/>
        <v>86150.203170016612</v>
      </c>
      <c r="S149" s="53">
        <f t="shared" si="76"/>
        <v>90797.22745758183</v>
      </c>
    </row>
    <row r="150" spans="3:21" x14ac:dyDescent="0.3">
      <c r="E150" s="69"/>
      <c r="F150" s="3"/>
      <c r="G150" s="61"/>
      <c r="H150" s="65"/>
      <c r="I150" s="65"/>
      <c r="J150" s="65"/>
      <c r="K150" s="15"/>
      <c r="L150" s="15"/>
      <c r="M150" s="15"/>
      <c r="N150" s="15"/>
      <c r="O150" s="15"/>
      <c r="P150" s="15"/>
      <c r="Q150" s="15"/>
      <c r="R150" s="15"/>
      <c r="S150" s="15"/>
    </row>
    <row r="151" spans="3:21" s="42" customFormat="1" x14ac:dyDescent="0.3">
      <c r="C151" s="42" t="s">
        <v>213</v>
      </c>
      <c r="E151" s="107"/>
      <c r="G151" s="108"/>
      <c r="H151" s="111"/>
      <c r="I151" s="111"/>
      <c r="J151" s="111"/>
      <c r="K151" s="15"/>
      <c r="L151" s="15"/>
      <c r="M151" s="15"/>
      <c r="N151" s="15"/>
      <c r="O151" s="15"/>
      <c r="P151" s="15"/>
      <c r="Q151" s="15"/>
      <c r="R151" s="15"/>
      <c r="S151" s="15"/>
    </row>
    <row r="152" spans="3:21" x14ac:dyDescent="0.3">
      <c r="D152" s="3" t="s">
        <v>214</v>
      </c>
      <c r="E152" s="69"/>
      <c r="F152" s="3"/>
      <c r="G152" s="4" t="s">
        <v>48</v>
      </c>
      <c r="H152" s="40">
        <v>-5674</v>
      </c>
      <c r="I152" s="40">
        <v>-5706</v>
      </c>
      <c r="J152" s="40">
        <v>-11210</v>
      </c>
      <c r="K152" s="15">
        <f>-K191</f>
        <v>-13581.474498908514</v>
      </c>
      <c r="L152" s="15">
        <f t="shared" ref="L152:S152" si="77">-L191</f>
        <v>-15868.100932724748</v>
      </c>
      <c r="M152" s="15">
        <f t="shared" si="77"/>
        <v>-18120.304502083749</v>
      </c>
      <c r="N152" s="15">
        <f t="shared" si="77"/>
        <v>-20266.205129732094</v>
      </c>
      <c r="O152" s="15">
        <f t="shared" si="77"/>
        <v>-22232.329507989685</v>
      </c>
      <c r="P152" s="15">
        <f t="shared" si="77"/>
        <v>-23947.394927177462</v>
      </c>
      <c r="Q152" s="15">
        <f t="shared" si="77"/>
        <v>-25592.333227002891</v>
      </c>
      <c r="R152" s="15">
        <f t="shared" si="77"/>
        <v>-27151.919708218909</v>
      </c>
      <c r="S152" s="15">
        <f t="shared" si="77"/>
        <v>-28609.549082028556</v>
      </c>
    </row>
    <row r="153" spans="3:21" x14ac:dyDescent="0.3">
      <c r="D153" s="3" t="s">
        <v>215</v>
      </c>
      <c r="E153" s="69"/>
      <c r="F153" s="80">
        <v>0.5</v>
      </c>
      <c r="G153" s="4" t="s">
        <v>48</v>
      </c>
      <c r="H153" s="40">
        <v>58</v>
      </c>
      <c r="I153" s="40">
        <v>60</v>
      </c>
      <c r="J153" s="40">
        <v>45</v>
      </c>
      <c r="K153" s="15">
        <f t="shared" ref="K153:S153" si="78">$F$153*K75</f>
        <v>34.664337699851558</v>
      </c>
      <c r="L153" s="15">
        <f t="shared" si="78"/>
        <v>38.665195443057179</v>
      </c>
      <c r="M153" s="15">
        <f t="shared" si="78"/>
        <v>42.628563798219481</v>
      </c>
      <c r="N153" s="15">
        <f t="shared" si="78"/>
        <v>46.532958439218675</v>
      </c>
      <c r="O153" s="15">
        <f t="shared" si="78"/>
        <v>50.354752924758756</v>
      </c>
      <c r="P153" s="15">
        <f t="shared" si="78"/>
        <v>54.068022369990942</v>
      </c>
      <c r="Q153" s="15">
        <f t="shared" si="78"/>
        <v>57.64437726588779</v>
      </c>
      <c r="R153" s="15">
        <f t="shared" si="78"/>
        <v>61.052786877379113</v>
      </c>
      <c r="S153" s="15">
        <f t="shared" si="78"/>
        <v>64.25939162026765</v>
      </c>
      <c r="U153" s="44" t="s">
        <v>260</v>
      </c>
    </row>
    <row r="154" spans="3:21" x14ac:dyDescent="0.3">
      <c r="D154" s="3" t="s">
        <v>45</v>
      </c>
      <c r="E154" s="69"/>
      <c r="F154" s="3"/>
      <c r="G154" s="4" t="s">
        <v>48</v>
      </c>
      <c r="H154" s="40">
        <v>-409</v>
      </c>
      <c r="I154" s="40">
        <v>-513</v>
      </c>
      <c r="J154" s="40">
        <v>-715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U154" s="44" t="s">
        <v>104</v>
      </c>
    </row>
    <row r="155" spans="3:21" s="42" customFormat="1" x14ac:dyDescent="0.3">
      <c r="C155" s="42" t="s">
        <v>216</v>
      </c>
      <c r="E155" s="107"/>
      <c r="G155" s="43" t="s">
        <v>48</v>
      </c>
      <c r="H155" s="53">
        <f t="shared" ref="H155:S155" si="79">SUM(H152:H154)</f>
        <v>-6025</v>
      </c>
      <c r="I155" s="53">
        <f t="shared" si="79"/>
        <v>-6159</v>
      </c>
      <c r="J155" s="53">
        <f t="shared" si="79"/>
        <v>-11880</v>
      </c>
      <c r="K155" s="53">
        <f t="shared" si="79"/>
        <v>-13546.810161208663</v>
      </c>
      <c r="L155" s="53">
        <f t="shared" si="79"/>
        <v>-15829.435737281692</v>
      </c>
      <c r="M155" s="53">
        <f t="shared" si="79"/>
        <v>-18077.675938285531</v>
      </c>
      <c r="N155" s="53">
        <f t="shared" si="79"/>
        <v>-20219.672171292874</v>
      </c>
      <c r="O155" s="53">
        <f t="shared" si="79"/>
        <v>-22181.974755064926</v>
      </c>
      <c r="P155" s="53">
        <f t="shared" si="79"/>
        <v>-23893.326904807473</v>
      </c>
      <c r="Q155" s="53">
        <f t="shared" si="79"/>
        <v>-25534.688849737002</v>
      </c>
      <c r="R155" s="53">
        <f t="shared" si="79"/>
        <v>-27090.866921341531</v>
      </c>
      <c r="S155" s="53">
        <f t="shared" si="79"/>
        <v>-28545.289690408288</v>
      </c>
    </row>
    <row r="156" spans="3:21" x14ac:dyDescent="0.3">
      <c r="E156" s="69"/>
      <c r="F156" s="3"/>
      <c r="G156" s="61"/>
      <c r="H156" s="65"/>
      <c r="I156" s="65"/>
      <c r="J156" s="6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3:21" s="42" customFormat="1" x14ac:dyDescent="0.3">
      <c r="C157" s="42" t="s">
        <v>217</v>
      </c>
      <c r="E157" s="107"/>
      <c r="G157" s="108"/>
      <c r="H157" s="111"/>
      <c r="I157" s="111"/>
      <c r="J157" s="109"/>
      <c r="K157" s="15"/>
      <c r="L157" s="15"/>
      <c r="M157" s="15"/>
      <c r="N157" s="15"/>
      <c r="O157" s="15"/>
      <c r="P157" s="15"/>
      <c r="Q157" s="15"/>
      <c r="R157" s="15"/>
      <c r="S157" s="15"/>
    </row>
    <row r="158" spans="3:21" x14ac:dyDescent="0.3">
      <c r="D158" s="3" t="s">
        <v>218</v>
      </c>
      <c r="E158" s="69"/>
      <c r="F158" s="3"/>
      <c r="G158" s="4" t="s">
        <v>48</v>
      </c>
      <c r="H158" s="40">
        <v>18445</v>
      </c>
      <c r="I158" s="40">
        <v>25500</v>
      </c>
      <c r="J158" s="40">
        <v>30260</v>
      </c>
      <c r="K158" s="15">
        <f>K200</f>
        <v>6790.7372494542569</v>
      </c>
      <c r="L158" s="15">
        <f t="shared" ref="L158:S158" si="80">L200</f>
        <v>7934.0504663623742</v>
      </c>
      <c r="M158" s="15">
        <f t="shared" si="80"/>
        <v>9060.1522510418745</v>
      </c>
      <c r="N158" s="15">
        <f t="shared" si="80"/>
        <v>10133.102564866047</v>
      </c>
      <c r="O158" s="15">
        <f t="shared" si="80"/>
        <v>11116.164753994843</v>
      </c>
      <c r="P158" s="15">
        <f t="shared" si="80"/>
        <v>11973.697463588731</v>
      </c>
      <c r="Q158" s="15">
        <f t="shared" si="80"/>
        <v>12796.166613501446</v>
      </c>
      <c r="R158" s="15">
        <f t="shared" si="80"/>
        <v>13575.959854109455</v>
      </c>
      <c r="S158" s="15">
        <f t="shared" si="80"/>
        <v>14304.774541014278</v>
      </c>
    </row>
    <row r="159" spans="3:21" x14ac:dyDescent="0.3">
      <c r="D159" s="3" t="s">
        <v>219</v>
      </c>
      <c r="E159" s="69"/>
      <c r="F159" s="3"/>
      <c r="G159" s="4" t="s">
        <v>48</v>
      </c>
      <c r="H159" s="40">
        <v>-7792</v>
      </c>
      <c r="I159" s="40">
        <v>-19686</v>
      </c>
      <c r="J159" s="40">
        <v>-30150</v>
      </c>
      <c r="K159" s="15">
        <f>K201</f>
        <v>-3289.2</v>
      </c>
      <c r="L159" s="15">
        <f t="shared" ref="L159:S159" si="81">L201</f>
        <v>-3814.4305874181382</v>
      </c>
      <c r="M159" s="15">
        <f t="shared" si="81"/>
        <v>-4432.3735692597738</v>
      </c>
      <c r="N159" s="15">
        <f t="shared" si="81"/>
        <v>-5126.5403715270886</v>
      </c>
      <c r="O159" s="15">
        <f t="shared" si="81"/>
        <v>-5877.5247005279334</v>
      </c>
      <c r="P159" s="15">
        <f t="shared" si="81"/>
        <v>-6663.3207085479689</v>
      </c>
      <c r="Q159" s="15">
        <f t="shared" si="81"/>
        <v>-7459.877221804084</v>
      </c>
      <c r="R159" s="15">
        <f t="shared" si="81"/>
        <v>-8260.3206305586882</v>
      </c>
      <c r="S159" s="15">
        <f t="shared" si="81"/>
        <v>-9057.6665140913046</v>
      </c>
    </row>
    <row r="160" spans="3:21" x14ac:dyDescent="0.3">
      <c r="D160" s="3" t="s">
        <v>220</v>
      </c>
      <c r="E160" s="69"/>
      <c r="F160" s="3"/>
      <c r="G160" s="4" t="s">
        <v>48</v>
      </c>
      <c r="H160" s="40">
        <v>-7518</v>
      </c>
      <c r="I160" s="40">
        <v>-9197</v>
      </c>
      <c r="J160" s="40">
        <v>-9903</v>
      </c>
      <c r="K160" s="15">
        <f>K211</f>
        <v>-9459</v>
      </c>
      <c r="L160" s="15">
        <f t="shared" ref="L160:S160" si="82">L211</f>
        <v>-11493.886169840254</v>
      </c>
      <c r="M160" s="15">
        <f t="shared" si="82"/>
        <v>-13802.067492492723</v>
      </c>
      <c r="N160" s="15">
        <f t="shared" si="82"/>
        <v>-16350.230709384026</v>
      </c>
      <c r="O160" s="15">
        <f t="shared" si="82"/>
        <v>-19149.081226092756</v>
      </c>
      <c r="P160" s="15">
        <f t="shared" si="82"/>
        <v>-22207.218078618025</v>
      </c>
      <c r="Q160" s="15">
        <f t="shared" si="82"/>
        <v>-25530.369641096946</v>
      </c>
      <c r="R160" s="15">
        <f t="shared" si="82"/>
        <v>-29120.467827179466</v>
      </c>
      <c r="S160" s="15">
        <f t="shared" si="82"/>
        <v>-32974.532428199462</v>
      </c>
    </row>
    <row r="161" spans="2:21" x14ac:dyDescent="0.3">
      <c r="D161" s="3" t="s">
        <v>221</v>
      </c>
      <c r="E161" s="69"/>
      <c r="F161" s="80">
        <v>0.5</v>
      </c>
      <c r="G161" s="4" t="s">
        <v>48</v>
      </c>
      <c r="H161" s="40">
        <v>-14214</v>
      </c>
      <c r="I161" s="40">
        <v>-33446</v>
      </c>
      <c r="J161" s="40">
        <v>0</v>
      </c>
      <c r="K161" s="40">
        <v>0</v>
      </c>
      <c r="L161" s="40">
        <v>0</v>
      </c>
      <c r="M161" s="15">
        <f t="shared" ref="M161:S161" si="83">-$F$161*L90</f>
        <v>-19463.339247281019</v>
      </c>
      <c r="N161" s="15">
        <f t="shared" si="83"/>
        <v>-21446.446887447997</v>
      </c>
      <c r="O161" s="15">
        <f t="shared" si="83"/>
        <v>-23332.343862759259</v>
      </c>
      <c r="P161" s="15">
        <f t="shared" si="83"/>
        <v>-25108.726660691966</v>
      </c>
      <c r="Q161" s="15">
        <f t="shared" si="83"/>
        <v>-26762.361285620114</v>
      </c>
      <c r="R161" s="15">
        <f t="shared" si="83"/>
        <v>-28276.091163499143</v>
      </c>
      <c r="S161" s="15">
        <f t="shared" si="83"/>
        <v>-29628.460867310903</v>
      </c>
      <c r="U161" s="44" t="s">
        <v>235</v>
      </c>
    </row>
    <row r="162" spans="2:21" x14ac:dyDescent="0.3">
      <c r="D162" s="3" t="s">
        <v>45</v>
      </c>
      <c r="E162" s="69"/>
      <c r="F162" s="3"/>
      <c r="G162" s="4" t="s">
        <v>48</v>
      </c>
      <c r="H162" s="40">
        <v>0</v>
      </c>
      <c r="I162" s="40">
        <v>0</v>
      </c>
      <c r="J162" s="40">
        <v>-207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U162" s="44" t="s">
        <v>104</v>
      </c>
    </row>
    <row r="163" spans="2:21" s="42" customFormat="1" x14ac:dyDescent="0.3">
      <c r="C163" s="42" t="s">
        <v>222</v>
      </c>
      <c r="E163" s="107"/>
      <c r="G163" s="43" t="s">
        <v>48</v>
      </c>
      <c r="H163" s="53">
        <f>SUM(H158:H162)</f>
        <v>-11079</v>
      </c>
      <c r="I163" s="53">
        <f t="shared" ref="I163:S163" si="84">SUM(I158:I162)</f>
        <v>-36829</v>
      </c>
      <c r="J163" s="53">
        <f t="shared" si="84"/>
        <v>-10000</v>
      </c>
      <c r="K163" s="53">
        <f t="shared" si="84"/>
        <v>-5957.4627505457429</v>
      </c>
      <c r="L163" s="53">
        <f>SUM(L158:L162)</f>
        <v>-7374.2662908960183</v>
      </c>
      <c r="M163" s="53">
        <f t="shared" si="84"/>
        <v>-28637.628057991642</v>
      </c>
      <c r="N163" s="53">
        <f t="shared" si="84"/>
        <v>-32790.115403493066</v>
      </c>
      <c r="O163" s="53">
        <f t="shared" si="84"/>
        <v>-37242.78503538511</v>
      </c>
      <c r="P163" s="53">
        <f t="shared" si="84"/>
        <v>-42005.567984269233</v>
      </c>
      <c r="Q163" s="53">
        <f t="shared" si="84"/>
        <v>-46956.441535019694</v>
      </c>
      <c r="R163" s="53">
        <f t="shared" si="84"/>
        <v>-52080.919767127838</v>
      </c>
      <c r="S163" s="53">
        <f t="shared" si="84"/>
        <v>-57355.885268587394</v>
      </c>
    </row>
    <row r="164" spans="2:21" x14ac:dyDescent="0.3">
      <c r="E164" s="69"/>
      <c r="F164" s="3"/>
      <c r="G164" s="61"/>
      <c r="H164" s="65"/>
      <c r="I164" s="65"/>
      <c r="J164" s="6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2:21" s="42" customFormat="1" x14ac:dyDescent="0.3">
      <c r="C165" s="42" t="s">
        <v>231</v>
      </c>
      <c r="E165" s="107"/>
      <c r="G165" s="43" t="s">
        <v>48</v>
      </c>
      <c r="H165" s="53">
        <f t="shared" ref="H165:S165" si="85">H149+H155+H163</f>
        <v>13166</v>
      </c>
      <c r="I165" s="53">
        <f t="shared" si="85"/>
        <v>-17651</v>
      </c>
      <c r="J165" s="53">
        <f t="shared" si="85"/>
        <v>14902</v>
      </c>
      <c r="K165" s="53">
        <f t="shared" si="85"/>
        <v>31813.6348894773</v>
      </c>
      <c r="L165" s="53">
        <f>L149+L155+L163</f>
        <v>28352.307416826719</v>
      </c>
      <c r="M165" s="53">
        <f t="shared" si="85"/>
        <v>13360.049234336926</v>
      </c>
      <c r="N165" s="53">
        <f t="shared" si="85"/>
        <v>12551.773315330502</v>
      </c>
      <c r="O165" s="53">
        <f t="shared" si="85"/>
        <v>11512.254228277809</v>
      </c>
      <c r="P165" s="53">
        <f t="shared" si="85"/>
        <v>10281.947559282737</v>
      </c>
      <c r="Q165" s="53">
        <f t="shared" si="85"/>
        <v>8773.2221492485187</v>
      </c>
      <c r="R165" s="53">
        <f t="shared" si="85"/>
        <v>6978.4164815472468</v>
      </c>
      <c r="S165" s="53">
        <f t="shared" si="85"/>
        <v>4896.0524985861484</v>
      </c>
    </row>
    <row r="166" spans="2:21" x14ac:dyDescent="0.3">
      <c r="D166" s="3" t="s">
        <v>230</v>
      </c>
      <c r="E166" s="69"/>
      <c r="F166" s="3"/>
      <c r="G166" s="4" t="s">
        <v>48</v>
      </c>
      <c r="H166" s="40">
        <v>1328</v>
      </c>
      <c r="I166" s="40">
        <v>55</v>
      </c>
      <c r="J166" s="40">
        <v>-97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U166" s="44" t="s">
        <v>104</v>
      </c>
    </row>
    <row r="167" spans="2:21" s="42" customFormat="1" x14ac:dyDescent="0.3">
      <c r="C167" s="42" t="s">
        <v>232</v>
      </c>
      <c r="E167" s="107"/>
      <c r="G167" s="43" t="s">
        <v>48</v>
      </c>
      <c r="H167" s="53">
        <f>H165+H166</f>
        <v>14494</v>
      </c>
      <c r="I167" s="53">
        <f t="shared" ref="I167:S167" si="86">I165+I166</f>
        <v>-17596</v>
      </c>
      <c r="J167" s="53">
        <f t="shared" si="86"/>
        <v>14805</v>
      </c>
      <c r="K167" s="53">
        <f t="shared" si="86"/>
        <v>31813.6348894773</v>
      </c>
      <c r="L167" s="53">
        <f>L165+L166</f>
        <v>28352.307416826719</v>
      </c>
      <c r="M167" s="53">
        <f t="shared" si="86"/>
        <v>13360.049234336926</v>
      </c>
      <c r="N167" s="53">
        <f t="shared" si="86"/>
        <v>12551.773315330502</v>
      </c>
      <c r="O167" s="53">
        <f t="shared" si="86"/>
        <v>11512.254228277809</v>
      </c>
      <c r="P167" s="53">
        <f t="shared" si="86"/>
        <v>10281.947559282737</v>
      </c>
      <c r="Q167" s="53">
        <f t="shared" si="86"/>
        <v>8773.2221492485187</v>
      </c>
      <c r="R167" s="53">
        <f t="shared" si="86"/>
        <v>6978.4164815472468</v>
      </c>
      <c r="S167" s="53">
        <f t="shared" si="86"/>
        <v>4896.0524985861484</v>
      </c>
    </row>
    <row r="168" spans="2:21" x14ac:dyDescent="0.3">
      <c r="E168" s="69"/>
      <c r="F168" s="3"/>
      <c r="G168" s="61"/>
      <c r="H168" s="65"/>
      <c r="I168" s="65"/>
      <c r="J168" s="65"/>
      <c r="K168" s="15"/>
      <c r="L168" s="15"/>
      <c r="M168" s="15"/>
      <c r="N168" s="15"/>
      <c r="O168" s="15"/>
      <c r="P168" s="15"/>
      <c r="Q168" s="15"/>
      <c r="R168" s="15"/>
      <c r="S168" s="15"/>
    </row>
    <row r="169" spans="2:21" x14ac:dyDescent="0.3">
      <c r="C169" s="3" t="s">
        <v>223</v>
      </c>
      <c r="E169" s="69"/>
      <c r="F169" s="3"/>
      <c r="G169" s="4" t="s">
        <v>48</v>
      </c>
      <c r="H169" s="40">
        <v>11881</v>
      </c>
      <c r="I169" s="40">
        <v>26375</v>
      </c>
      <c r="J169" s="40">
        <v>8779</v>
      </c>
      <c r="K169" s="15">
        <f>J170</f>
        <v>23584</v>
      </c>
      <c r="L169" s="15">
        <f t="shared" ref="L169:S169" si="87">K170</f>
        <v>55397.634889477296</v>
      </c>
      <c r="M169" s="15">
        <f t="shared" si="87"/>
        <v>83749.942306304016</v>
      </c>
      <c r="N169" s="15">
        <f t="shared" si="87"/>
        <v>97109.991540640942</v>
      </c>
      <c r="O169" s="15">
        <f t="shared" si="87"/>
        <v>109661.76485597144</v>
      </c>
      <c r="P169" s="15">
        <f t="shared" si="87"/>
        <v>121174.01908424924</v>
      </c>
      <c r="Q169" s="15">
        <f t="shared" si="87"/>
        <v>131455.96664353198</v>
      </c>
      <c r="R169" s="15">
        <f t="shared" si="87"/>
        <v>140229.18879278051</v>
      </c>
      <c r="S169" s="15">
        <f t="shared" si="87"/>
        <v>147207.60527432774</v>
      </c>
    </row>
    <row r="170" spans="2:21" s="42" customFormat="1" x14ac:dyDescent="0.3">
      <c r="C170" s="42" t="s">
        <v>224</v>
      </c>
      <c r="E170" s="107"/>
      <c r="G170" s="43" t="s">
        <v>48</v>
      </c>
      <c r="H170" s="53">
        <f>H167+H169</f>
        <v>26375</v>
      </c>
      <c r="I170" s="53">
        <f>I167+I169</f>
        <v>8779</v>
      </c>
      <c r="J170" s="53">
        <f>J167+J169</f>
        <v>23584</v>
      </c>
      <c r="K170" s="53">
        <f>K167+K169</f>
        <v>55397.634889477296</v>
      </c>
      <c r="L170" s="53">
        <f t="shared" ref="L170:S170" si="88">L167+L169</f>
        <v>83749.942306304016</v>
      </c>
      <c r="M170" s="53">
        <f t="shared" si="88"/>
        <v>97109.991540640942</v>
      </c>
      <c r="N170" s="53">
        <f t="shared" si="88"/>
        <v>109661.76485597144</v>
      </c>
      <c r="O170" s="53">
        <f t="shared" si="88"/>
        <v>121174.01908424924</v>
      </c>
      <c r="P170" s="53">
        <f t="shared" si="88"/>
        <v>131455.96664353198</v>
      </c>
      <c r="Q170" s="53">
        <f t="shared" si="88"/>
        <v>140229.18879278051</v>
      </c>
      <c r="R170" s="53">
        <f t="shared" si="88"/>
        <v>147207.60527432774</v>
      </c>
      <c r="S170" s="53">
        <f t="shared" si="88"/>
        <v>152103.6577729139</v>
      </c>
    </row>
    <row r="171" spans="2:21" x14ac:dyDescent="0.3">
      <c r="E171" s="69"/>
      <c r="F171" s="3"/>
      <c r="G171" s="61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</row>
    <row r="172" spans="2:21" x14ac:dyDescent="0.3">
      <c r="B172" s="38" t="s">
        <v>146</v>
      </c>
      <c r="C172" s="13"/>
      <c r="D172" s="13"/>
      <c r="E172" s="13"/>
      <c r="F172" s="14"/>
      <c r="G172" s="14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 t="s">
        <v>3</v>
      </c>
    </row>
    <row r="173" spans="2:21" x14ac:dyDescent="0.3">
      <c r="H173" s="15"/>
    </row>
    <row r="174" spans="2:21" x14ac:dyDescent="0.3">
      <c r="D174" s="3" t="s">
        <v>56</v>
      </c>
      <c r="G174" s="4" t="s">
        <v>48</v>
      </c>
      <c r="H174" s="15">
        <f>-H185*H181/365</f>
        <v>26991.000000000004</v>
      </c>
      <c r="I174" s="15">
        <f t="shared" ref="I174:S174" si="89">-I185*I181/365</f>
        <v>40566</v>
      </c>
      <c r="J174" s="15">
        <f>-J185*J181/365</f>
        <v>41020</v>
      </c>
      <c r="K174" s="15">
        <f>-K185*K181/365</f>
        <v>49079.810159906774</v>
      </c>
      <c r="L174" s="15">
        <f t="shared" si="89"/>
        <v>52652.983914196317</v>
      </c>
      <c r="M174" s="15">
        <f t="shared" si="89"/>
        <v>58050.167811992113</v>
      </c>
      <c r="N174" s="15">
        <f t="shared" si="89"/>
        <v>63367.043256989222</v>
      </c>
      <c r="O174" s="15">
        <f t="shared" si="89"/>
        <v>68571.436543112897</v>
      </c>
      <c r="P174" s="15">
        <f t="shared" si="89"/>
        <v>73628.0440199023</v>
      </c>
      <c r="Q174" s="15">
        <f t="shared" si="89"/>
        <v>78498.205793232395</v>
      </c>
      <c r="R174" s="15">
        <f t="shared" si="89"/>
        <v>83139.66523473819</v>
      </c>
      <c r="S174" s="15">
        <f t="shared" si="89"/>
        <v>87506.313482906102</v>
      </c>
      <c r="U174" s="44" t="s">
        <v>156</v>
      </c>
    </row>
    <row r="175" spans="2:21" x14ac:dyDescent="0.3">
      <c r="D175" s="3" t="s">
        <v>90</v>
      </c>
      <c r="G175" s="4" t="s">
        <v>48</v>
      </c>
      <c r="H175" s="15">
        <f>H186*H180/365</f>
        <v>902</v>
      </c>
      <c r="I175" s="15">
        <f t="shared" ref="I175:S175" si="90">I186*I180/365</f>
        <v>1843</v>
      </c>
      <c r="J175" s="15">
        <f t="shared" si="90"/>
        <v>2531.0000000000005</v>
      </c>
      <c r="K175" s="15">
        <f t="shared" si="90"/>
        <v>2304.3756522376707</v>
      </c>
      <c r="L175" s="15">
        <f t="shared" si="90"/>
        <v>3215.8491211954497</v>
      </c>
      <c r="M175" s="15">
        <f t="shared" si="90"/>
        <v>3545.4891112659307</v>
      </c>
      <c r="N175" s="15">
        <f t="shared" si="90"/>
        <v>3870.2241586691903</v>
      </c>
      <c r="O175" s="15">
        <f t="shared" si="90"/>
        <v>4188.0892126765812</v>
      </c>
      <c r="P175" s="15">
        <f t="shared" si="90"/>
        <v>4496.9280571561849</v>
      </c>
      <c r="Q175" s="15">
        <f t="shared" si="90"/>
        <v>4794.3794890515874</v>
      </c>
      <c r="R175" s="15">
        <f t="shared" si="90"/>
        <v>5077.8626301087897</v>
      </c>
      <c r="S175" s="15">
        <f t="shared" si="90"/>
        <v>5344.5613219497718</v>
      </c>
      <c r="U175" s="44" t="s">
        <v>156</v>
      </c>
    </row>
    <row r="176" spans="2:21" x14ac:dyDescent="0.3">
      <c r="D176" s="3" t="s">
        <v>91</v>
      </c>
      <c r="G176" s="4" t="s">
        <v>48</v>
      </c>
      <c r="H176" s="15">
        <f>H187*(H181+H182)/365</f>
        <v>-26751</v>
      </c>
      <c r="I176" s="15">
        <f t="shared" ref="I176:S176" si="91">I187*(I181+I182)/365</f>
        <v>-34463.000000000007</v>
      </c>
      <c r="J176" s="15">
        <f t="shared" si="91"/>
        <v>-34476</v>
      </c>
      <c r="K176" s="15">
        <f>K187*(K181+K182)/365</f>
        <v>-43454.468945966</v>
      </c>
      <c r="L176" s="15">
        <f t="shared" si="91"/>
        <v>-43687.453289846686</v>
      </c>
      <c r="M176" s="15">
        <f t="shared" si="91"/>
        <v>-48127.558483188128</v>
      </c>
      <c r="N176" s="15">
        <f t="shared" si="91"/>
        <v>-52514.436007246877</v>
      </c>
      <c r="O176" s="15">
        <f t="shared" si="91"/>
        <v>-56823.29029504834</v>
      </c>
      <c r="P176" s="15">
        <f t="shared" si="91"/>
        <v>-61026.898632026554</v>
      </c>
      <c r="Q176" s="15">
        <f t="shared" si="91"/>
        <v>-65095.436203335717</v>
      </c>
      <c r="R176" s="15">
        <f t="shared" si="91"/>
        <v>-68996.290265661271</v>
      </c>
      <c r="S176" s="15">
        <f t="shared" si="91"/>
        <v>-72693.86282734017</v>
      </c>
      <c r="U176" s="44" t="s">
        <v>156</v>
      </c>
    </row>
    <row r="177" spans="2:21" x14ac:dyDescent="0.3">
      <c r="C177" s="73" t="s">
        <v>92</v>
      </c>
      <c r="D177" s="48"/>
      <c r="E177" s="48"/>
      <c r="F177" s="51"/>
      <c r="G177" s="49" t="s">
        <v>48</v>
      </c>
      <c r="H177" s="50">
        <f>SUM(H174:H176)</f>
        <v>1142.0000000000036</v>
      </c>
      <c r="I177" s="50">
        <f t="shared" ref="I177:S177" si="92">SUM(I174:I176)</f>
        <v>7945.9999999999927</v>
      </c>
      <c r="J177" s="50">
        <f t="shared" si="92"/>
        <v>9075</v>
      </c>
      <c r="K177" s="50">
        <f t="shared" si="92"/>
        <v>7929.7168661784453</v>
      </c>
      <c r="L177" s="50">
        <f t="shared" si="92"/>
        <v>12181.379745545084</v>
      </c>
      <c r="M177" s="50">
        <f t="shared" si="92"/>
        <v>13468.098440069916</v>
      </c>
      <c r="N177" s="50">
        <f t="shared" si="92"/>
        <v>14722.831408411534</v>
      </c>
      <c r="O177" s="50">
        <f t="shared" si="92"/>
        <v>15936.23546074114</v>
      </c>
      <c r="P177" s="50">
        <f t="shared" si="92"/>
        <v>17098.073445031929</v>
      </c>
      <c r="Q177" s="50">
        <f t="shared" si="92"/>
        <v>18197.149078948263</v>
      </c>
      <c r="R177" s="50">
        <f t="shared" si="92"/>
        <v>19221.237599185712</v>
      </c>
      <c r="S177" s="50">
        <f t="shared" si="92"/>
        <v>20157.011977515707</v>
      </c>
    </row>
    <row r="178" spans="2:21" x14ac:dyDescent="0.3">
      <c r="D178" s="3" t="s">
        <v>96</v>
      </c>
      <c r="G178" s="4" t="s">
        <v>48</v>
      </c>
      <c r="H178" s="65"/>
      <c r="I178" s="15">
        <f>I177-H177</f>
        <v>6803.9999999999891</v>
      </c>
      <c r="J178" s="15">
        <f t="shared" ref="J178:S178" si="93">J177-I177</f>
        <v>1129.0000000000073</v>
      </c>
      <c r="K178" s="15">
        <f t="shared" si="93"/>
        <v>-1145.2831338215547</v>
      </c>
      <c r="L178" s="15">
        <f t="shared" si="93"/>
        <v>4251.6628793666387</v>
      </c>
      <c r="M178" s="15">
        <f t="shared" si="93"/>
        <v>1286.7186945248322</v>
      </c>
      <c r="N178" s="15">
        <f t="shared" si="93"/>
        <v>1254.7329683416174</v>
      </c>
      <c r="O178" s="15">
        <f t="shared" si="93"/>
        <v>1213.4040523296062</v>
      </c>
      <c r="P178" s="15">
        <f t="shared" si="93"/>
        <v>1161.8379842907889</v>
      </c>
      <c r="Q178" s="15">
        <f t="shared" si="93"/>
        <v>1099.0756339163345</v>
      </c>
      <c r="R178" s="15">
        <f t="shared" si="93"/>
        <v>1024.0885202374484</v>
      </c>
      <c r="S178" s="15">
        <f t="shared" si="93"/>
        <v>935.77437832999567</v>
      </c>
    </row>
    <row r="179" spans="2:21" x14ac:dyDescent="0.3">
      <c r="H179" s="148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</row>
    <row r="180" spans="2:21" x14ac:dyDescent="0.3">
      <c r="D180" s="3" t="s">
        <v>94</v>
      </c>
      <c r="G180" s="4" t="s">
        <v>48</v>
      </c>
      <c r="H180" s="15">
        <f>H50</f>
        <v>190059</v>
      </c>
      <c r="I180" s="15">
        <f>I50</f>
        <v>230473</v>
      </c>
      <c r="J180" s="15">
        <f>J50</f>
        <v>277644</v>
      </c>
      <c r="K180" s="15">
        <f>K50</f>
        <v>316267.4589769225</v>
      </c>
      <c r="L180" s="15">
        <f>L50</f>
        <v>352770.13567964814</v>
      </c>
      <c r="M180" s="15">
        <f>M50</f>
        <v>388930.76997562934</v>
      </c>
      <c r="N180" s="15">
        <f>N50</f>
        <v>424553.34504525823</v>
      </c>
      <c r="O180" s="15">
        <f>O50</f>
        <v>459422.30002543522</v>
      </c>
      <c r="P180" s="15">
        <f>P50</f>
        <v>493301.10371437052</v>
      </c>
      <c r="Q180" s="15">
        <f>Q50</f>
        <v>525930.73838729307</v>
      </c>
      <c r="R180" s="15">
        <f>R50</f>
        <v>557028.08853177587</v>
      </c>
      <c r="S180" s="15">
        <f>S50</f>
        <v>586284.22902861412</v>
      </c>
    </row>
    <row r="181" spans="2:21" x14ac:dyDescent="0.3">
      <c r="D181" s="3" t="s">
        <v>41</v>
      </c>
      <c r="G181" s="4" t="s">
        <v>48</v>
      </c>
      <c r="H181" s="15">
        <f>H55</f>
        <v>-128544</v>
      </c>
      <c r="I181" s="15">
        <f>I55</f>
        <v>-157073</v>
      </c>
      <c r="J181" s="15">
        <f>J55</f>
        <v>-185650</v>
      </c>
      <c r="K181" s="15">
        <f>K55</f>
        <v>-213641.18734359022</v>
      </c>
      <c r="L181" s="15">
        <f>L55</f>
        <v>-238299.03616944287</v>
      </c>
      <c r="M181" s="15">
        <f>M55</f>
        <v>-262725.83262545918</v>
      </c>
      <c r="N181" s="15">
        <f>N55</f>
        <v>-286789.16578888468</v>
      </c>
      <c r="O181" s="15">
        <f>O55</f>
        <v>-310343.42257993435</v>
      </c>
      <c r="P181" s="15">
        <f>P55</f>
        <v>-333228.8242880269</v>
      </c>
      <c r="Q181" s="15">
        <f>Q55</f>
        <v>-355270.40237722074</v>
      </c>
      <c r="R181" s="15">
        <f>R55</f>
        <v>-376276.91006409423</v>
      </c>
      <c r="S181" s="15">
        <f>S55</f>
        <v>-396039.66597029543</v>
      </c>
    </row>
    <row r="182" spans="2:21" x14ac:dyDescent="0.3">
      <c r="D182" s="3" t="s">
        <v>44</v>
      </c>
      <c r="G182" s="4" t="s">
        <v>48</v>
      </c>
      <c r="H182" s="15">
        <f>H61</f>
        <v>-34932</v>
      </c>
      <c r="I182" s="15">
        <f>I61</f>
        <v>-41991</v>
      </c>
      <c r="J182" s="15">
        <f>J61</f>
        <v>-52287</v>
      </c>
      <c r="K182" s="15">
        <f>K61</f>
        <v>-57013.554678648397</v>
      </c>
      <c r="L182" s="15">
        <f>L61</f>
        <v>-63211.045435913024</v>
      </c>
      <c r="M182" s="15">
        <f>M61</f>
        <v>-69427.749078170382</v>
      </c>
      <c r="N182" s="15">
        <f>N61</f>
        <v>-75640.563885564159</v>
      </c>
      <c r="O182" s="15">
        <f>O61</f>
        <v>-81823.975695182162</v>
      </c>
      <c r="P182" s="15">
        <f>P61</f>
        <v>-87949.884953430999</v>
      </c>
      <c r="Q182" s="15">
        <f>Q61</f>
        <v>-93987.423470124879</v>
      </c>
      <c r="R182" s="15">
        <f>R61</f>
        <v>-99902.760342584152</v>
      </c>
      <c r="S182" s="15">
        <f>S61</f>
        <v>-105658.89649486398</v>
      </c>
    </row>
    <row r="183" spans="2:21" x14ac:dyDescent="0.3">
      <c r="G183" s="3"/>
    </row>
    <row r="184" spans="2:21" x14ac:dyDescent="0.3">
      <c r="C184" s="42" t="s">
        <v>93</v>
      </c>
    </row>
    <row r="185" spans="2:21" x14ac:dyDescent="0.3">
      <c r="D185" s="3" t="s">
        <v>56</v>
      </c>
      <c r="G185" s="4" t="s">
        <v>95</v>
      </c>
      <c r="H185" s="15">
        <f>-365/(H55/H103)</f>
        <v>76.640800037341307</v>
      </c>
      <c r="I185" s="15">
        <f>-365/(I55/I103)</f>
        <v>94.265659916089973</v>
      </c>
      <c r="J185" s="15">
        <f>-365/(J55/J103)</f>
        <v>80.647993536224078</v>
      </c>
      <c r="K185" s="15">
        <f>AVERAGE(H185:J185)</f>
        <v>83.851484496551791</v>
      </c>
      <c r="L185" s="15">
        <f>$J$185</f>
        <v>80.647993536224078</v>
      </c>
      <c r="M185" s="15">
        <f t="shared" ref="M185:S185" si="94">$J$185</f>
        <v>80.647993536224078</v>
      </c>
      <c r="N185" s="15">
        <f t="shared" si="94"/>
        <v>80.647993536224078</v>
      </c>
      <c r="O185" s="15">
        <f t="shared" si="94"/>
        <v>80.647993536224078</v>
      </c>
      <c r="P185" s="15">
        <f t="shared" si="94"/>
        <v>80.647993536224078</v>
      </c>
      <c r="Q185" s="15">
        <f t="shared" si="94"/>
        <v>80.647993536224078</v>
      </c>
      <c r="R185" s="15">
        <f t="shared" si="94"/>
        <v>80.647993536224078</v>
      </c>
      <c r="S185" s="15">
        <f t="shared" si="94"/>
        <v>80.647993536224078</v>
      </c>
      <c r="U185" s="44" t="s">
        <v>227</v>
      </c>
    </row>
    <row r="186" spans="2:21" x14ac:dyDescent="0.3">
      <c r="D186" s="3" t="s">
        <v>90</v>
      </c>
      <c r="G186" s="4" t="s">
        <v>95</v>
      </c>
      <c r="H186" s="15">
        <f>365/(H50/H104)</f>
        <v>1.7322515639880247</v>
      </c>
      <c r="I186" s="15">
        <f>365/(I50/I104)</f>
        <v>2.9187583795064933</v>
      </c>
      <c r="J186" s="15">
        <f>365/(J50/J104)</f>
        <v>3.327336445232024</v>
      </c>
      <c r="K186" s="15">
        <f>AVERAGE(H186:J186)</f>
        <v>2.6594487962421809</v>
      </c>
      <c r="L186" s="15">
        <f>$J$186</f>
        <v>3.327336445232024</v>
      </c>
      <c r="M186" s="15">
        <f t="shared" ref="M186:S186" si="95">$J$186</f>
        <v>3.327336445232024</v>
      </c>
      <c r="N186" s="15">
        <f t="shared" si="95"/>
        <v>3.327336445232024</v>
      </c>
      <c r="O186" s="15">
        <f t="shared" si="95"/>
        <v>3.327336445232024</v>
      </c>
      <c r="P186" s="15">
        <f t="shared" si="95"/>
        <v>3.327336445232024</v>
      </c>
      <c r="Q186" s="15">
        <f t="shared" si="95"/>
        <v>3.327336445232024</v>
      </c>
      <c r="R186" s="15">
        <f t="shared" si="95"/>
        <v>3.327336445232024</v>
      </c>
      <c r="S186" s="15">
        <f t="shared" si="95"/>
        <v>3.327336445232024</v>
      </c>
      <c r="U186" s="44" t="s">
        <v>228</v>
      </c>
    </row>
    <row r="187" spans="2:21" x14ac:dyDescent="0.3">
      <c r="D187" s="3" t="s">
        <v>91</v>
      </c>
      <c r="G187" s="4" t="s">
        <v>95</v>
      </c>
      <c r="H187" s="15">
        <f>-365/((H61+H55)/H123)</f>
        <v>59.728125229391466</v>
      </c>
      <c r="I187" s="15">
        <f>-365/((I61+I55)/I123)</f>
        <v>63.190707511152198</v>
      </c>
      <c r="J187" s="15">
        <f>-365/((J61+J55)/J123)</f>
        <v>52.88685660489962</v>
      </c>
      <c r="K187" s="15">
        <f>AVERAGE(H187:J187)</f>
        <v>58.601896448481092</v>
      </c>
      <c r="L187" s="15">
        <f>$J$187</f>
        <v>52.88685660489962</v>
      </c>
      <c r="M187" s="15">
        <f t="shared" ref="M187:S187" si="96">$J$187</f>
        <v>52.88685660489962</v>
      </c>
      <c r="N187" s="15">
        <f t="shared" si="96"/>
        <v>52.88685660489962</v>
      </c>
      <c r="O187" s="15">
        <f t="shared" si="96"/>
        <v>52.88685660489962</v>
      </c>
      <c r="P187" s="15">
        <f t="shared" si="96"/>
        <v>52.88685660489962</v>
      </c>
      <c r="Q187" s="15">
        <f t="shared" si="96"/>
        <v>52.88685660489962</v>
      </c>
      <c r="R187" s="15">
        <f t="shared" si="96"/>
        <v>52.88685660489962</v>
      </c>
      <c r="S187" s="15">
        <f t="shared" si="96"/>
        <v>52.88685660489962</v>
      </c>
      <c r="U187" s="44" t="s">
        <v>229</v>
      </c>
    </row>
    <row r="188" spans="2:21" x14ac:dyDescent="0.3"/>
    <row r="189" spans="2:21" x14ac:dyDescent="0.3">
      <c r="B189" s="38" t="s">
        <v>147</v>
      </c>
      <c r="C189" s="13"/>
      <c r="D189" s="13"/>
      <c r="E189" s="13"/>
      <c r="F189" s="14"/>
      <c r="G189" s="14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 t="s">
        <v>3</v>
      </c>
    </row>
    <row r="190" spans="2:21" x14ac:dyDescent="0.3"/>
    <row r="191" spans="2:21" x14ac:dyDescent="0.3">
      <c r="C191" s="3" t="s">
        <v>98</v>
      </c>
      <c r="G191" s="4" t="s">
        <v>48</v>
      </c>
      <c r="H191" s="40">
        <f>-H152</f>
        <v>5674</v>
      </c>
      <c r="I191" s="40">
        <f>-I152</f>
        <v>5706</v>
      </c>
      <c r="J191" s="40">
        <f>-J152</f>
        <v>11210</v>
      </c>
      <c r="K191" s="15">
        <f>K194*K192</f>
        <v>13581.474498908514</v>
      </c>
      <c r="L191" s="15">
        <f t="shared" ref="L191:S191" si="97">L194*L192</f>
        <v>15868.100932724748</v>
      </c>
      <c r="M191" s="15">
        <f t="shared" si="97"/>
        <v>18120.304502083749</v>
      </c>
      <c r="N191" s="15">
        <f t="shared" si="97"/>
        <v>20266.205129732094</v>
      </c>
      <c r="O191" s="15">
        <f t="shared" si="97"/>
        <v>22232.329507989685</v>
      </c>
      <c r="P191" s="15">
        <f t="shared" si="97"/>
        <v>23947.394927177462</v>
      </c>
      <c r="Q191" s="15">
        <f t="shared" si="97"/>
        <v>25592.333227002891</v>
      </c>
      <c r="R191" s="15">
        <f t="shared" si="97"/>
        <v>27151.919708218909</v>
      </c>
      <c r="S191" s="15">
        <f t="shared" si="97"/>
        <v>28609.549082028556</v>
      </c>
    </row>
    <row r="192" spans="2:21" x14ac:dyDescent="0.3">
      <c r="C192" s="3" t="s">
        <v>233</v>
      </c>
      <c r="G192" s="4" t="s">
        <v>72</v>
      </c>
      <c r="H192" s="15">
        <f>H13</f>
        <v>3742</v>
      </c>
      <c r="I192" s="15">
        <f>I13</f>
        <v>4368</v>
      </c>
      <c r="J192" s="15">
        <f>J13</f>
        <v>5039</v>
      </c>
      <c r="K192" s="15">
        <f>K13</f>
        <v>5500</v>
      </c>
      <c r="L192" s="15">
        <f>L13</f>
        <v>5950</v>
      </c>
      <c r="M192" s="15">
        <f>M13</f>
        <v>6350</v>
      </c>
      <c r="N192" s="15">
        <f>N13</f>
        <v>6700</v>
      </c>
      <c r="O192" s="15">
        <f>O13</f>
        <v>7000</v>
      </c>
      <c r="P192" s="15">
        <f>P13</f>
        <v>7250</v>
      </c>
      <c r="Q192" s="15">
        <f>Q13</f>
        <v>7450</v>
      </c>
      <c r="R192" s="15">
        <f>R13</f>
        <v>7600</v>
      </c>
      <c r="S192" s="15">
        <f>S13</f>
        <v>7700</v>
      </c>
    </row>
    <row r="193" spans="2:21" x14ac:dyDescent="0.3"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spans="2:21" x14ac:dyDescent="0.3">
      <c r="C194" s="3" t="s">
        <v>99</v>
      </c>
      <c r="G194" s="4" t="s">
        <v>48</v>
      </c>
      <c r="H194" s="66">
        <f>H191 / H192</f>
        <v>1.5163014430785675</v>
      </c>
      <c r="I194" s="66">
        <f>I191 / I192</f>
        <v>1.3063186813186813</v>
      </c>
      <c r="J194" s="66">
        <f>J191 / J192</f>
        <v>2.2246477475689619</v>
      </c>
      <c r="K194" s="66">
        <f>J194*(1+K195)</f>
        <v>2.4693589998015479</v>
      </c>
      <c r="L194" s="66">
        <f t="shared" ref="L194:S194" si="98">K194*(1+L195)</f>
        <v>2.6669077197856721</v>
      </c>
      <c r="M194" s="66">
        <f t="shared" si="98"/>
        <v>2.8535912601706692</v>
      </c>
      <c r="N194" s="66">
        <f t="shared" si="98"/>
        <v>3.0248067357809094</v>
      </c>
      <c r="O194" s="66">
        <f t="shared" si="98"/>
        <v>3.176047072569955</v>
      </c>
      <c r="P194" s="66">
        <f t="shared" si="98"/>
        <v>3.3030889554727532</v>
      </c>
      <c r="Q194" s="66">
        <f t="shared" si="98"/>
        <v>3.4352125136916634</v>
      </c>
      <c r="R194" s="66">
        <f t="shared" si="98"/>
        <v>3.57262101423933</v>
      </c>
      <c r="S194" s="66">
        <f t="shared" si="98"/>
        <v>3.7155258548089032</v>
      </c>
      <c r="U194" s="44"/>
    </row>
    <row r="195" spans="2:21" x14ac:dyDescent="0.3">
      <c r="C195" s="45" t="s">
        <v>234</v>
      </c>
      <c r="F195" s="76"/>
      <c r="G195" s="46" t="s">
        <v>24</v>
      </c>
      <c r="H195" s="58"/>
      <c r="I195" s="58"/>
      <c r="J195" s="58"/>
      <c r="K195" s="74">
        <v>0.11</v>
      </c>
      <c r="L195" s="74">
        <v>0.08</v>
      </c>
      <c r="M195" s="74">
        <v>7.0000000000000007E-2</v>
      </c>
      <c r="N195" s="74">
        <v>0.06</v>
      </c>
      <c r="O195" s="74">
        <v>0.05</v>
      </c>
      <c r="P195" s="74">
        <v>0.04</v>
      </c>
      <c r="Q195" s="74">
        <v>0.04</v>
      </c>
      <c r="R195" s="74">
        <v>0.04</v>
      </c>
      <c r="S195" s="74">
        <v>0.04</v>
      </c>
    </row>
    <row r="196" spans="2:21" x14ac:dyDescent="0.3"/>
    <row r="197" spans="2:21" x14ac:dyDescent="0.3">
      <c r="B197" s="38" t="s">
        <v>148</v>
      </c>
      <c r="C197" s="13"/>
      <c r="D197" s="13"/>
      <c r="E197" s="13"/>
      <c r="F197" s="14"/>
      <c r="G197" s="14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 t="s">
        <v>3</v>
      </c>
    </row>
    <row r="198" spans="2:21" ht="5.0999999999999996" customHeight="1" x14ac:dyDescent="0.3"/>
    <row r="199" spans="2:21" x14ac:dyDescent="0.3">
      <c r="C199" s="3" t="s">
        <v>113</v>
      </c>
      <c r="G199" s="4" t="s">
        <v>48</v>
      </c>
      <c r="H199" s="57"/>
      <c r="I199" s="57"/>
      <c r="J199" s="57"/>
      <c r="K199" s="15">
        <f>J202</f>
        <v>21928</v>
      </c>
      <c r="L199" s="15">
        <f t="shared" ref="L199:S199" si="99">K202</f>
        <v>25429.537249454257</v>
      </c>
      <c r="M199" s="15">
        <f t="shared" si="99"/>
        <v>29549.157128398496</v>
      </c>
      <c r="N199" s="15">
        <f t="shared" si="99"/>
        <v>34176.935810180592</v>
      </c>
      <c r="O199" s="15">
        <f t="shared" si="99"/>
        <v>39183.498003519555</v>
      </c>
      <c r="P199" s="15">
        <f t="shared" si="99"/>
        <v>44422.138056986463</v>
      </c>
      <c r="Q199" s="15">
        <f t="shared" si="99"/>
        <v>49732.514812027228</v>
      </c>
      <c r="R199" s="15">
        <f t="shared" si="99"/>
        <v>55068.80420372459</v>
      </c>
      <c r="S199" s="15">
        <f t="shared" si="99"/>
        <v>60384.443427275364</v>
      </c>
      <c r="U199" s="44" t="s">
        <v>115</v>
      </c>
    </row>
    <row r="200" spans="2:21" x14ac:dyDescent="0.3">
      <c r="C200" s="97" t="s">
        <v>117</v>
      </c>
      <c r="D200" s="97"/>
      <c r="E200" s="97"/>
      <c r="F200" s="98">
        <v>0.5</v>
      </c>
      <c r="G200" s="76" t="s">
        <v>48</v>
      </c>
      <c r="H200" s="99"/>
      <c r="I200" s="99"/>
      <c r="J200" s="99"/>
      <c r="K200" s="100">
        <f>$F$200*K191</f>
        <v>6790.7372494542569</v>
      </c>
      <c r="L200" s="100">
        <f t="shared" ref="L200:S200" si="100">$F$200*L191</f>
        <v>7934.0504663623742</v>
      </c>
      <c r="M200" s="100">
        <f t="shared" si="100"/>
        <v>9060.1522510418745</v>
      </c>
      <c r="N200" s="100">
        <f t="shared" si="100"/>
        <v>10133.102564866047</v>
      </c>
      <c r="O200" s="100">
        <f t="shared" si="100"/>
        <v>11116.164753994843</v>
      </c>
      <c r="P200" s="100">
        <f t="shared" si="100"/>
        <v>11973.697463588731</v>
      </c>
      <c r="Q200" s="100">
        <f t="shared" si="100"/>
        <v>12796.166613501446</v>
      </c>
      <c r="R200" s="100">
        <f t="shared" si="100"/>
        <v>13575.959854109455</v>
      </c>
      <c r="S200" s="100">
        <f t="shared" si="100"/>
        <v>14304.774541014278</v>
      </c>
      <c r="U200" s="44" t="s">
        <v>120</v>
      </c>
    </row>
    <row r="201" spans="2:21" x14ac:dyDescent="0.3">
      <c r="C201" s="97" t="s">
        <v>118</v>
      </c>
      <c r="D201" s="97"/>
      <c r="E201" s="97"/>
      <c r="F201" s="98">
        <v>0.15</v>
      </c>
      <c r="G201" s="76" t="s">
        <v>48</v>
      </c>
      <c r="H201" s="99"/>
      <c r="I201" s="99"/>
      <c r="J201" s="99"/>
      <c r="K201" s="100">
        <f>-$F$201*K199</f>
        <v>-3289.2</v>
      </c>
      <c r="L201" s="100">
        <f t="shared" ref="L201:S201" si="101">-$F$201*L199</f>
        <v>-3814.4305874181382</v>
      </c>
      <c r="M201" s="100">
        <f t="shared" si="101"/>
        <v>-4432.3735692597738</v>
      </c>
      <c r="N201" s="100">
        <f t="shared" si="101"/>
        <v>-5126.5403715270886</v>
      </c>
      <c r="O201" s="100">
        <f t="shared" si="101"/>
        <v>-5877.5247005279334</v>
      </c>
      <c r="P201" s="100">
        <f t="shared" si="101"/>
        <v>-6663.3207085479689</v>
      </c>
      <c r="Q201" s="100">
        <f t="shared" si="101"/>
        <v>-7459.877221804084</v>
      </c>
      <c r="R201" s="100">
        <f t="shared" si="101"/>
        <v>-8260.3206305586882</v>
      </c>
      <c r="S201" s="100">
        <f t="shared" si="101"/>
        <v>-9057.6665140913046</v>
      </c>
      <c r="U201" s="44" t="s">
        <v>119</v>
      </c>
    </row>
    <row r="202" spans="2:21" x14ac:dyDescent="0.3">
      <c r="C202" s="3" t="s">
        <v>114</v>
      </c>
      <c r="G202" s="4" t="s">
        <v>48</v>
      </c>
      <c r="H202" s="57"/>
      <c r="I202" s="57"/>
      <c r="J202" s="15">
        <f>J121</f>
        <v>21928</v>
      </c>
      <c r="K202" s="15">
        <f>SUM(K199:K201)</f>
        <v>25429.537249454257</v>
      </c>
      <c r="L202" s="15">
        <f t="shared" ref="L202:S202" si="102">SUM(L199:L201)</f>
        <v>29549.157128398496</v>
      </c>
      <c r="M202" s="15">
        <f t="shared" si="102"/>
        <v>34176.935810180592</v>
      </c>
      <c r="N202" s="15">
        <f t="shared" si="102"/>
        <v>39183.498003519555</v>
      </c>
      <c r="O202" s="15">
        <f t="shared" si="102"/>
        <v>44422.138056986463</v>
      </c>
      <c r="P202" s="15">
        <f t="shared" si="102"/>
        <v>49732.514812027228</v>
      </c>
      <c r="Q202" s="15">
        <f t="shared" si="102"/>
        <v>55068.80420372459</v>
      </c>
      <c r="R202" s="15">
        <f t="shared" si="102"/>
        <v>60384.443427275364</v>
      </c>
      <c r="S202" s="15">
        <f t="shared" si="102"/>
        <v>65631.551454198328</v>
      </c>
      <c r="U202" s="44" t="s">
        <v>116</v>
      </c>
    </row>
    <row r="203" spans="2:21" x14ac:dyDescent="0.3">
      <c r="F203" s="44" t="s">
        <v>123</v>
      </c>
    </row>
    <row r="204" spans="2:21" x14ac:dyDescent="0.3">
      <c r="C204" s="3" t="s">
        <v>121</v>
      </c>
      <c r="F204" s="101">
        <v>0.11</v>
      </c>
      <c r="G204" s="4" t="s">
        <v>48</v>
      </c>
      <c r="H204" s="57"/>
      <c r="I204" s="57"/>
      <c r="J204" s="57"/>
      <c r="K204" s="15">
        <f>AVERAGE(K199,K202)*$F$204</f>
        <v>2604.6645487199839</v>
      </c>
      <c r="L204" s="15">
        <f t="shared" ref="L204:S204" si="103">AVERAGE(L199,L202)*$F$204</f>
        <v>3023.8281907819014</v>
      </c>
      <c r="M204" s="15">
        <f t="shared" si="103"/>
        <v>3504.93511162185</v>
      </c>
      <c r="N204" s="15">
        <f t="shared" si="103"/>
        <v>4034.8238597535083</v>
      </c>
      <c r="O204" s="15">
        <f t="shared" si="103"/>
        <v>4598.3099833278311</v>
      </c>
      <c r="P204" s="15">
        <f t="shared" si="103"/>
        <v>5178.505907795753</v>
      </c>
      <c r="Q204" s="15">
        <f t="shared" si="103"/>
        <v>5764.0725458663501</v>
      </c>
      <c r="R204" s="15">
        <f t="shared" si="103"/>
        <v>6349.9286197049969</v>
      </c>
      <c r="S204" s="15">
        <f t="shared" si="103"/>
        <v>6930.8797184810528</v>
      </c>
      <c r="U204" s="44" t="s">
        <v>122</v>
      </c>
    </row>
    <row r="205" spans="2:21" x14ac:dyDescent="0.3">
      <c r="F205" s="101"/>
      <c r="K205" s="15"/>
      <c r="L205" s="15"/>
      <c r="M205" s="15"/>
      <c r="N205" s="15"/>
      <c r="O205" s="15"/>
      <c r="P205" s="15"/>
      <c r="Q205" s="15"/>
      <c r="R205" s="15"/>
      <c r="S205" s="15"/>
      <c r="U205" s="44"/>
    </row>
    <row r="206" spans="2:21" x14ac:dyDescent="0.3">
      <c r="B206" s="38" t="s">
        <v>240</v>
      </c>
      <c r="C206" s="13"/>
      <c r="D206" s="13"/>
      <c r="E206" s="13"/>
      <c r="F206" s="14"/>
      <c r="G206" s="14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 t="s">
        <v>3</v>
      </c>
    </row>
    <row r="207" spans="2:21" ht="5.0999999999999996" customHeight="1" x14ac:dyDescent="0.3"/>
    <row r="208" spans="2:21" x14ac:dyDescent="0.3">
      <c r="C208" s="3" t="s">
        <v>113</v>
      </c>
      <c r="F208" s="101"/>
      <c r="G208" s="4" t="s">
        <v>48</v>
      </c>
      <c r="H208" s="57"/>
      <c r="I208" s="57"/>
      <c r="J208" s="57"/>
      <c r="K208" s="15">
        <f>J212</f>
        <v>12612</v>
      </c>
      <c r="L208" s="15">
        <f t="shared" ref="L208:S208" si="104">K212</f>
        <v>15325.181559787005</v>
      </c>
      <c r="M208" s="15">
        <f t="shared" si="104"/>
        <v>18402.756656656962</v>
      </c>
      <c r="N208" s="15">
        <f t="shared" si="104"/>
        <v>21800.307612512035</v>
      </c>
      <c r="O208" s="15">
        <f t="shared" si="104"/>
        <v>25532.10830145701</v>
      </c>
      <c r="P208" s="15">
        <f t="shared" si="104"/>
        <v>29609.624104824034</v>
      </c>
      <c r="Q208" s="15">
        <f t="shared" si="104"/>
        <v>34040.492854795928</v>
      </c>
      <c r="R208" s="15">
        <f t="shared" si="104"/>
        <v>38827.290436239287</v>
      </c>
      <c r="S208" s="15">
        <f t="shared" si="104"/>
        <v>43966.043237599282</v>
      </c>
      <c r="U208" s="44" t="s">
        <v>243</v>
      </c>
    </row>
    <row r="209" spans="2:21" x14ac:dyDescent="0.3">
      <c r="C209" s="97" t="s">
        <v>242</v>
      </c>
      <c r="F209" s="101"/>
      <c r="G209" s="4" t="s">
        <v>48</v>
      </c>
      <c r="H209" s="99"/>
      <c r="I209" s="99"/>
      <c r="J209" s="99"/>
      <c r="K209" s="15">
        <f>K214-K208-K210-K211</f>
        <v>11163.221559787005</v>
      </c>
      <c r="L209" s="15">
        <f t="shared" ref="L209:S209" si="105">L214-L208-L210-L211</f>
        <v>13345.446741927251</v>
      </c>
      <c r="M209" s="15">
        <f t="shared" si="105"/>
        <v>15727.397915815242</v>
      </c>
      <c r="N209" s="15">
        <f t="shared" si="105"/>
        <v>18338.006789328039</v>
      </c>
      <c r="O209" s="15">
        <f t="shared" si="105"/>
        <v>21184.028365343216</v>
      </c>
      <c r="P209" s="15">
        <f t="shared" si="105"/>
        <v>24269.31690020399</v>
      </c>
      <c r="Q209" s="15">
        <f t="shared" si="105"/>
        <v>27593.927794156632</v>
      </c>
      <c r="R209" s="15">
        <f t="shared" si="105"/>
        <v>31153.037393640319</v>
      </c>
      <c r="S209" s="15">
        <f t="shared" si="105"/>
        <v>34935.649356823953</v>
      </c>
      <c r="U209" s="44"/>
    </row>
    <row r="210" spans="2:21" x14ac:dyDescent="0.3">
      <c r="C210" s="97" t="s">
        <v>255</v>
      </c>
      <c r="F210" s="101"/>
      <c r="G210" s="4" t="s">
        <v>48</v>
      </c>
      <c r="H210" s="99"/>
      <c r="I210" s="99"/>
      <c r="J210" s="99"/>
      <c r="K210" s="15">
        <f t="shared" ref="K210:S210" si="106">K219</f>
        <v>1008.96</v>
      </c>
      <c r="L210" s="15">
        <f t="shared" si="106"/>
        <v>1226.0145247829603</v>
      </c>
      <c r="M210" s="15">
        <f t="shared" si="106"/>
        <v>1472.2205325325569</v>
      </c>
      <c r="N210" s="15">
        <f t="shared" si="106"/>
        <v>1744.0246090009628</v>
      </c>
      <c r="O210" s="15">
        <f t="shared" si="106"/>
        <v>2042.568664116561</v>
      </c>
      <c r="P210" s="15">
        <f t="shared" si="106"/>
        <v>2368.7699283859229</v>
      </c>
      <c r="Q210" s="15">
        <f t="shared" si="106"/>
        <v>2723.2394283836743</v>
      </c>
      <c r="R210" s="15">
        <f t="shared" si="106"/>
        <v>3106.1832348991429</v>
      </c>
      <c r="S210" s="15">
        <f t="shared" si="106"/>
        <v>3517.2834590079428</v>
      </c>
      <c r="U210" s="44"/>
    </row>
    <row r="211" spans="2:21" x14ac:dyDescent="0.3">
      <c r="C211" s="97" t="s">
        <v>241</v>
      </c>
      <c r="F211" s="98">
        <v>0.75</v>
      </c>
      <c r="G211" s="4" t="s">
        <v>48</v>
      </c>
      <c r="H211" s="99"/>
      <c r="I211" s="99"/>
      <c r="J211" s="99"/>
      <c r="K211" s="15">
        <f>-K208*$F$211</f>
        <v>-9459</v>
      </c>
      <c r="L211" s="15">
        <f t="shared" ref="L211:S211" si="107">-L208*$F$211</f>
        <v>-11493.886169840254</v>
      </c>
      <c r="M211" s="15">
        <f t="shared" si="107"/>
        <v>-13802.067492492723</v>
      </c>
      <c r="N211" s="15">
        <f t="shared" si="107"/>
        <v>-16350.230709384026</v>
      </c>
      <c r="O211" s="15">
        <f t="shared" si="107"/>
        <v>-19149.081226092756</v>
      </c>
      <c r="P211" s="15">
        <f t="shared" si="107"/>
        <v>-22207.218078618025</v>
      </c>
      <c r="Q211" s="15">
        <f t="shared" si="107"/>
        <v>-25530.369641096946</v>
      </c>
      <c r="R211" s="15">
        <f t="shared" si="107"/>
        <v>-29120.467827179466</v>
      </c>
      <c r="S211" s="15">
        <f t="shared" si="107"/>
        <v>-32974.532428199462</v>
      </c>
      <c r="U211" s="44" t="s">
        <v>245</v>
      </c>
    </row>
    <row r="212" spans="2:21" x14ac:dyDescent="0.3">
      <c r="C212" s="3" t="s">
        <v>114</v>
      </c>
      <c r="F212" s="101"/>
      <c r="G212" s="4" t="s">
        <v>48</v>
      </c>
      <c r="H212" s="57"/>
      <c r="I212" s="57"/>
      <c r="J212" s="15">
        <f>J122</f>
        <v>12612</v>
      </c>
      <c r="K212" s="15">
        <f>SUM(K208:K211)</f>
        <v>15325.181559787005</v>
      </c>
      <c r="L212" s="15">
        <f t="shared" ref="L212:S212" si="108">SUM(L208:L211)</f>
        <v>18402.756656656962</v>
      </c>
      <c r="M212" s="15">
        <f t="shared" si="108"/>
        <v>21800.307612512035</v>
      </c>
      <c r="N212" s="15">
        <f t="shared" si="108"/>
        <v>25532.10830145701</v>
      </c>
      <c r="O212" s="15">
        <f t="shared" si="108"/>
        <v>29609.624104824034</v>
      </c>
      <c r="P212" s="15">
        <f t="shared" si="108"/>
        <v>34040.492854795928</v>
      </c>
      <c r="Q212" s="15">
        <f t="shared" si="108"/>
        <v>38827.290436239287</v>
      </c>
      <c r="R212" s="15">
        <f t="shared" si="108"/>
        <v>43966.043237599282</v>
      </c>
      <c r="S212" s="15">
        <f t="shared" si="108"/>
        <v>49444.443625231717</v>
      </c>
      <c r="U212" s="44" t="s">
        <v>244</v>
      </c>
    </row>
    <row r="213" spans="2:21" x14ac:dyDescent="0.3">
      <c r="F213" s="101"/>
      <c r="K213" s="15"/>
      <c r="L213" s="15"/>
      <c r="M213" s="15"/>
      <c r="N213" s="15"/>
      <c r="O213" s="15"/>
      <c r="P213" s="15"/>
      <c r="Q213" s="15"/>
      <c r="R213" s="15"/>
      <c r="S213" s="15"/>
      <c r="U213" s="44"/>
    </row>
    <row r="214" spans="2:21" x14ac:dyDescent="0.3">
      <c r="C214" s="3" t="s">
        <v>261</v>
      </c>
      <c r="F214" s="101"/>
      <c r="G214" s="4" t="s">
        <v>48</v>
      </c>
      <c r="H214" s="15">
        <f>H122</f>
        <v>10052</v>
      </c>
      <c r="I214" s="15">
        <f>I122</f>
        <v>10736</v>
      </c>
      <c r="J214" s="15">
        <f>J122</f>
        <v>12612</v>
      </c>
      <c r="K214" s="15">
        <f>K215*K216/1000</f>
        <v>15325.181559787005</v>
      </c>
      <c r="L214" s="15">
        <f t="shared" ref="L214:S214" si="109">L215*L216/1000</f>
        <v>18402.756656656962</v>
      </c>
      <c r="M214" s="15">
        <f t="shared" si="109"/>
        <v>21800.307612512039</v>
      </c>
      <c r="N214" s="15">
        <f t="shared" si="109"/>
        <v>25532.10830145701</v>
      </c>
      <c r="O214" s="15">
        <f t="shared" si="109"/>
        <v>29609.62410482403</v>
      </c>
      <c r="P214" s="15">
        <f t="shared" si="109"/>
        <v>34040.492854795921</v>
      </c>
      <c r="Q214" s="15">
        <f t="shared" si="109"/>
        <v>38827.290436239287</v>
      </c>
      <c r="R214" s="15">
        <f t="shared" si="109"/>
        <v>43966.043237599282</v>
      </c>
      <c r="S214" s="15">
        <f t="shared" si="109"/>
        <v>49444.443625231717</v>
      </c>
      <c r="U214" s="44"/>
    </row>
    <row r="215" spans="2:21" x14ac:dyDescent="0.3">
      <c r="C215" s="3" t="s">
        <v>246</v>
      </c>
      <c r="F215" s="101"/>
      <c r="G215" s="62" t="s">
        <v>75</v>
      </c>
      <c r="H215" s="15">
        <f>H20</f>
        <v>797.35199999999998</v>
      </c>
      <c r="I215" s="15">
        <f>I20</f>
        <v>938.39171999999996</v>
      </c>
      <c r="J215" s="15">
        <f>J20</f>
        <v>1087.0468800000001</v>
      </c>
      <c r="K215" s="15">
        <f>K20</f>
        <v>1190</v>
      </c>
      <c r="L215" s="15">
        <f>L20</f>
        <v>1287.3636363636365</v>
      </c>
      <c r="M215" s="15">
        <f>M20</f>
        <v>1373.909090909091</v>
      </c>
      <c r="N215" s="15">
        <f>N20</f>
        <v>1449.6363636363637</v>
      </c>
      <c r="O215" s="15">
        <f>O20</f>
        <v>1514.5454545454545</v>
      </c>
      <c r="P215" s="15">
        <f>P20</f>
        <v>1568.6363636363637</v>
      </c>
      <c r="Q215" s="15">
        <f>Q20</f>
        <v>1611.909090909091</v>
      </c>
      <c r="R215" s="15">
        <f>R20</f>
        <v>1644.3636363636365</v>
      </c>
      <c r="S215" s="15">
        <f>S20</f>
        <v>1666</v>
      </c>
      <c r="U215" s="44"/>
    </row>
    <row r="216" spans="2:21" x14ac:dyDescent="0.3">
      <c r="C216" s="3" t="s">
        <v>247</v>
      </c>
      <c r="F216" s="101"/>
      <c r="G216" s="4" t="s">
        <v>249</v>
      </c>
      <c r="H216" s="15">
        <f>H214/(H215/10^3)</f>
        <v>12606.728270575606</v>
      </c>
      <c r="I216" s="15">
        <f>I214/(I215/10^3)</f>
        <v>11440.851161815452</v>
      </c>
      <c r="J216" s="15">
        <f>J214/(J215/10^3)</f>
        <v>11602.075524102509</v>
      </c>
      <c r="K216" s="15">
        <f>J216*(1+K217)</f>
        <v>12878.303831753787</v>
      </c>
      <c r="L216" s="15">
        <f t="shared" ref="L216:S216" si="110">K216*(1+L217)</f>
        <v>14294.917253246704</v>
      </c>
      <c r="M216" s="15">
        <f t="shared" si="110"/>
        <v>15867.358151103843</v>
      </c>
      <c r="N216" s="15">
        <f t="shared" si="110"/>
        <v>17612.767547725267</v>
      </c>
      <c r="O216" s="15">
        <f t="shared" si="110"/>
        <v>19550.171977975049</v>
      </c>
      <c r="P216" s="15">
        <f t="shared" si="110"/>
        <v>21700.690895552307</v>
      </c>
      <c r="Q216" s="15">
        <f t="shared" si="110"/>
        <v>24087.766894063061</v>
      </c>
      <c r="R216" s="15">
        <f t="shared" si="110"/>
        <v>26737.42125241</v>
      </c>
      <c r="S216" s="15">
        <f t="shared" si="110"/>
        <v>29678.537590175103</v>
      </c>
      <c r="U216" s="44"/>
    </row>
    <row r="217" spans="2:21" x14ac:dyDescent="0.3">
      <c r="C217" s="45" t="s">
        <v>234</v>
      </c>
      <c r="F217" s="76"/>
      <c r="G217" s="46" t="s">
        <v>24</v>
      </c>
      <c r="H217" s="58"/>
      <c r="I217" s="58"/>
      <c r="J217" s="58"/>
      <c r="K217" s="74">
        <v>0.11</v>
      </c>
      <c r="L217" s="74">
        <v>0.11</v>
      </c>
      <c r="M217" s="74">
        <v>0.11</v>
      </c>
      <c r="N217" s="74">
        <v>0.11</v>
      </c>
      <c r="O217" s="74">
        <v>0.11</v>
      </c>
      <c r="P217" s="74">
        <v>0.11</v>
      </c>
      <c r="Q217" s="74">
        <v>0.11</v>
      </c>
      <c r="R217" s="74">
        <v>0.11</v>
      </c>
      <c r="S217" s="74">
        <v>0.11</v>
      </c>
      <c r="U217" s="44"/>
    </row>
    <row r="218" spans="2:21" x14ac:dyDescent="0.3">
      <c r="F218" s="101"/>
      <c r="K218" s="15"/>
      <c r="L218" s="15"/>
      <c r="M218" s="15"/>
      <c r="N218" s="15"/>
      <c r="O218" s="15"/>
      <c r="P218" s="15"/>
      <c r="Q218" s="15"/>
      <c r="R218" s="15"/>
      <c r="S218" s="15"/>
      <c r="U218" s="44"/>
    </row>
    <row r="219" spans="2:21" x14ac:dyDescent="0.3">
      <c r="C219" s="3" t="s">
        <v>121</v>
      </c>
      <c r="F219" s="101">
        <v>0.08</v>
      </c>
      <c r="G219" s="4" t="s">
        <v>24</v>
      </c>
      <c r="K219" s="15">
        <f>$F$219*K208</f>
        <v>1008.96</v>
      </c>
      <c r="L219" s="15">
        <f t="shared" ref="L219:S219" si="111">$F$219*L208</f>
        <v>1226.0145247829603</v>
      </c>
      <c r="M219" s="15">
        <f t="shared" si="111"/>
        <v>1472.2205325325569</v>
      </c>
      <c r="N219" s="15">
        <f t="shared" si="111"/>
        <v>1744.0246090009628</v>
      </c>
      <c r="O219" s="15">
        <f t="shared" si="111"/>
        <v>2042.568664116561</v>
      </c>
      <c r="P219" s="15">
        <f t="shared" si="111"/>
        <v>2368.7699283859229</v>
      </c>
      <c r="Q219" s="15">
        <f t="shared" si="111"/>
        <v>2723.2394283836743</v>
      </c>
      <c r="R219" s="15">
        <f t="shared" si="111"/>
        <v>3106.1832348991429</v>
      </c>
      <c r="S219" s="15">
        <f t="shared" si="111"/>
        <v>3517.2834590079428</v>
      </c>
      <c r="U219" s="44" t="s">
        <v>250</v>
      </c>
    </row>
    <row r="220" spans="2:21" x14ac:dyDescent="0.3"/>
    <row r="221" spans="2:21" x14ac:dyDescent="0.3">
      <c r="B221" s="38" t="s">
        <v>194</v>
      </c>
      <c r="C221" s="13"/>
      <c r="D221" s="13"/>
      <c r="E221" s="13"/>
      <c r="F221" s="14"/>
      <c r="G221" s="14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7" t="s">
        <v>3</v>
      </c>
    </row>
    <row r="222" spans="2:21" ht="5.0999999999999996" customHeight="1" x14ac:dyDescent="0.3"/>
    <row r="223" spans="2:21" x14ac:dyDescent="0.3">
      <c r="C223" s="3" t="s">
        <v>113</v>
      </c>
      <c r="F223" s="101"/>
      <c r="G223" s="4" t="s">
        <v>48</v>
      </c>
      <c r="H223" s="57"/>
      <c r="I223" s="57"/>
      <c r="J223" s="57"/>
      <c r="K223" s="15">
        <f>J226</f>
        <v>13388</v>
      </c>
      <c r="L223" s="15">
        <f t="shared" ref="L223:S223" si="112">K226</f>
        <v>13741.501559787004</v>
      </c>
      <c r="M223" s="15">
        <f t="shared" si="112"/>
        <v>15412.450701714253</v>
      </c>
      <c r="N223" s="15">
        <f t="shared" si="112"/>
        <v>18531.391209529495</v>
      </c>
      <c r="O223" s="15">
        <f t="shared" si="112"/>
        <v>23252.263998217524</v>
      </c>
      <c r="P223" s="15">
        <f t="shared" si="112"/>
        <v>29729.787642869538</v>
      </c>
      <c r="Q223" s="15">
        <f t="shared" si="112"/>
        <v>38116.079444727024</v>
      </c>
      <c r="R223" s="15">
        <f t="shared" si="112"/>
        <v>48556.340132669429</v>
      </c>
      <c r="S223" s="15">
        <f t="shared" si="112"/>
        <v>61183.417051598386</v>
      </c>
      <c r="U223" s="44" t="s">
        <v>252</v>
      </c>
    </row>
    <row r="224" spans="2:21" x14ac:dyDescent="0.3">
      <c r="C224" s="97" t="s">
        <v>242</v>
      </c>
      <c r="F224" s="101"/>
      <c r="G224" s="4" t="s">
        <v>48</v>
      </c>
      <c r="H224" s="99"/>
      <c r="I224" s="99"/>
      <c r="J224" s="99"/>
      <c r="K224" s="15">
        <f>K209</f>
        <v>11163.221559787005</v>
      </c>
      <c r="L224" s="15">
        <f t="shared" ref="L224:S224" si="113">L209</f>
        <v>13345.446741927251</v>
      </c>
      <c r="M224" s="15">
        <f t="shared" si="113"/>
        <v>15727.397915815242</v>
      </c>
      <c r="N224" s="15">
        <f t="shared" si="113"/>
        <v>18338.006789328039</v>
      </c>
      <c r="O224" s="15">
        <f t="shared" si="113"/>
        <v>21184.028365343216</v>
      </c>
      <c r="P224" s="15">
        <f t="shared" si="113"/>
        <v>24269.31690020399</v>
      </c>
      <c r="Q224" s="15">
        <f t="shared" si="113"/>
        <v>27593.927794156632</v>
      </c>
      <c r="R224" s="15">
        <f t="shared" si="113"/>
        <v>31153.037393640319</v>
      </c>
      <c r="S224" s="15">
        <f t="shared" si="113"/>
        <v>34935.649356823953</v>
      </c>
    </row>
    <row r="225" spans="2:21" x14ac:dyDescent="0.3">
      <c r="C225" s="97" t="s">
        <v>251</v>
      </c>
      <c r="F225" s="98">
        <v>0.08</v>
      </c>
      <c r="G225" s="4" t="s">
        <v>48</v>
      </c>
      <c r="H225" s="15">
        <f>H71</f>
        <v>-7618</v>
      </c>
      <c r="I225" s="15">
        <f>I71</f>
        <v>-9198</v>
      </c>
      <c r="J225" s="15">
        <f>J71</f>
        <v>-10009</v>
      </c>
      <c r="K225" s="15">
        <f>J225*(1+$F$225)</f>
        <v>-10809.720000000001</v>
      </c>
      <c r="L225" s="15">
        <f t="shared" ref="L225:S225" si="114">K225*(1+$F$225)</f>
        <v>-11674.497600000002</v>
      </c>
      <c r="M225" s="15">
        <f t="shared" si="114"/>
        <v>-12608.457408000004</v>
      </c>
      <c r="N225" s="15">
        <f t="shared" si="114"/>
        <v>-13617.134000640004</v>
      </c>
      <c r="O225" s="15">
        <f t="shared" si="114"/>
        <v>-14706.504720691206</v>
      </c>
      <c r="P225" s="15">
        <f t="shared" si="114"/>
        <v>-15883.025098346503</v>
      </c>
      <c r="Q225" s="15">
        <f t="shared" si="114"/>
        <v>-17153.667106214223</v>
      </c>
      <c r="R225" s="15">
        <f t="shared" si="114"/>
        <v>-18525.960474711363</v>
      </c>
      <c r="S225" s="15">
        <f t="shared" si="114"/>
        <v>-20008.037312688273</v>
      </c>
      <c r="U225" s="44" t="s">
        <v>254</v>
      </c>
    </row>
    <row r="226" spans="2:21" x14ac:dyDescent="0.3">
      <c r="C226" s="3" t="s">
        <v>114</v>
      </c>
      <c r="F226" s="101"/>
      <c r="G226" s="4" t="s">
        <v>48</v>
      </c>
      <c r="H226" s="15">
        <f>H98</f>
        <v>10278</v>
      </c>
      <c r="I226" s="15">
        <f>I98</f>
        <v>11354</v>
      </c>
      <c r="J226" s="15">
        <f>J98</f>
        <v>13388</v>
      </c>
      <c r="K226" s="15">
        <f>SUM(K223:K225)</f>
        <v>13741.501559787004</v>
      </c>
      <c r="L226" s="15">
        <f t="shared" ref="L226:S226" si="115">SUM(L223:L225)</f>
        <v>15412.450701714253</v>
      </c>
      <c r="M226" s="15">
        <f t="shared" si="115"/>
        <v>18531.391209529495</v>
      </c>
      <c r="N226" s="15">
        <f t="shared" si="115"/>
        <v>23252.263998217524</v>
      </c>
      <c r="O226" s="15">
        <f t="shared" si="115"/>
        <v>29729.787642869538</v>
      </c>
      <c r="P226" s="15">
        <f t="shared" si="115"/>
        <v>38116.079444727024</v>
      </c>
      <c r="Q226" s="15">
        <f t="shared" si="115"/>
        <v>48556.340132669429</v>
      </c>
      <c r="R226" s="15">
        <f t="shared" si="115"/>
        <v>61183.417051598386</v>
      </c>
      <c r="S226" s="15">
        <f t="shared" si="115"/>
        <v>76111.029095734062</v>
      </c>
      <c r="U226" s="44" t="s">
        <v>253</v>
      </c>
    </row>
    <row r="227" spans="2:21" x14ac:dyDescent="0.3">
      <c r="J227" s="15"/>
    </row>
    <row r="228" spans="2:21" x14ac:dyDescent="0.3">
      <c r="B228" s="38" t="s">
        <v>149</v>
      </c>
      <c r="C228" s="13"/>
      <c r="D228" s="13"/>
      <c r="E228" s="13"/>
      <c r="F228" s="14"/>
      <c r="G228" s="14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7" t="s">
        <v>3</v>
      </c>
    </row>
    <row r="229" spans="2:21" ht="5.0999999999999996" customHeight="1" x14ac:dyDescent="0.3"/>
    <row r="230" spans="2:21" x14ac:dyDescent="0.3">
      <c r="C230" s="42" t="s">
        <v>172</v>
      </c>
      <c r="F230" s="3"/>
      <c r="G230" s="3"/>
      <c r="H230" s="4"/>
      <c r="I230" s="4"/>
      <c r="J230" s="15"/>
      <c r="K230" s="15"/>
      <c r="L230" s="15"/>
    </row>
    <row r="231" spans="2:21" x14ac:dyDescent="0.3">
      <c r="F231" s="3"/>
      <c r="G231" s="3"/>
      <c r="H231" s="4"/>
      <c r="I231" s="4"/>
      <c r="J231" s="15"/>
      <c r="K231" s="15"/>
      <c r="L231" s="15"/>
    </row>
    <row r="232" spans="2:21" x14ac:dyDescent="0.3">
      <c r="C232" s="3" t="s">
        <v>25</v>
      </c>
      <c r="F232" s="3"/>
      <c r="G232" s="4" t="s">
        <v>24</v>
      </c>
      <c r="H232" s="4"/>
      <c r="J232" s="39">
        <v>0.7</v>
      </c>
      <c r="K232" s="15"/>
      <c r="L232" s="15"/>
    </row>
    <row r="233" spans="2:21" x14ac:dyDescent="0.3">
      <c r="C233" s="3" t="s">
        <v>137</v>
      </c>
      <c r="F233" s="3"/>
      <c r="G233" s="4" t="s">
        <v>24</v>
      </c>
      <c r="H233" s="4"/>
      <c r="J233" s="39">
        <v>8.5000000000000006E-2</v>
      </c>
      <c r="K233" s="15"/>
      <c r="L233" s="15"/>
    </row>
    <row r="234" spans="2:21" x14ac:dyDescent="0.3">
      <c r="C234" s="3" t="s">
        <v>138</v>
      </c>
      <c r="F234" s="3"/>
      <c r="G234" s="4" t="s">
        <v>0</v>
      </c>
      <c r="H234" s="4"/>
      <c r="J234" s="41">
        <v>1</v>
      </c>
      <c r="K234" s="15"/>
      <c r="L234" s="15"/>
    </row>
    <row r="235" spans="2:21" x14ac:dyDescent="0.3">
      <c r="C235" s="3" t="s">
        <v>139</v>
      </c>
      <c r="F235" s="3"/>
      <c r="G235" s="4" t="s">
        <v>24</v>
      </c>
      <c r="H235" s="4"/>
      <c r="J235" s="39">
        <v>0.09</v>
      </c>
      <c r="K235" s="15"/>
      <c r="L235" s="15"/>
    </row>
    <row r="236" spans="2:21" x14ac:dyDescent="0.3">
      <c r="C236" s="3" t="s">
        <v>152</v>
      </c>
      <c r="F236" s="3"/>
      <c r="G236" s="4" t="s">
        <v>24</v>
      </c>
      <c r="H236" s="4"/>
      <c r="J236" s="39">
        <v>0.1075</v>
      </c>
      <c r="K236" s="15"/>
      <c r="L236" s="15"/>
    </row>
    <row r="237" spans="2:21" x14ac:dyDescent="0.3">
      <c r="C237" s="3" t="s">
        <v>140</v>
      </c>
      <c r="F237" s="3"/>
      <c r="G237" s="4" t="s">
        <v>24</v>
      </c>
      <c r="H237" s="4"/>
      <c r="J237" s="39">
        <f>F88</f>
        <v>0.2</v>
      </c>
      <c r="K237" s="15"/>
      <c r="L237" s="15"/>
    </row>
    <row r="238" spans="2:21" x14ac:dyDescent="0.3">
      <c r="C238" s="3" t="s">
        <v>141</v>
      </c>
      <c r="F238" s="3"/>
      <c r="G238" s="4" t="s">
        <v>24</v>
      </c>
      <c r="H238" s="4"/>
      <c r="J238" s="88">
        <v>0.04</v>
      </c>
      <c r="K238" s="15"/>
      <c r="L238" s="15"/>
    </row>
    <row r="239" spans="2:21" x14ac:dyDescent="0.3">
      <c r="L239" s="15"/>
    </row>
    <row r="240" spans="2:21" x14ac:dyDescent="0.3">
      <c r="C240" s="75" t="s">
        <v>36</v>
      </c>
      <c r="L240" s="15"/>
    </row>
    <row r="241" spans="3:12" x14ac:dyDescent="0.3">
      <c r="C241" s="75" t="s">
        <v>80</v>
      </c>
      <c r="L241" s="15"/>
    </row>
    <row r="242" spans="3:12" x14ac:dyDescent="0.3">
      <c r="D242" s="3" t="s">
        <v>83</v>
      </c>
      <c r="G242" s="4" t="s">
        <v>24</v>
      </c>
      <c r="J242" s="116">
        <f>J233</f>
        <v>8.5000000000000006E-2</v>
      </c>
      <c r="L242" s="15"/>
    </row>
    <row r="243" spans="3:12" x14ac:dyDescent="0.3">
      <c r="D243" s="3" t="s">
        <v>84</v>
      </c>
      <c r="G243" s="4" t="s">
        <v>24</v>
      </c>
      <c r="J243" s="116">
        <f>J235</f>
        <v>0.09</v>
      </c>
      <c r="L243" s="15"/>
    </row>
    <row r="244" spans="3:12" x14ac:dyDescent="0.3">
      <c r="D244" s="3" t="s">
        <v>85</v>
      </c>
      <c r="G244" s="4" t="s">
        <v>72</v>
      </c>
      <c r="J244" s="115">
        <f>J234</f>
        <v>1</v>
      </c>
      <c r="L244" s="15"/>
    </row>
    <row r="245" spans="3:12" x14ac:dyDescent="0.3">
      <c r="D245" s="42" t="s">
        <v>80</v>
      </c>
      <c r="F245" s="43"/>
      <c r="G245" s="43" t="s">
        <v>24</v>
      </c>
      <c r="H245" s="42"/>
      <c r="I245" s="42"/>
      <c r="J245" s="117">
        <f>J242+J243*J244</f>
        <v>0.17499999999999999</v>
      </c>
      <c r="L245" s="15"/>
    </row>
    <row r="246" spans="3:12" x14ac:dyDescent="0.3">
      <c r="L246" s="15"/>
    </row>
    <row r="247" spans="3:12" x14ac:dyDescent="0.3">
      <c r="C247" s="75" t="s">
        <v>81</v>
      </c>
      <c r="L247" s="15"/>
    </row>
    <row r="248" spans="3:12" x14ac:dyDescent="0.3">
      <c r="D248" s="3" t="s">
        <v>86</v>
      </c>
      <c r="G248" s="4" t="s">
        <v>24</v>
      </c>
      <c r="J248" s="116">
        <f>J236</f>
        <v>0.1075</v>
      </c>
      <c r="L248" s="15"/>
    </row>
    <row r="249" spans="3:12" x14ac:dyDescent="0.3">
      <c r="D249" s="3" t="s">
        <v>82</v>
      </c>
      <c r="G249" s="4" t="s">
        <v>24</v>
      </c>
      <c r="J249" s="116">
        <f>J237</f>
        <v>0.2</v>
      </c>
      <c r="L249" s="15"/>
    </row>
    <row r="250" spans="3:12" x14ac:dyDescent="0.3">
      <c r="D250" s="42" t="s">
        <v>87</v>
      </c>
      <c r="F250" s="43"/>
      <c r="G250" s="43" t="s">
        <v>24</v>
      </c>
      <c r="H250" s="42"/>
      <c r="I250" s="42"/>
      <c r="J250" s="118">
        <f>J248*(1-J249)</f>
        <v>8.6000000000000007E-2</v>
      </c>
      <c r="L250" s="15"/>
    </row>
    <row r="251" spans="3:12" x14ac:dyDescent="0.3">
      <c r="L251" s="15"/>
    </row>
    <row r="252" spans="3:12" x14ac:dyDescent="0.3">
      <c r="D252" s="3" t="s">
        <v>88</v>
      </c>
      <c r="G252" s="4" t="s">
        <v>24</v>
      </c>
      <c r="J252" s="116">
        <f>J232</f>
        <v>0.7</v>
      </c>
      <c r="L252" s="15"/>
    </row>
    <row r="253" spans="3:12" x14ac:dyDescent="0.3">
      <c r="D253" s="3" t="s">
        <v>89</v>
      </c>
      <c r="G253" s="4" t="s">
        <v>24</v>
      </c>
      <c r="J253" s="118">
        <f>1-J252</f>
        <v>0.30000000000000004</v>
      </c>
      <c r="L253" s="15"/>
    </row>
    <row r="254" spans="3:12" x14ac:dyDescent="0.3">
      <c r="L254" s="15"/>
    </row>
    <row r="255" spans="3:12" x14ac:dyDescent="0.3">
      <c r="D255" s="42" t="s">
        <v>36</v>
      </c>
      <c r="F255" s="43"/>
      <c r="G255" s="43" t="s">
        <v>24</v>
      </c>
      <c r="H255" s="42"/>
      <c r="I255" s="42"/>
      <c r="J255" s="117">
        <f>J252*J245+J253*J250</f>
        <v>0.14829999999999999</v>
      </c>
      <c r="L255" s="15"/>
    </row>
    <row r="256" spans="3:12" x14ac:dyDescent="0.3">
      <c r="D256" s="42"/>
      <c r="F256" s="43"/>
      <c r="G256" s="43"/>
      <c r="H256" s="42"/>
      <c r="I256" s="42"/>
      <c r="J256" s="89"/>
      <c r="L256" s="15"/>
    </row>
    <row r="257" spans="12:12" x14ac:dyDescent="0.3">
      <c r="L257" s="15"/>
    </row>
    <row r="258" spans="12:12" x14ac:dyDescent="0.3"/>
    <row r="259" spans="12:12" x14ac:dyDescent="0.3"/>
    <row r="260" spans="12:12" x14ac:dyDescent="0.3"/>
    <row r="261" spans="12:12" x14ac:dyDescent="0.3"/>
    <row r="262" spans="12:12" x14ac:dyDescent="0.3"/>
    <row r="263" spans="12:12" x14ac:dyDescent="0.3"/>
    <row r="264" spans="12:12" x14ac:dyDescent="0.3"/>
    <row r="265" spans="12:12" x14ac:dyDescent="0.3"/>
    <row r="266" spans="12:12" x14ac:dyDescent="0.3"/>
    <row r="267" spans="12:12" x14ac:dyDescent="0.3"/>
    <row r="268" spans="12:12" x14ac:dyDescent="0.3"/>
    <row r="269" spans="12:12" x14ac:dyDescent="0.3"/>
    <row r="270" spans="12:12" x14ac:dyDescent="0.3"/>
    <row r="271" spans="12:12" x14ac:dyDescent="0.3"/>
    <row r="272" spans="12:1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  <row r="320" x14ac:dyDescent="0.3"/>
    <row r="321" x14ac:dyDescent="0.3"/>
    <row r="322" x14ac:dyDescent="0.3"/>
    <row r="323" x14ac:dyDescent="0.3"/>
    <row r="324" ht="13.2" customHeight="1" x14ac:dyDescent="0.3"/>
    <row r="325" ht="13.2" customHeight="1" x14ac:dyDescent="0.3"/>
  </sheetData>
  <pageMargins left="0.7" right="0.7" top="0.75" bottom="0.75" header="0.3" footer="0.3"/>
  <pageSetup paperSize="9" orientation="portrait" r:id="rId1"/>
  <ignoredErrors>
    <ignoredError sqref="L116:S116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4" tint="0.39997558519241921"/>
  </sheetPr>
  <dimension ref="A1:X125"/>
  <sheetViews>
    <sheetView showGridLines="0" zoomScaleNormal="100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H55" sqref="H55"/>
    </sheetView>
  </sheetViews>
  <sheetFormatPr defaultColWidth="0" defaultRowHeight="13.2" zeroHeight="1" x14ac:dyDescent="0.3"/>
  <cols>
    <col min="1" max="4" width="2.6640625" style="3" customWidth="1"/>
    <col min="5" max="5" width="40.6640625" style="3" customWidth="1"/>
    <col min="6" max="6" width="9.109375" style="4" customWidth="1"/>
    <col min="7" max="7" width="10.6640625" style="4" customWidth="1"/>
    <col min="8" max="8" width="10.88671875" style="3" bestFit="1" customWidth="1"/>
    <col min="9" max="15" width="10.109375" style="3" bestFit="1" customWidth="1"/>
    <col min="16" max="16" width="10.88671875" style="3" customWidth="1"/>
    <col min="17" max="17" width="11.88671875" style="3" customWidth="1"/>
    <col min="18" max="18" width="10.21875" style="3" customWidth="1"/>
    <col min="19" max="19" width="11.21875" style="3" customWidth="1"/>
    <col min="20" max="20" width="9" style="3" customWidth="1"/>
    <col min="21" max="23" width="9.109375" style="3" customWidth="1"/>
    <col min="24" max="24" width="70.6640625" style="3" customWidth="1"/>
    <col min="25" max="16384" width="9.109375" style="3" hidden="1"/>
  </cols>
  <sheetData>
    <row r="1" spans="1:24" x14ac:dyDescent="0.3">
      <c r="A1" s="2"/>
    </row>
    <row r="2" spans="1:24" ht="15.6" x14ac:dyDescent="0.3">
      <c r="A2" s="12" t="s">
        <v>34</v>
      </c>
    </row>
    <row r="3" spans="1:24" x14ac:dyDescent="0.3">
      <c r="A3" s="11" t="s">
        <v>136</v>
      </c>
    </row>
    <row r="4" spans="1:24" x14ac:dyDescent="0.3"/>
    <row r="5" spans="1:24" ht="15" customHeight="1" x14ac:dyDescent="0.3">
      <c r="B5" s="5"/>
      <c r="C5" s="5"/>
      <c r="D5" s="5"/>
      <c r="E5" s="5"/>
      <c r="F5" s="6" t="s">
        <v>1</v>
      </c>
      <c r="G5" s="7" t="s">
        <v>2</v>
      </c>
      <c r="H5" s="9">
        <f>model!H5</f>
        <v>2020</v>
      </c>
      <c r="I5" s="9">
        <f>model!I5</f>
        <v>2021</v>
      </c>
      <c r="J5" s="9">
        <f>model!J5</f>
        <v>2022</v>
      </c>
      <c r="K5" s="8">
        <f>model!K5</f>
        <v>2023</v>
      </c>
      <c r="L5" s="8">
        <f>model!L5</f>
        <v>2024</v>
      </c>
      <c r="M5" s="8">
        <f>model!M5</f>
        <v>2025</v>
      </c>
      <c r="N5" s="8">
        <f>model!N5</f>
        <v>2026</v>
      </c>
      <c r="O5" s="8">
        <f>model!O5</f>
        <v>2027</v>
      </c>
      <c r="P5" s="8">
        <f>model!P5</f>
        <v>2028</v>
      </c>
      <c r="Q5" s="8">
        <f>model!Q5</f>
        <v>2029</v>
      </c>
      <c r="R5" s="8">
        <f>model!R5</f>
        <v>2030</v>
      </c>
      <c r="S5" s="8">
        <f>model!S5</f>
        <v>2031</v>
      </c>
      <c r="T5" s="103"/>
      <c r="U5" s="105" t="s">
        <v>70</v>
      </c>
      <c r="W5" s="10" t="s">
        <v>150</v>
      </c>
      <c r="X5" s="81"/>
    </row>
    <row r="6" spans="1:24" x14ac:dyDescent="0.3"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4" x14ac:dyDescent="0.3">
      <c r="B7" s="38" t="s">
        <v>153</v>
      </c>
      <c r="C7" s="13"/>
      <c r="D7" s="13"/>
      <c r="E7" s="13"/>
      <c r="F7" s="14"/>
      <c r="G7" s="14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 t="s">
        <v>3</v>
      </c>
      <c r="T7" s="104"/>
      <c r="U7" s="17" t="s">
        <v>3</v>
      </c>
    </row>
    <row r="8" spans="1:24" x14ac:dyDescent="0.3"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4" x14ac:dyDescent="0.3">
      <c r="C9" s="3" t="s">
        <v>26</v>
      </c>
      <c r="G9" s="4" t="s">
        <v>48</v>
      </c>
      <c r="H9" s="15">
        <f>model!H50</f>
        <v>190059</v>
      </c>
      <c r="I9" s="15">
        <f>model!I50</f>
        <v>230473</v>
      </c>
      <c r="J9" s="15">
        <f>model!J50</f>
        <v>277644</v>
      </c>
      <c r="K9" s="15">
        <f>model!K50</f>
        <v>316267.4589769225</v>
      </c>
      <c r="L9" s="15">
        <f>model!L50</f>
        <v>352770.13567964814</v>
      </c>
      <c r="M9" s="15">
        <f>model!M50</f>
        <v>388930.76997562934</v>
      </c>
      <c r="N9" s="15">
        <f>model!N50</f>
        <v>424553.34504525823</v>
      </c>
      <c r="O9" s="15">
        <f>model!O50</f>
        <v>459422.30002543522</v>
      </c>
      <c r="P9" s="15">
        <f>model!P50</f>
        <v>493301.10371437052</v>
      </c>
      <c r="Q9" s="15">
        <f>model!Q50</f>
        <v>525930.73838729307</v>
      </c>
      <c r="R9" s="15">
        <f>model!R50</f>
        <v>557028.08853177587</v>
      </c>
      <c r="S9" s="15">
        <f>model!S50</f>
        <v>586284.22902861412</v>
      </c>
      <c r="T9" s="15"/>
      <c r="U9" s="15">
        <f>S9*(1+$H$26)</f>
        <v>609735.59818975872</v>
      </c>
    </row>
    <row r="10" spans="1:24" x14ac:dyDescent="0.3">
      <c r="D10" s="69" t="s">
        <v>73</v>
      </c>
      <c r="F10" s="85"/>
      <c r="G10" s="86" t="s">
        <v>24</v>
      </c>
      <c r="H10" s="2"/>
      <c r="I10" s="2">
        <f>I9/H9-1</f>
        <v>0.21263923308025401</v>
      </c>
      <c r="J10" s="2">
        <f t="shared" ref="J10:S10" si="0">J9/I9-1</f>
        <v>0.20467039523067787</v>
      </c>
      <c r="K10" s="2">
        <f t="shared" si="0"/>
        <v>0.13911144839046585</v>
      </c>
      <c r="L10" s="2">
        <f t="shared" si="0"/>
        <v>0.11541711189891712</v>
      </c>
      <c r="M10" s="2">
        <f t="shared" si="0"/>
        <v>0.10250480593067768</v>
      </c>
      <c r="N10" s="2">
        <f t="shared" si="0"/>
        <v>9.1591043495635516E-2</v>
      </c>
      <c r="O10" s="2">
        <f t="shared" si="0"/>
        <v>8.2130915671998483E-2</v>
      </c>
      <c r="P10" s="2">
        <f t="shared" si="0"/>
        <v>7.3742183797041783E-2</v>
      </c>
      <c r="Q10" s="2">
        <f t="shared" si="0"/>
        <v>6.614547266818116E-2</v>
      </c>
      <c r="R10" s="2">
        <f t="shared" si="0"/>
        <v>5.9128223309098171E-2</v>
      </c>
      <c r="S10" s="2">
        <f t="shared" si="0"/>
        <v>5.2521840638148243E-2</v>
      </c>
      <c r="T10" s="15"/>
      <c r="U10" s="2">
        <f>U9/S9-1</f>
        <v>4.0000000000000036E-2</v>
      </c>
    </row>
    <row r="11" spans="1:24" x14ac:dyDescent="0.3">
      <c r="C11" s="42" t="s">
        <v>46</v>
      </c>
      <c r="D11" s="42"/>
      <c r="E11" s="42"/>
      <c r="F11" s="43"/>
      <c r="G11" s="43" t="s">
        <v>48</v>
      </c>
      <c r="H11" s="15">
        <f>model!H79</f>
        <v>36788</v>
      </c>
      <c r="I11" s="15">
        <f>model!I79</f>
        <v>44155</v>
      </c>
      <c r="J11" s="15">
        <f>model!J79</f>
        <v>54198</v>
      </c>
      <c r="K11" s="15">
        <f>model!K79</f>
        <v>61182.153117141752</v>
      </c>
      <c r="L11" s="15">
        <f>model!L79</f>
        <v>68243.620529679596</v>
      </c>
      <c r="M11" s="15">
        <f>model!M79</f>
        <v>75238.919608081225</v>
      </c>
      <c r="N11" s="15">
        <f>model!N79</f>
        <v>82130.130766469621</v>
      </c>
      <c r="O11" s="15">
        <f>model!O79</f>
        <v>88875.55361058077</v>
      </c>
      <c r="P11" s="15">
        <f>model!P79</f>
        <v>95429.431019996016</v>
      </c>
      <c r="Q11" s="15">
        <f>model!Q79</f>
        <v>101741.65584126925</v>
      </c>
      <c r="R11" s="15">
        <f>model!R79</f>
        <v>107757.45918768927</v>
      </c>
      <c r="S11" s="15">
        <f>model!S79</f>
        <v>113417.07928671683</v>
      </c>
      <c r="T11" s="15"/>
      <c r="U11" s="15">
        <f>U12*U9</f>
        <v>117953.76245818551</v>
      </c>
      <c r="W11" s="44"/>
    </row>
    <row r="12" spans="1:24" s="44" customFormat="1" x14ac:dyDescent="0.3">
      <c r="D12" s="69" t="s">
        <v>131</v>
      </c>
      <c r="F12" s="46"/>
      <c r="G12" s="46" t="s">
        <v>24</v>
      </c>
      <c r="H12" s="2">
        <f>H11/H9</f>
        <v>0.1935609468638686</v>
      </c>
      <c r="I12" s="2">
        <f t="shared" ref="I12:S12" si="1">I11/I9</f>
        <v>0.19158426366645984</v>
      </c>
      <c r="J12" s="2">
        <f t="shared" si="1"/>
        <v>0.1952068116004668</v>
      </c>
      <c r="K12" s="2">
        <f t="shared" si="1"/>
        <v>0.19345067404359836</v>
      </c>
      <c r="L12" s="2">
        <f t="shared" si="1"/>
        <v>0.19345067404359839</v>
      </c>
      <c r="M12" s="2">
        <f t="shared" si="1"/>
        <v>0.19345067404359842</v>
      </c>
      <c r="N12" s="2">
        <f t="shared" si="1"/>
        <v>0.19345067404359842</v>
      </c>
      <c r="O12" s="2">
        <f t="shared" si="1"/>
        <v>0.19345067404359848</v>
      </c>
      <c r="P12" s="2">
        <f t="shared" si="1"/>
        <v>0.19345067404359839</v>
      </c>
      <c r="Q12" s="2">
        <f t="shared" si="1"/>
        <v>0.19345067404359839</v>
      </c>
      <c r="R12" s="2">
        <f t="shared" si="1"/>
        <v>0.19345067404359845</v>
      </c>
      <c r="S12" s="2">
        <f t="shared" si="1"/>
        <v>0.19345067404359842</v>
      </c>
      <c r="T12" s="15"/>
      <c r="U12" s="2">
        <f>S12</f>
        <v>0.19345067404359842</v>
      </c>
      <c r="W12" s="44" t="s">
        <v>109</v>
      </c>
    </row>
    <row r="13" spans="1:24" x14ac:dyDescent="0.3">
      <c r="C13" s="3" t="s">
        <v>27</v>
      </c>
      <c r="G13" s="4" t="s">
        <v>48</v>
      </c>
      <c r="H13" s="15">
        <f>H11+SUM(model!H71:H72)</f>
        <v>26923</v>
      </c>
      <c r="I13" s="15">
        <f>I11+SUM(model!I71:I72)</f>
        <v>32326</v>
      </c>
      <c r="J13" s="15">
        <f>J11+SUM(model!J71:J72)</f>
        <v>41060</v>
      </c>
      <c r="K13" s="15">
        <f>K11+SUM(model!K71:K72)</f>
        <v>46734.500676779549</v>
      </c>
      <c r="L13" s="15">
        <f>L11+SUM(model!L71:L72)</f>
        <v>52511.310833767406</v>
      </c>
      <c r="M13" s="15">
        <f>M11+SUM(model!M71:M72)</f>
        <v>58156.704862774401</v>
      </c>
      <c r="N13" s="15">
        <f>N11+SUM(model!N71:N72)</f>
        <v>63629.483325652611</v>
      </c>
      <c r="O13" s="15">
        <f>O11+SUM(model!O71:O72)</f>
        <v>68884.448019174306</v>
      </c>
      <c r="P13" s="15">
        <f>P11+SUM(model!P71:P72)</f>
        <v>73872.107042231961</v>
      </c>
      <c r="Q13" s="15">
        <f>Q11+SUM(model!Q71:Q72)</f>
        <v>78538.360674197873</v>
      </c>
      <c r="R13" s="15">
        <f>R11+SUM(model!R71:R72)</f>
        <v>82824.1668932014</v>
      </c>
      <c r="S13" s="15">
        <f>S11+SUM(model!S71:S72)</f>
        <v>86665.185293498027</v>
      </c>
      <c r="T13" s="15"/>
      <c r="U13" s="15">
        <f>U11-U17</f>
        <v>90131.792705237938</v>
      </c>
    </row>
    <row r="14" spans="1:24" x14ac:dyDescent="0.3">
      <c r="D14" s="69" t="s">
        <v>132</v>
      </c>
      <c r="E14" s="44"/>
      <c r="F14" s="46"/>
      <c r="G14" s="46" t="s">
        <v>24</v>
      </c>
      <c r="H14" s="2">
        <f>H13/H9</f>
        <v>0.14165601208045922</v>
      </c>
      <c r="I14" s="2">
        <f t="shared" ref="I14:S14" si="2">I13/I9</f>
        <v>0.14025937962364354</v>
      </c>
      <c r="J14" s="2">
        <f t="shared" si="2"/>
        <v>0.14788722248634942</v>
      </c>
      <c r="K14" s="2">
        <f t="shared" si="2"/>
        <v>0.14776891947074988</v>
      </c>
      <c r="L14" s="2">
        <f t="shared" si="2"/>
        <v>0.14885418441841439</v>
      </c>
      <c r="M14" s="2">
        <f t="shared" si="2"/>
        <v>0.14952970901844187</v>
      </c>
      <c r="N14" s="2">
        <f t="shared" si="2"/>
        <v>0.14987394179845545</v>
      </c>
      <c r="O14" s="2">
        <f t="shared" si="2"/>
        <v>0.14993710147583306</v>
      </c>
      <c r="P14" s="2">
        <f t="shared" si="2"/>
        <v>0.14975054076709532</v>
      </c>
      <c r="Q14" s="2">
        <f t="shared" si="2"/>
        <v>0.14933213623342656</v>
      </c>
      <c r="R14" s="2">
        <f t="shared" si="2"/>
        <v>0.14868939035284692</v>
      </c>
      <c r="S14" s="2">
        <f t="shared" si="2"/>
        <v>0.14782110962986222</v>
      </c>
      <c r="T14" s="15"/>
      <c r="U14" s="2">
        <f>U13/U9</f>
        <v>0.14782110962986222</v>
      </c>
    </row>
    <row r="15" spans="1:24" x14ac:dyDescent="0.3">
      <c r="C15" s="3" t="s">
        <v>28</v>
      </c>
      <c r="G15" s="4" t="s">
        <v>48</v>
      </c>
      <c r="H15" s="15">
        <f>H13*(1-$G$16)</f>
        <v>21538.400000000001</v>
      </c>
      <c r="I15" s="15">
        <f t="shared" ref="I15:S15" si="3">I13*(1-$G$16)</f>
        <v>25860.800000000003</v>
      </c>
      <c r="J15" s="15">
        <f t="shared" si="3"/>
        <v>32848</v>
      </c>
      <c r="K15" s="15">
        <f t="shared" si="3"/>
        <v>37387.600541423642</v>
      </c>
      <c r="L15" s="15">
        <f t="shared" si="3"/>
        <v>42009.048667013929</v>
      </c>
      <c r="M15" s="15">
        <f t="shared" si="3"/>
        <v>46525.363890219523</v>
      </c>
      <c r="N15" s="15">
        <f t="shared" si="3"/>
        <v>50903.586660522094</v>
      </c>
      <c r="O15" s="15">
        <f t="shared" si="3"/>
        <v>55107.558415339445</v>
      </c>
      <c r="P15" s="15">
        <f t="shared" si="3"/>
        <v>59097.685633785572</v>
      </c>
      <c r="Q15" s="15">
        <f t="shared" si="3"/>
        <v>62830.6885393583</v>
      </c>
      <c r="R15" s="15">
        <f t="shared" si="3"/>
        <v>66259.33351456112</v>
      </c>
      <c r="S15" s="15">
        <f t="shared" si="3"/>
        <v>69332.148234798427</v>
      </c>
      <c r="T15" s="15"/>
      <c r="U15" s="15">
        <f>U13*(1-$G$16)</f>
        <v>72105.434164190359</v>
      </c>
    </row>
    <row r="16" spans="1:24" x14ac:dyDescent="0.3">
      <c r="D16" s="69" t="s">
        <v>29</v>
      </c>
      <c r="G16" s="82">
        <f>model!F88</f>
        <v>0.2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3:23" x14ac:dyDescent="0.3">
      <c r="C17" s="3" t="s">
        <v>30</v>
      </c>
      <c r="G17" s="4" t="s">
        <v>48</v>
      </c>
      <c r="H17" s="15">
        <f>-SUM(model!H71:H72)</f>
        <v>9865</v>
      </c>
      <c r="I17" s="15">
        <f>-SUM(model!I71:I72)</f>
        <v>11829</v>
      </c>
      <c r="J17" s="15">
        <f>-SUM(model!J71:J72)</f>
        <v>13138</v>
      </c>
      <c r="K17" s="15">
        <f>-SUM(model!K71:K72)</f>
        <v>14447.652440362201</v>
      </c>
      <c r="L17" s="15">
        <f>-SUM(model!L71:L72)</f>
        <v>15732.309695912187</v>
      </c>
      <c r="M17" s="15">
        <f>-SUM(model!M71:M72)</f>
        <v>17082.214745306825</v>
      </c>
      <c r="N17" s="15">
        <f>-SUM(model!N71:N72)</f>
        <v>18500.647440817011</v>
      </c>
      <c r="O17" s="15">
        <f>-SUM(model!O71:O72)</f>
        <v>19991.105591406464</v>
      </c>
      <c r="P17" s="15">
        <f>-SUM(model!P71:P72)</f>
        <v>21557.323977764052</v>
      </c>
      <c r="Q17" s="15">
        <f>-SUM(model!Q71:Q72)</f>
        <v>23203.295167071374</v>
      </c>
      <c r="R17" s="15">
        <f>-SUM(model!R71:R72)</f>
        <v>24933.292294487863</v>
      </c>
      <c r="S17" s="15">
        <f>-SUM(model!S71:S72)</f>
        <v>26751.893993218811</v>
      </c>
      <c r="T17" s="15"/>
      <c r="U17" s="15">
        <f>S17*(1+H26)</f>
        <v>27821.969752947563</v>
      </c>
      <c r="W17" s="44" t="s">
        <v>110</v>
      </c>
    </row>
    <row r="18" spans="3:23" x14ac:dyDescent="0.3">
      <c r="C18" s="3" t="s">
        <v>100</v>
      </c>
      <c r="G18" s="4" t="s">
        <v>48</v>
      </c>
      <c r="H18" s="15">
        <f>-model!H191</f>
        <v>-5674</v>
      </c>
      <c r="I18" s="15">
        <f>-model!I191</f>
        <v>-5706</v>
      </c>
      <c r="J18" s="15">
        <f>-model!J191</f>
        <v>-11210</v>
      </c>
      <c r="K18" s="15">
        <f>-model!K191</f>
        <v>-13581.474498908514</v>
      </c>
      <c r="L18" s="15">
        <f>-model!L191</f>
        <v>-15868.100932724748</v>
      </c>
      <c r="M18" s="15">
        <f>-model!M191</f>
        <v>-18120.304502083749</v>
      </c>
      <c r="N18" s="15">
        <f>-model!N191</f>
        <v>-20266.205129732094</v>
      </c>
      <c r="O18" s="15">
        <f>-model!O191</f>
        <v>-22232.329507989685</v>
      </c>
      <c r="P18" s="15">
        <f>-model!P191</f>
        <v>-23947.394927177462</v>
      </c>
      <c r="Q18" s="15">
        <f>-model!Q191</f>
        <v>-25592.333227002891</v>
      </c>
      <c r="R18" s="15">
        <f>-model!R191</f>
        <v>-27151.919708218909</v>
      </c>
      <c r="S18" s="15">
        <f>-model!S191</f>
        <v>-28609.549082028556</v>
      </c>
      <c r="T18" s="15"/>
      <c r="U18" s="15">
        <f>-U17</f>
        <v>-27821.969752947563</v>
      </c>
      <c r="W18" s="44" t="s">
        <v>262</v>
      </c>
    </row>
    <row r="19" spans="3:23" x14ac:dyDescent="0.3">
      <c r="C19" s="3" t="s">
        <v>101</v>
      </c>
      <c r="G19" s="4" t="s">
        <v>48</v>
      </c>
      <c r="H19" s="15"/>
      <c r="I19" s="15">
        <f>-model!I178</f>
        <v>-6803.9999999999891</v>
      </c>
      <c r="J19" s="15">
        <f>-model!J178</f>
        <v>-1129.0000000000073</v>
      </c>
      <c r="K19" s="15">
        <f>-model!K178</f>
        <v>1145.2831338215547</v>
      </c>
      <c r="L19" s="15">
        <f>-model!L178</f>
        <v>-4251.6628793666387</v>
      </c>
      <c r="M19" s="15">
        <f>-model!M178</f>
        <v>-1286.7186945248322</v>
      </c>
      <c r="N19" s="15">
        <f>-model!N178</f>
        <v>-1254.7329683416174</v>
      </c>
      <c r="O19" s="15">
        <f>-model!O178</f>
        <v>-1213.4040523296062</v>
      </c>
      <c r="P19" s="15">
        <f>-model!P178</f>
        <v>-1161.8379842907889</v>
      </c>
      <c r="Q19" s="15">
        <f>-model!Q178</f>
        <v>-1099.0756339163345</v>
      </c>
      <c r="R19" s="15">
        <f>-model!R178</f>
        <v>-1024.0885202374484</v>
      </c>
      <c r="S19" s="15">
        <f>-model!S178</f>
        <v>-935.77437832999567</v>
      </c>
      <c r="T19" s="15"/>
      <c r="U19" s="15">
        <f>S19*(1+H26)</f>
        <v>-973.20535346319548</v>
      </c>
      <c r="W19" s="44" t="s">
        <v>111</v>
      </c>
    </row>
    <row r="20" spans="3:23" x14ac:dyDescent="0.3">
      <c r="C20" s="42" t="s">
        <v>31</v>
      </c>
      <c r="D20" s="42"/>
      <c r="E20" s="42"/>
      <c r="F20" s="43"/>
      <c r="G20" s="43" t="s">
        <v>48</v>
      </c>
      <c r="H20" s="15">
        <f>H15+SUM(H17:H19)</f>
        <v>25729.4</v>
      </c>
      <c r="I20" s="15">
        <f>I15+SUM(I17:I19)</f>
        <v>25179.800000000014</v>
      </c>
      <c r="J20" s="15">
        <f t="shared" ref="J20:S20" si="4">J15+SUM(J17:J19)</f>
        <v>33646.999999999993</v>
      </c>
      <c r="K20" s="15">
        <f t="shared" si="4"/>
        <v>39399.061616698884</v>
      </c>
      <c r="L20" s="15">
        <f t="shared" si="4"/>
        <v>37621.594550834729</v>
      </c>
      <c r="M20" s="15">
        <f t="shared" si="4"/>
        <v>44200.555438917771</v>
      </c>
      <c r="N20" s="15">
        <f t="shared" si="4"/>
        <v>47883.296003265394</v>
      </c>
      <c r="O20" s="15">
        <f t="shared" si="4"/>
        <v>51652.930446426617</v>
      </c>
      <c r="P20" s="15">
        <f t="shared" si="4"/>
        <v>55545.776700081376</v>
      </c>
      <c r="Q20" s="15">
        <f t="shared" si="4"/>
        <v>59342.574845510448</v>
      </c>
      <c r="R20" s="15">
        <f t="shared" si="4"/>
        <v>63016.617580592625</v>
      </c>
      <c r="S20" s="15">
        <f t="shared" si="4"/>
        <v>66538.718767658691</v>
      </c>
      <c r="T20" s="15"/>
      <c r="U20" s="15">
        <f>U15+SUM(U17:U19)</f>
        <v>71132.22881072716</v>
      </c>
    </row>
    <row r="21" spans="3:23" x14ac:dyDescent="0.3"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3:23" x14ac:dyDescent="0.3">
      <c r="C22" s="3" t="s">
        <v>32</v>
      </c>
      <c r="G22" s="4" t="s">
        <v>0</v>
      </c>
      <c r="H22" s="15"/>
      <c r="I22" s="15"/>
      <c r="J22" s="15"/>
      <c r="K22" s="66">
        <v>0.5</v>
      </c>
      <c r="L22" s="66">
        <f>K22+1</f>
        <v>1.5</v>
      </c>
      <c r="M22" s="66">
        <f t="shared" ref="M22:S22" si="5">L22+1</f>
        <v>2.5</v>
      </c>
      <c r="N22" s="66">
        <f t="shared" si="5"/>
        <v>3.5</v>
      </c>
      <c r="O22" s="66">
        <f t="shared" si="5"/>
        <v>4.5</v>
      </c>
      <c r="P22" s="66">
        <f t="shared" si="5"/>
        <v>5.5</v>
      </c>
      <c r="Q22" s="66">
        <f t="shared" si="5"/>
        <v>6.5</v>
      </c>
      <c r="R22" s="66">
        <f t="shared" si="5"/>
        <v>7.5</v>
      </c>
      <c r="S22" s="66">
        <f t="shared" si="5"/>
        <v>8.5</v>
      </c>
      <c r="T22" s="15"/>
      <c r="U22" s="15"/>
      <c r="W22" s="44" t="s">
        <v>112</v>
      </c>
    </row>
    <row r="23" spans="3:23" x14ac:dyDescent="0.3">
      <c r="C23" s="3" t="s">
        <v>33</v>
      </c>
      <c r="G23" s="4" t="s">
        <v>0</v>
      </c>
      <c r="H23" s="15"/>
      <c r="I23" s="15"/>
      <c r="J23" s="15"/>
      <c r="K23" s="66">
        <f>1/((1+model!$J$255)^DCF!K22)</f>
        <v>0.9331948160276089</v>
      </c>
      <c r="L23" s="66">
        <f>1/((1+model!$J$255)^DCF!L22)</f>
        <v>0.81267509886580958</v>
      </c>
      <c r="M23" s="66">
        <f>1/((1+model!$J$255)^DCF!M22)</f>
        <v>0.70772019408326192</v>
      </c>
      <c r="N23" s="66">
        <f>1/((1+model!$J$255)^DCF!N22)</f>
        <v>0.61631994607964991</v>
      </c>
      <c r="O23" s="66">
        <f>1/((1+model!$J$255)^DCF!O22)</f>
        <v>0.53672380569507094</v>
      </c>
      <c r="P23" s="66">
        <f>1/((1+model!$J$255)^DCF!P22)</f>
        <v>0.46740730270405906</v>
      </c>
      <c r="Q23" s="66">
        <f>1/((1+model!$J$255)^DCF!Q22)</f>
        <v>0.40704284830101817</v>
      </c>
      <c r="R23" s="66">
        <f>1/((1+model!$J$255)^DCF!R22)</f>
        <v>0.35447430836977978</v>
      </c>
      <c r="S23" s="66">
        <f>1/((1+model!$J$255)^DCF!S22)</f>
        <v>0.30869486055018713</v>
      </c>
      <c r="T23" s="15"/>
      <c r="U23" s="66">
        <f>S23</f>
        <v>0.30869486055018713</v>
      </c>
    </row>
    <row r="24" spans="3:23" x14ac:dyDescent="0.3">
      <c r="C24" s="3" t="s">
        <v>151</v>
      </c>
      <c r="G24" s="4" t="s">
        <v>48</v>
      </c>
      <c r="H24" s="15"/>
      <c r="I24" s="15"/>
      <c r="J24" s="15"/>
      <c r="K24" s="15">
        <f>K20*K23</f>
        <v>36767.000057055739</v>
      </c>
      <c r="L24" s="15">
        <f t="shared" ref="L24:S24" si="6">L20*L23</f>
        <v>30574.133071089014</v>
      </c>
      <c r="M24" s="15">
        <f t="shared" si="6"/>
        <v>31281.625673818864</v>
      </c>
      <c r="N24" s="15">
        <f t="shared" si="6"/>
        <v>29511.430410848443</v>
      </c>
      <c r="O24" s="15">
        <f t="shared" si="6"/>
        <v>27723.357404508894</v>
      </c>
      <c r="P24" s="15">
        <f t="shared" si="6"/>
        <v>25962.501663987008</v>
      </c>
      <c r="Q24" s="15">
        <f t="shared" si="6"/>
        <v>24154.970690632927</v>
      </c>
      <c r="R24" s="15">
        <f t="shared" si="6"/>
        <v>22337.771932683478</v>
      </c>
      <c r="S24" s="15">
        <f t="shared" si="6"/>
        <v>20540.160511170518</v>
      </c>
      <c r="T24" s="15"/>
      <c r="U24" s="15"/>
    </row>
    <row r="25" spans="3:23" x14ac:dyDescent="0.3"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3:23" x14ac:dyDescent="0.3">
      <c r="C26" s="3" t="s">
        <v>35</v>
      </c>
      <c r="G26" s="4" t="s">
        <v>24</v>
      </c>
      <c r="H26" s="2">
        <f>model!J238</f>
        <v>0.04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3:23" x14ac:dyDescent="0.3">
      <c r="C27" s="3" t="s">
        <v>36</v>
      </c>
      <c r="G27" s="4" t="s">
        <v>24</v>
      </c>
      <c r="H27" s="120">
        <f>model!J255</f>
        <v>0.14829999999999999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3:23" x14ac:dyDescent="0.3"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3:23" x14ac:dyDescent="0.3">
      <c r="C29" s="3" t="s">
        <v>133</v>
      </c>
      <c r="G29" s="4" t="s">
        <v>48</v>
      </c>
      <c r="H29" s="15">
        <f>SUM(K24:S24)</f>
        <v>248852.95141579487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3:23" x14ac:dyDescent="0.3">
      <c r="C30" s="3" t="s">
        <v>135</v>
      </c>
      <c r="G30" s="4" t="s">
        <v>48</v>
      </c>
      <c r="H30" s="15">
        <f>U20/(H27-H26)</f>
        <v>656807.28357088799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3:23" x14ac:dyDescent="0.3">
      <c r="C31" s="3" t="s">
        <v>134</v>
      </c>
      <c r="G31" s="4" t="s">
        <v>48</v>
      </c>
      <c r="H31" s="15">
        <f>H30*U23</f>
        <v>202753.03281026249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3:23" x14ac:dyDescent="0.3">
      <c r="C32" s="42" t="s">
        <v>37</v>
      </c>
      <c r="F32" s="43"/>
      <c r="G32" s="43" t="s">
        <v>48</v>
      </c>
      <c r="H32" s="79">
        <f>H29+H31</f>
        <v>451605.98422605736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3:22" s="77" customFormat="1" x14ac:dyDescent="0.3">
      <c r="D33" s="69" t="s">
        <v>256</v>
      </c>
      <c r="F33" s="78"/>
      <c r="G33" s="78" t="s">
        <v>0</v>
      </c>
      <c r="H33" s="66">
        <f>H32/K9</f>
        <v>1.4279242818307472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3:22" s="77" customFormat="1" x14ac:dyDescent="0.3">
      <c r="D34" s="69" t="s">
        <v>257</v>
      </c>
      <c r="F34" s="78"/>
      <c r="G34" s="78" t="s">
        <v>0</v>
      </c>
      <c r="H34" s="66">
        <f>H32/K11</f>
        <v>7.3813352622846535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3:22" x14ac:dyDescent="0.3">
      <c r="C35" s="3" t="s">
        <v>97</v>
      </c>
      <c r="G35" s="4" t="s">
        <v>48</v>
      </c>
      <c r="H35" s="15">
        <f>-model!J121</f>
        <v>-21928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3:22" x14ac:dyDescent="0.3">
      <c r="C36" s="3" t="s">
        <v>258</v>
      </c>
      <c r="G36" s="4" t="s">
        <v>48</v>
      </c>
      <c r="H36" s="15">
        <f>-model!J122</f>
        <v>-12612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3:22" x14ac:dyDescent="0.3">
      <c r="C37" s="3" t="s">
        <v>259</v>
      </c>
      <c r="G37" s="4" t="s">
        <v>48</v>
      </c>
      <c r="H37" s="15">
        <f>model!J99</f>
        <v>70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3:22" x14ac:dyDescent="0.3">
      <c r="C38" s="3" t="s">
        <v>38</v>
      </c>
      <c r="G38" s="4" t="s">
        <v>48</v>
      </c>
      <c r="H38" s="15">
        <f>model!J105</f>
        <v>23584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3:22" x14ac:dyDescent="0.3">
      <c r="C39" s="42" t="s">
        <v>39</v>
      </c>
      <c r="G39" s="43" t="s">
        <v>48</v>
      </c>
      <c r="H39" s="79">
        <f>H32+SUM(H35:H38)</f>
        <v>440719.98422605736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3:22" x14ac:dyDescent="0.3">
      <c r="C40" s="129" t="s">
        <v>279</v>
      </c>
      <c r="G40" s="4" t="s">
        <v>48</v>
      </c>
      <c r="H40" s="15">
        <f>H39*10%</f>
        <v>44071.998422605742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3:22" x14ac:dyDescent="0.3"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3:22" ht="14.4" x14ac:dyDescent="0.3">
      <c r="C42" s="137" t="s">
        <v>267</v>
      </c>
      <c r="D42" s="138"/>
      <c r="E42" s="138"/>
      <c r="F42" s="138"/>
      <c r="G42" s="138"/>
      <c r="H42" s="138"/>
      <c r="I42" s="138"/>
      <c r="J42" s="139"/>
      <c r="K42" s="139"/>
      <c r="L42" s="139"/>
      <c r="M42" s="139"/>
      <c r="N42" s="139"/>
      <c r="O42" s="139"/>
      <c r="P42" s="140"/>
      <c r="Q42" s="140"/>
      <c r="R42" s="140"/>
      <c r="S42" s="140"/>
      <c r="T42" s="140"/>
      <c r="U42" s="140"/>
      <c r="V42" s="140"/>
    </row>
    <row r="43" spans="3:22" ht="14.4" x14ac:dyDescent="0.3">
      <c r="H43" s="131" t="s">
        <v>280</v>
      </c>
      <c r="O43" s="15"/>
      <c r="P43" s="132" t="s">
        <v>282</v>
      </c>
      <c r="Q43" s="15"/>
      <c r="R43" s="15"/>
      <c r="S43" s="15"/>
      <c r="T43" s="15"/>
    </row>
    <row r="44" spans="3:22" ht="14.4" x14ac:dyDescent="0.3">
      <c r="H44"/>
      <c r="I44"/>
      <c r="J44" s="150" t="s">
        <v>36</v>
      </c>
      <c r="K44" s="150"/>
      <c r="L44" s="150"/>
      <c r="M44" s="150"/>
      <c r="N44" s="150"/>
      <c r="O44" s="15"/>
      <c r="P44"/>
      <c r="Q44"/>
      <c r="R44" s="150" t="s">
        <v>36</v>
      </c>
      <c r="S44" s="150"/>
      <c r="T44" s="150"/>
      <c r="U44" s="150"/>
      <c r="V44" s="150"/>
    </row>
    <row r="45" spans="3:22" ht="14.4" x14ac:dyDescent="0.3">
      <c r="H45"/>
      <c r="I45" s="124">
        <f>H40</f>
        <v>44071.998422605742</v>
      </c>
      <c r="J45" s="127">
        <v>0.13829999999999998</v>
      </c>
      <c r="K45" s="127">
        <v>0.14329999999999998</v>
      </c>
      <c r="L45" s="127">
        <v>0.14829999999999999</v>
      </c>
      <c r="M45" s="127">
        <v>0.15329999999999999</v>
      </c>
      <c r="N45" s="127">
        <v>0.1583</v>
      </c>
      <c r="O45" s="15"/>
      <c r="P45"/>
      <c r="Q45" s="141">
        <f>H34</f>
        <v>7.3813352622846535</v>
      </c>
      <c r="R45" s="127">
        <v>0.13829999999999998</v>
      </c>
      <c r="S45" s="127">
        <v>0.14329999999999998</v>
      </c>
      <c r="T45" s="133">
        <v>0.14829999999999999</v>
      </c>
      <c r="U45" s="127">
        <v>0.15329999999999999</v>
      </c>
      <c r="V45" s="127">
        <v>0.1583</v>
      </c>
    </row>
    <row r="46" spans="3:22" ht="14.4" x14ac:dyDescent="0.3">
      <c r="H46" s="151" t="s">
        <v>35</v>
      </c>
      <c r="I46" s="126">
        <v>0.03</v>
      </c>
      <c r="J46" s="125">
        <f t="dataTable" ref="J46:N50" dt2D="1" dtr="1" r1="H27" r2="H26" ca="1"/>
        <v>43841.791758708125</v>
      </c>
      <c r="K46" s="125">
        <v>42955.632771248689</v>
      </c>
      <c r="L46" s="130">
        <v>42144.381559567737</v>
      </c>
      <c r="M46" s="125">
        <v>41398.925255565693</v>
      </c>
      <c r="N46" s="125">
        <v>40711.571547354921</v>
      </c>
      <c r="O46" s="15"/>
      <c r="P46" s="151" t="s">
        <v>35</v>
      </c>
      <c r="Q46" s="126">
        <v>0.03</v>
      </c>
      <c r="R46" s="134">
        <f t="dataTable" ref="R46:V50" dt2D="1" dtr="1" r1="H27" r2="H26" ca="1"/>
        <v>7.3437016887413558</v>
      </c>
      <c r="S46" s="134">
        <v>7.1988623717897537</v>
      </c>
      <c r="T46" s="135">
        <v>7.0662664459583215</v>
      </c>
      <c r="U46" s="134">
        <v>6.9444244476071342</v>
      </c>
      <c r="V46" s="134">
        <v>6.8320790976075596</v>
      </c>
    </row>
    <row r="47" spans="3:22" ht="14.4" x14ac:dyDescent="0.3">
      <c r="H47" s="151"/>
      <c r="I47" s="126">
        <v>3.5000000000000003E-2</v>
      </c>
      <c r="J47" s="125">
        <v>44915.931403400849</v>
      </c>
      <c r="K47" s="130">
        <v>43939.269247328666</v>
      </c>
      <c r="L47" s="130">
        <v>43048.808517211655</v>
      </c>
      <c r="M47" s="130">
        <v>42233.619192852639</v>
      </c>
      <c r="N47" s="125">
        <v>41484.54416892826</v>
      </c>
      <c r="O47" s="15"/>
      <c r="P47" s="151"/>
      <c r="Q47" s="126">
        <v>3.5000000000000003E-2</v>
      </c>
      <c r="R47" s="134">
        <v>7.5192657293363325</v>
      </c>
      <c r="S47" s="135">
        <v>7.3596340136060334</v>
      </c>
      <c r="T47" s="135">
        <v>7.2140915931740821</v>
      </c>
      <c r="U47" s="135">
        <v>7.0808519977997788</v>
      </c>
      <c r="V47" s="134">
        <v>6.958418533437178</v>
      </c>
    </row>
    <row r="48" spans="3:22" ht="14.4" x14ac:dyDescent="0.3">
      <c r="H48" s="151"/>
      <c r="I48" s="126">
        <v>0.04</v>
      </c>
      <c r="J48" s="130">
        <v>46099.342629445833</v>
      </c>
      <c r="K48" s="130">
        <v>45018.127066688401</v>
      </c>
      <c r="L48" s="128">
        <v>44036.7467359492</v>
      </c>
      <c r="M48" s="130">
        <v>43141.984263174621</v>
      </c>
      <c r="N48" s="130">
        <v>42322.856826137548</v>
      </c>
      <c r="O48" s="15"/>
      <c r="P48" s="151"/>
      <c r="Q48" s="126">
        <v>0.04</v>
      </c>
      <c r="R48" s="135">
        <v>7.7126897944068906</v>
      </c>
      <c r="S48" s="135">
        <v>7.5359692219098502</v>
      </c>
      <c r="T48" s="136">
        <v>7.3755663384707084</v>
      </c>
      <c r="U48" s="135">
        <v>7.2293208145584105</v>
      </c>
      <c r="V48" s="135">
        <v>7.0954375496412361</v>
      </c>
    </row>
    <row r="49" spans="3:22" ht="14.4" x14ac:dyDescent="0.3">
      <c r="H49" s="151"/>
      <c r="I49" s="126">
        <v>4.4999999999999998E-2</v>
      </c>
      <c r="J49" s="125">
        <v>47409.59321519552</v>
      </c>
      <c r="K49" s="130">
        <v>46206.736444477407</v>
      </c>
      <c r="L49" s="130">
        <v>45120.322729975953</v>
      </c>
      <c r="M49" s="130">
        <v>44134.224224569734</v>
      </c>
      <c r="N49" s="125">
        <v>43235.160009137588</v>
      </c>
      <c r="O49" s="15"/>
      <c r="P49" s="151"/>
      <c r="Q49" s="126">
        <v>4.4999999999999998E-2</v>
      </c>
      <c r="R49" s="134">
        <v>7.9268452705246659</v>
      </c>
      <c r="S49" s="135">
        <v>7.7302429051174126</v>
      </c>
      <c r="T49" s="135">
        <v>7.5526727144833679</v>
      </c>
      <c r="U49" s="135">
        <v>7.3914986633353843</v>
      </c>
      <c r="V49" s="134">
        <v>7.2445500359427397</v>
      </c>
    </row>
    <row r="50" spans="3:22" ht="14.4" x14ac:dyDescent="0.3">
      <c r="H50" s="151"/>
      <c r="I50" s="126">
        <v>0.05</v>
      </c>
      <c r="J50" s="125">
        <v>48868.230050747006</v>
      </c>
      <c r="K50" s="125">
        <v>47522.74232578079</v>
      </c>
      <c r="L50" s="130">
        <v>46314.130259508995</v>
      </c>
      <c r="M50" s="125">
        <v>45222.518393263505</v>
      </c>
      <c r="N50" s="125">
        <v>44231.701713190276</v>
      </c>
      <c r="O50" s="15"/>
      <c r="P50" s="151"/>
      <c r="Q50" s="126">
        <v>0.05</v>
      </c>
      <c r="R50" s="134">
        <v>8.1652539149457048</v>
      </c>
      <c r="S50" s="134">
        <v>7.9453390624093885</v>
      </c>
      <c r="T50" s="135">
        <v>7.7477960158279364</v>
      </c>
      <c r="U50" s="134">
        <v>7.5693762070568855</v>
      </c>
      <c r="V50" s="134">
        <v>7.4074309882000611</v>
      </c>
    </row>
    <row r="51" spans="3:22" x14ac:dyDescent="0.3"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3:22" ht="14.4" x14ac:dyDescent="0.3">
      <c r="C52" s="142" t="s">
        <v>268</v>
      </c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40"/>
      <c r="Q52" s="140"/>
      <c r="R52" s="140"/>
      <c r="S52" s="140"/>
      <c r="T52" s="140"/>
      <c r="U52" s="140"/>
      <c r="V52" s="140"/>
    </row>
    <row r="53" spans="3:22" x14ac:dyDescent="0.3">
      <c r="C53" s="143" t="s">
        <v>269</v>
      </c>
      <c r="G53" s="4" t="s">
        <v>270</v>
      </c>
      <c r="H53" s="3">
        <v>850</v>
      </c>
      <c r="I53" s="143"/>
      <c r="J53" s="143"/>
      <c r="K53" s="143"/>
      <c r="L53" s="143"/>
      <c r="M53" s="143"/>
      <c r="N53" s="143"/>
      <c r="O53" s="143"/>
      <c r="P53" s="143"/>
      <c r="Q53" s="15"/>
      <c r="R53" s="15"/>
      <c r="S53" s="15"/>
      <c r="T53" s="15"/>
    </row>
    <row r="54" spans="3:22" x14ac:dyDescent="0.3">
      <c r="C54" s="3" t="s">
        <v>271</v>
      </c>
      <c r="G54" s="4" t="s">
        <v>272</v>
      </c>
      <c r="H54" s="15">
        <f>H39/H53</f>
        <v>518.49409908947928</v>
      </c>
      <c r="I54" s="15"/>
      <c r="J54" s="144" t="s">
        <v>281</v>
      </c>
      <c r="K54" s="143"/>
      <c r="L54" s="143"/>
      <c r="M54" s="143"/>
      <c r="N54" s="143"/>
      <c r="O54" s="143"/>
      <c r="P54" s="143"/>
      <c r="Q54" s="143"/>
      <c r="R54" s="143"/>
      <c r="S54" s="143"/>
      <c r="T54" s="15"/>
    </row>
    <row r="55" spans="3:22" ht="13.2" customHeight="1" x14ac:dyDescent="0.3">
      <c r="C55" s="97" t="s">
        <v>277</v>
      </c>
      <c r="F55" s="3"/>
      <c r="G55" s="3"/>
      <c r="I55" s="15"/>
      <c r="J55" s="149" t="s">
        <v>284</v>
      </c>
      <c r="K55" s="149"/>
      <c r="L55" s="149"/>
      <c r="M55" s="149"/>
      <c r="N55" s="149"/>
      <c r="O55" s="149"/>
      <c r="P55" s="149"/>
      <c r="Q55" s="149"/>
      <c r="R55" s="149"/>
      <c r="S55" s="149"/>
      <c r="T55" s="15"/>
    </row>
    <row r="56" spans="3:22" x14ac:dyDescent="0.3">
      <c r="C56" s="3" t="s">
        <v>273</v>
      </c>
      <c r="G56" s="4" t="s">
        <v>272</v>
      </c>
      <c r="H56" s="40">
        <v>309.3</v>
      </c>
      <c r="I56" s="15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5"/>
    </row>
    <row r="57" spans="3:22" x14ac:dyDescent="0.3">
      <c r="C57" s="3" t="s">
        <v>274</v>
      </c>
      <c r="G57" s="4" t="s">
        <v>24</v>
      </c>
      <c r="H57" s="2">
        <f>H54/H56-1</f>
        <v>0.6763469094389889</v>
      </c>
      <c r="I57" s="15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5"/>
    </row>
    <row r="58" spans="3:22" x14ac:dyDescent="0.3">
      <c r="C58" s="3" t="s">
        <v>80</v>
      </c>
      <c r="G58" s="4" t="s">
        <v>24</v>
      </c>
      <c r="H58" s="2">
        <f>model!J245</f>
        <v>0.17499999999999999</v>
      </c>
      <c r="I58" s="15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5"/>
    </row>
    <row r="59" spans="3:22" x14ac:dyDescent="0.3">
      <c r="C59" s="3" t="s">
        <v>275</v>
      </c>
      <c r="G59" s="4" t="s">
        <v>276</v>
      </c>
      <c r="H59" s="145">
        <f>LOG(1+H57,1+H58)</f>
        <v>3.2034656246794482</v>
      </c>
      <c r="I59" s="15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5"/>
    </row>
    <row r="60" spans="3:22" x14ac:dyDescent="0.3">
      <c r="C60" s="97" t="s">
        <v>278</v>
      </c>
      <c r="H60" s="15"/>
      <c r="I60" s="15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5"/>
    </row>
    <row r="61" spans="3:22" x14ac:dyDescent="0.3">
      <c r="C61" s="3" t="s">
        <v>273</v>
      </c>
      <c r="G61" s="4" t="s">
        <v>272</v>
      </c>
      <c r="H61" s="40">
        <v>336.9</v>
      </c>
      <c r="I61" s="15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5"/>
    </row>
    <row r="62" spans="3:22" x14ac:dyDescent="0.3">
      <c r="C62" s="3" t="s">
        <v>274</v>
      </c>
      <c r="G62" s="4" t="s">
        <v>24</v>
      </c>
      <c r="H62" s="2">
        <f>H54/H61-1</f>
        <v>0.53901483849652521</v>
      </c>
      <c r="I62" s="15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5"/>
    </row>
    <row r="63" spans="3:22" x14ac:dyDescent="0.3">
      <c r="C63" s="3" t="s">
        <v>80</v>
      </c>
      <c r="G63" s="4" t="s">
        <v>24</v>
      </c>
      <c r="H63" s="2">
        <f>model!J245</f>
        <v>0.17499999999999999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3:22" x14ac:dyDescent="0.3">
      <c r="C64" s="3" t="s">
        <v>275</v>
      </c>
      <c r="G64" s="4" t="s">
        <v>276</v>
      </c>
      <c r="H64" s="145">
        <f>LOG(1+H62,1+H63)</f>
        <v>2.6734510372015525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8:20" x14ac:dyDescent="0.3"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spans="8:20" ht="14.4" hidden="1" customHeight="1" x14ac:dyDescent="0.3"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8:20" ht="14.4" hidden="1" customHeight="1" x14ac:dyDescent="0.3"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8:20" ht="14.4" hidden="1" customHeight="1" x14ac:dyDescent="0.3"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8:20" ht="14.4" hidden="1" customHeight="1" x14ac:dyDescent="0.3"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8:20" ht="14.4" hidden="1" customHeight="1" x14ac:dyDescent="0.3"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8:20" ht="14.4" hidden="1" customHeight="1" x14ac:dyDescent="0.3"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8:20" ht="14.4" hidden="1" customHeight="1" x14ac:dyDescent="0.3"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8:20" hidden="1" x14ac:dyDescent="0.3"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spans="8:20" hidden="1" x14ac:dyDescent="0.3"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spans="8:20" hidden="1" x14ac:dyDescent="0.3"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 spans="8:20" hidden="1" x14ac:dyDescent="0.3"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 spans="8:20" hidden="1" x14ac:dyDescent="0.3"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spans="8:20" hidden="1" x14ac:dyDescent="0.3"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8:20" hidden="1" x14ac:dyDescent="0.3"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8:20" hidden="1" x14ac:dyDescent="0.3"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8:20" hidden="1" x14ac:dyDescent="0.3"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8:20" hidden="1" x14ac:dyDescent="0.3"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8:20" hidden="1" x14ac:dyDescent="0.3"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8:20" hidden="1" x14ac:dyDescent="0.3"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spans="8:20" hidden="1" x14ac:dyDescent="0.3"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8:20" hidden="1" x14ac:dyDescent="0.3"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8:20" hidden="1" x14ac:dyDescent="0.3"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8:20" hidden="1" x14ac:dyDescent="0.3"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8:20" hidden="1" x14ac:dyDescent="0.3"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8:20" hidden="1" x14ac:dyDescent="0.3"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8:20" hidden="1" x14ac:dyDescent="0.3"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8:20" hidden="1" x14ac:dyDescent="0.3"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 spans="8:20" hidden="1" x14ac:dyDescent="0.3"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 spans="8:20" hidden="1" x14ac:dyDescent="0.3"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8:20" hidden="1" x14ac:dyDescent="0.3"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spans="8:20" hidden="1" x14ac:dyDescent="0.3"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spans="8:20" hidden="1" x14ac:dyDescent="0.3"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8:20" hidden="1" x14ac:dyDescent="0.3"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8:20" hidden="1" x14ac:dyDescent="0.3"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8:20" hidden="1" x14ac:dyDescent="0.3"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8:20" hidden="1" x14ac:dyDescent="0.3"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8:20" hidden="1" x14ac:dyDescent="0.3"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8:20" hidden="1" x14ac:dyDescent="0.3"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 spans="8:20" hidden="1" x14ac:dyDescent="0.3"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8:20" hidden="1" x14ac:dyDescent="0.3"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8:20" hidden="1" x14ac:dyDescent="0.3"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8:20" hidden="1" x14ac:dyDescent="0.3"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 spans="8:20" hidden="1" x14ac:dyDescent="0.3"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8:20" hidden="1" x14ac:dyDescent="0.3"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8:20" hidden="1" x14ac:dyDescent="0.3"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8:20" hidden="1" x14ac:dyDescent="0.3"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spans="8:20" hidden="1" x14ac:dyDescent="0.3"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8:20" hidden="1" x14ac:dyDescent="0.3"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spans="8:20" hidden="1" x14ac:dyDescent="0.3"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8:20" hidden="1" x14ac:dyDescent="0.3"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 spans="8:20" hidden="1" x14ac:dyDescent="0.3"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8:20" hidden="1" x14ac:dyDescent="0.3"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 spans="8:20" hidden="1" x14ac:dyDescent="0.3"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8:20" hidden="1" x14ac:dyDescent="0.3"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  <row r="120" spans="8:20" hidden="1" x14ac:dyDescent="0.3"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8:20" hidden="1" x14ac:dyDescent="0.3"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spans="8:20" hidden="1" x14ac:dyDescent="0.3"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8:20" hidden="1" x14ac:dyDescent="0.3"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8:20" hidden="1" x14ac:dyDescent="0.3"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8:20" x14ac:dyDescent="0.3"/>
  </sheetData>
  <mergeCells count="5">
    <mergeCell ref="J55:S62"/>
    <mergeCell ref="J44:N44"/>
    <mergeCell ref="H46:H50"/>
    <mergeCell ref="R44:V44"/>
    <mergeCell ref="P46:P50"/>
  </mergeCells>
  <pageMargins left="0.7" right="0.7" top="0.75" bottom="0.75" header="0.3" footer="0.3"/>
  <pageSetup paperSize="9" orientation="portrait" r:id="rId1"/>
  <ignoredErrors>
    <ignoredError sqref="H13:S13 H17:J1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model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Tolstel</dc:creator>
  <cp:lastModifiedBy>Denis Chochiev</cp:lastModifiedBy>
  <dcterms:created xsi:type="dcterms:W3CDTF">2015-06-05T18:17:20Z</dcterms:created>
  <dcterms:modified xsi:type="dcterms:W3CDTF">2024-08-18T10:45:53Z</dcterms:modified>
</cp:coreProperties>
</file>