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deniseong/Documents/GitHub/TAN1810_C14/R_C14_rates calculation/data_used/"/>
    </mc:Choice>
  </mc:AlternateContent>
  <xr:revisionPtr revIDLastSave="0" documentId="13_ncr:1_{62890204-F7A2-BC43-AF53-648CCB7FCBE7}" xr6:coauthVersionLast="47" xr6:coauthVersionMax="47" xr10:uidLastSave="{00000000-0000-0000-0000-000000000000}"/>
  <bookViews>
    <workbookView xWindow="0" yWindow="460" windowWidth="25600" windowHeight="14480" tabRatio="500" firstSheet="5" activeTab="18" xr2:uid="{00000000-000D-0000-FFFF-FFFF00000000}"/>
  </bookViews>
  <sheets>
    <sheet name="Summary of PhotoAdaption " sheetId="19" r:id="rId1"/>
    <sheet name="Incubation times" sheetId="18" r:id="rId2"/>
    <sheet name="MD1" sheetId="1" r:id="rId3"/>
    <sheet name="MD2" sheetId="2" r:id="rId4"/>
    <sheet name="MD3" sheetId="3" r:id="rId5"/>
    <sheet name="MD4" sheetId="4" r:id="rId6"/>
    <sheet name="MD5" sheetId="5" r:id="rId7"/>
    <sheet name="MD6" sheetId="6" r:id="rId8"/>
    <sheet name="MD7" sheetId="8" r:id="rId9"/>
    <sheet name="MD9" sheetId="7" r:id="rId10"/>
    <sheet name="MD10" sheetId="9" r:id="rId11"/>
    <sheet name="MD11" sheetId="10" r:id="rId12"/>
    <sheet name="MD12" sheetId="11" r:id="rId13"/>
    <sheet name="MD13" sheetId="12" r:id="rId14"/>
    <sheet name="MD14" sheetId="13" r:id="rId15"/>
    <sheet name="MD15" sheetId="14" r:id="rId16"/>
    <sheet name="MD16" sheetId="15" r:id="rId17"/>
    <sheet name="MD17" sheetId="16" r:id="rId18"/>
    <sheet name="MD18" sheetId="17" r:id="rId19"/>
  </sheets>
  <definedNames>
    <definedName name="_xlnm._FilterDatabase" localSheetId="0" hidden="1">'Summary of PhotoAdaption '!$H$5:$CD$103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K5" i="19" l="1"/>
  <c r="AM103" i="19" l="1"/>
  <c r="AL103" i="19"/>
  <c r="AM102" i="19"/>
  <c r="AL102" i="19"/>
  <c r="AM101" i="19"/>
  <c r="AL101" i="19"/>
  <c r="AM100" i="19"/>
  <c r="AL100" i="19"/>
  <c r="AM99" i="19"/>
  <c r="AL99" i="19"/>
  <c r="AM98" i="19"/>
  <c r="AL98" i="19"/>
  <c r="AM97" i="19"/>
  <c r="AL97" i="19"/>
  <c r="AM96" i="19"/>
  <c r="AL96" i="19"/>
  <c r="AM95" i="19"/>
  <c r="AL95" i="19"/>
  <c r="AM94" i="19"/>
  <c r="AL94" i="19"/>
  <c r="AM93" i="19"/>
  <c r="AL93" i="19"/>
  <c r="AM92" i="19"/>
  <c r="AL92" i="19"/>
  <c r="AM91" i="19"/>
  <c r="AL91" i="19"/>
  <c r="AM90" i="19"/>
  <c r="AL90" i="19"/>
  <c r="AM89" i="19"/>
  <c r="AL89" i="19"/>
  <c r="AM88" i="19"/>
  <c r="AL88" i="19"/>
  <c r="AM87" i="19"/>
  <c r="AL87" i="19"/>
  <c r="AM86" i="19"/>
  <c r="AL86" i="19"/>
  <c r="AM85" i="19"/>
  <c r="AL85" i="19"/>
  <c r="AM84" i="19"/>
  <c r="AL84" i="19"/>
  <c r="AM83" i="19"/>
  <c r="AL83" i="19"/>
  <c r="AM82" i="19"/>
  <c r="AL82" i="19"/>
  <c r="AM81" i="19"/>
  <c r="AL81" i="19"/>
  <c r="AM80" i="19"/>
  <c r="AL80" i="19"/>
  <c r="AM79" i="19"/>
  <c r="AL79" i="19"/>
  <c r="AM78" i="19"/>
  <c r="AL78" i="19"/>
  <c r="AM77" i="19"/>
  <c r="AL77" i="19"/>
  <c r="AM76" i="19"/>
  <c r="AL76" i="19"/>
  <c r="AM75" i="19"/>
  <c r="AL75" i="19"/>
  <c r="AM74" i="19"/>
  <c r="AL74" i="19"/>
  <c r="AM73" i="19"/>
  <c r="AL73" i="19"/>
  <c r="AM72" i="19"/>
  <c r="AL72" i="19"/>
  <c r="AM71" i="19"/>
  <c r="AL71" i="19"/>
  <c r="AM70" i="19"/>
  <c r="AL70" i="19"/>
  <c r="AM69" i="19"/>
  <c r="AL69" i="19"/>
  <c r="AM68" i="19"/>
  <c r="AL68" i="19"/>
  <c r="AM67" i="19"/>
  <c r="AL67" i="19"/>
  <c r="AM66" i="19"/>
  <c r="AL66" i="19"/>
  <c r="AM65" i="19"/>
  <c r="AL65" i="19"/>
  <c r="AM64" i="19"/>
  <c r="AL64" i="19"/>
  <c r="AM63" i="19"/>
  <c r="AL63" i="19"/>
  <c r="AM62" i="19"/>
  <c r="AL62" i="19"/>
  <c r="AM61" i="19"/>
  <c r="AL61" i="19"/>
  <c r="AM60" i="19"/>
  <c r="AL60" i="19"/>
  <c r="AM59" i="19"/>
  <c r="AL59" i="19"/>
  <c r="AM58" i="19"/>
  <c r="AL58" i="19"/>
  <c r="AM57" i="19"/>
  <c r="AL57" i="19"/>
  <c r="AM56" i="19"/>
  <c r="AL56" i="19"/>
  <c r="AM55" i="19"/>
  <c r="AL55" i="19"/>
  <c r="AM54" i="19"/>
  <c r="AL54" i="19"/>
  <c r="AM53" i="19"/>
  <c r="AL53" i="19"/>
  <c r="AM52" i="19"/>
  <c r="AL52" i="19"/>
  <c r="AM51" i="19"/>
  <c r="AL51" i="19"/>
  <c r="AM50" i="19"/>
  <c r="AL50" i="19"/>
  <c r="AM49" i="19"/>
  <c r="AL49" i="19"/>
  <c r="AM48" i="19"/>
  <c r="AL48" i="19"/>
  <c r="AM47" i="19"/>
  <c r="AL47" i="19"/>
  <c r="AM46" i="19"/>
  <c r="AL46" i="19"/>
  <c r="AM45" i="19"/>
  <c r="AL45" i="19"/>
  <c r="AM44" i="19"/>
  <c r="AL44" i="19"/>
  <c r="AM42" i="19"/>
  <c r="AL42" i="19"/>
  <c r="AM41" i="19"/>
  <c r="AL41" i="19"/>
  <c r="AM40" i="19"/>
  <c r="AL40" i="19"/>
  <c r="AM39" i="19"/>
  <c r="AL39" i="19"/>
  <c r="AM38" i="19"/>
  <c r="AL38" i="19"/>
  <c r="AM37" i="19"/>
  <c r="AL37" i="19"/>
  <c r="AM36" i="19"/>
  <c r="AL36" i="19"/>
  <c r="AM35" i="19"/>
  <c r="AL35" i="19"/>
  <c r="AM34" i="19"/>
  <c r="AL34" i="19"/>
  <c r="AM33" i="19"/>
  <c r="AL33" i="19"/>
  <c r="AM32" i="19"/>
  <c r="AL32" i="19"/>
  <c r="AM31" i="19"/>
  <c r="AL31" i="19"/>
  <c r="AM30" i="19"/>
  <c r="AL30" i="19"/>
  <c r="AM29" i="19"/>
  <c r="AL29" i="19"/>
  <c r="AM28" i="19"/>
  <c r="AL28" i="19"/>
  <c r="AM27" i="19"/>
  <c r="AL27" i="19"/>
  <c r="AM26" i="19"/>
  <c r="AL26" i="19"/>
  <c r="AM25" i="19"/>
  <c r="AL25" i="19"/>
  <c r="AM24" i="19"/>
  <c r="AL24" i="19"/>
  <c r="AM23" i="19"/>
  <c r="AL23" i="19"/>
  <c r="AM22" i="19"/>
  <c r="AL22" i="19"/>
  <c r="AM21" i="19"/>
  <c r="AL21" i="19"/>
  <c r="AM20" i="19"/>
  <c r="AL20" i="19"/>
  <c r="AM19" i="19"/>
  <c r="AL19" i="19"/>
  <c r="AM18" i="19"/>
  <c r="AL18" i="19"/>
  <c r="AM17" i="19"/>
  <c r="AL17" i="19"/>
  <c r="AM16" i="19"/>
  <c r="AL16" i="19"/>
  <c r="AM15" i="19"/>
  <c r="AL15" i="19"/>
  <c r="AM14" i="19"/>
  <c r="AL14" i="19"/>
  <c r="AM13" i="19"/>
  <c r="AL13" i="19"/>
  <c r="AM12" i="19"/>
  <c r="AL12" i="19"/>
  <c r="AM11" i="19"/>
  <c r="AL11" i="19"/>
  <c r="AM10" i="19"/>
  <c r="AL10" i="19"/>
  <c r="AM9" i="19"/>
  <c r="AL9" i="19"/>
  <c r="AM8" i="19"/>
  <c r="AL8" i="19"/>
  <c r="AM7" i="19"/>
  <c r="AL7" i="19"/>
  <c r="AM6" i="19"/>
  <c r="AL6" i="19"/>
  <c r="AJ103" i="19"/>
  <c r="AI103" i="19"/>
  <c r="AJ102" i="19"/>
  <c r="AI102" i="19"/>
  <c r="AJ101" i="19"/>
  <c r="AI101" i="19"/>
  <c r="AJ100" i="19"/>
  <c r="AI100" i="19"/>
  <c r="AJ99" i="19"/>
  <c r="AI99" i="19"/>
  <c r="AJ98" i="19"/>
  <c r="AI98" i="19"/>
  <c r="AJ97" i="19"/>
  <c r="AI97" i="19"/>
  <c r="AJ96" i="19"/>
  <c r="AI96" i="19"/>
  <c r="AJ95" i="19"/>
  <c r="AI95" i="19"/>
  <c r="AJ94" i="19"/>
  <c r="AI94" i="19"/>
  <c r="AJ93" i="19"/>
  <c r="AI93" i="19"/>
  <c r="AJ92" i="19"/>
  <c r="AI92" i="19"/>
  <c r="AJ91" i="19"/>
  <c r="AI91" i="19"/>
  <c r="AJ90" i="19"/>
  <c r="AI90" i="19"/>
  <c r="AJ89" i="19"/>
  <c r="AI89" i="19"/>
  <c r="AJ88" i="19"/>
  <c r="AI88" i="19"/>
  <c r="AJ87" i="19"/>
  <c r="AI87" i="19"/>
  <c r="AJ86" i="19"/>
  <c r="AI86" i="19"/>
  <c r="AJ85" i="19"/>
  <c r="AI85" i="19"/>
  <c r="AJ84" i="19"/>
  <c r="AI84" i="19"/>
  <c r="AJ83" i="19"/>
  <c r="AI83" i="19"/>
  <c r="AJ82" i="19"/>
  <c r="AI82" i="19"/>
  <c r="AJ81" i="19"/>
  <c r="AI81" i="19"/>
  <c r="AJ80" i="19"/>
  <c r="AI80" i="19"/>
  <c r="AJ79" i="19"/>
  <c r="AI79" i="19"/>
  <c r="AJ78" i="19"/>
  <c r="AI78" i="19"/>
  <c r="AJ77" i="19"/>
  <c r="AI77" i="19"/>
  <c r="AJ76" i="19"/>
  <c r="AI76" i="19"/>
  <c r="AJ75" i="19"/>
  <c r="AI75" i="19"/>
  <c r="AJ74" i="19"/>
  <c r="AI74" i="19"/>
  <c r="AJ73" i="19"/>
  <c r="AI73" i="19"/>
  <c r="AJ72" i="19"/>
  <c r="AI72" i="19"/>
  <c r="AJ71" i="19"/>
  <c r="AI71" i="19"/>
  <c r="AJ70" i="19"/>
  <c r="AI70" i="19"/>
  <c r="AJ69" i="19"/>
  <c r="AI69" i="19"/>
  <c r="AJ68" i="19"/>
  <c r="AI68" i="19"/>
  <c r="AJ67" i="19"/>
  <c r="AI67" i="19"/>
  <c r="AJ66" i="19"/>
  <c r="AI66" i="19"/>
  <c r="AJ65" i="19"/>
  <c r="AI65" i="19"/>
  <c r="AJ64" i="19"/>
  <c r="AI64" i="19"/>
  <c r="AJ63" i="19"/>
  <c r="AI63" i="19"/>
  <c r="AJ62" i="19"/>
  <c r="AI62" i="19"/>
  <c r="AJ61" i="19"/>
  <c r="AI61" i="19"/>
  <c r="AJ60" i="19"/>
  <c r="AI60" i="19"/>
  <c r="AJ59" i="19"/>
  <c r="AI59" i="19"/>
  <c r="AJ58" i="19"/>
  <c r="AI58" i="19"/>
  <c r="AJ57" i="19"/>
  <c r="AI57" i="19"/>
  <c r="AJ56" i="19"/>
  <c r="AI56" i="19"/>
  <c r="AJ55" i="19"/>
  <c r="AI55" i="19"/>
  <c r="AJ54" i="19"/>
  <c r="AI54" i="19"/>
  <c r="AJ53" i="19"/>
  <c r="AI53" i="19"/>
  <c r="AJ52" i="19"/>
  <c r="AI52" i="19"/>
  <c r="AJ51" i="19"/>
  <c r="AI51" i="19"/>
  <c r="AJ50" i="19"/>
  <c r="AI50" i="19"/>
  <c r="AJ49" i="19"/>
  <c r="AI49" i="19"/>
  <c r="AJ48" i="19"/>
  <c r="AI48" i="19"/>
  <c r="AJ47" i="19"/>
  <c r="AI47" i="19"/>
  <c r="AJ46" i="19"/>
  <c r="AI46" i="19"/>
  <c r="AJ45" i="19"/>
  <c r="AI45" i="19"/>
  <c r="AJ44" i="19"/>
  <c r="AI44" i="19"/>
  <c r="AJ42" i="19"/>
  <c r="AI42" i="19"/>
  <c r="AJ41" i="19"/>
  <c r="AI41" i="19"/>
  <c r="AJ40" i="19"/>
  <c r="AI40" i="19"/>
  <c r="AJ39" i="19"/>
  <c r="AI39" i="19"/>
  <c r="AJ38" i="19"/>
  <c r="AI38" i="19"/>
  <c r="AJ37" i="19"/>
  <c r="AI37" i="19"/>
  <c r="AJ36" i="19"/>
  <c r="AI36" i="19"/>
  <c r="AJ35" i="19"/>
  <c r="AI35" i="19"/>
  <c r="AJ34" i="19"/>
  <c r="AI34" i="19"/>
  <c r="AJ33" i="19"/>
  <c r="AI33" i="19"/>
  <c r="AJ32" i="19"/>
  <c r="AI32" i="19"/>
  <c r="AJ31" i="19"/>
  <c r="AI31" i="19"/>
  <c r="AJ30" i="19"/>
  <c r="AI30" i="19"/>
  <c r="AJ29" i="19"/>
  <c r="AI29" i="19"/>
  <c r="AJ28" i="19"/>
  <c r="AI28" i="19"/>
  <c r="AJ27" i="19"/>
  <c r="AI27" i="19"/>
  <c r="AJ26" i="19"/>
  <c r="AI26" i="19"/>
  <c r="AJ25" i="19"/>
  <c r="AI25" i="19"/>
  <c r="AJ24" i="19"/>
  <c r="AI24" i="19"/>
  <c r="AJ23" i="19"/>
  <c r="AI23" i="19"/>
  <c r="AJ22" i="19"/>
  <c r="AI22" i="19"/>
  <c r="AJ21" i="19"/>
  <c r="AI21" i="19"/>
  <c r="AJ20" i="19"/>
  <c r="AI20" i="19"/>
  <c r="AJ19" i="19"/>
  <c r="AI19" i="19"/>
  <c r="AJ18" i="19"/>
  <c r="AI18" i="19"/>
  <c r="AJ17" i="19"/>
  <c r="AI17" i="19"/>
  <c r="AJ16" i="19"/>
  <c r="AI16" i="19"/>
  <c r="AJ15" i="19"/>
  <c r="AI15" i="19"/>
  <c r="AJ14" i="19"/>
  <c r="AI14" i="19"/>
  <c r="AJ13" i="19"/>
  <c r="AI13" i="19"/>
  <c r="AJ12" i="19"/>
  <c r="AI12" i="19"/>
  <c r="AJ11" i="19"/>
  <c r="AI11" i="19"/>
  <c r="AJ10" i="19"/>
  <c r="AI10" i="19"/>
  <c r="AJ9" i="19"/>
  <c r="AI9" i="19"/>
  <c r="AJ8" i="19"/>
  <c r="AI8" i="19"/>
  <c r="AJ7" i="19"/>
  <c r="AI7" i="19"/>
  <c r="AJ6" i="19"/>
  <c r="AI6" i="19"/>
  <c r="AM5" i="19"/>
  <c r="AL5" i="19"/>
  <c r="AJ5" i="19"/>
  <c r="AI5" i="19"/>
  <c r="A4" i="19"/>
  <c r="AT103" i="19" l="1"/>
  <c r="AT102" i="19"/>
  <c r="AT101" i="19"/>
  <c r="AT100" i="19"/>
  <c r="AT99" i="19"/>
  <c r="AT98" i="19"/>
  <c r="AT97" i="19"/>
  <c r="AT96" i="19"/>
  <c r="AT95" i="19"/>
  <c r="AT94" i="19"/>
  <c r="AT93" i="19"/>
  <c r="AT92" i="19"/>
  <c r="AT91" i="19"/>
  <c r="AT90" i="19"/>
  <c r="AT89" i="19"/>
  <c r="AT88" i="19"/>
  <c r="AT87" i="19"/>
  <c r="AT86" i="19"/>
  <c r="AT85" i="19"/>
  <c r="AT84" i="19"/>
  <c r="AT83" i="19"/>
  <c r="AT82" i="19"/>
  <c r="AT81" i="19"/>
  <c r="AT80" i="19"/>
  <c r="AT79" i="19"/>
  <c r="AT78" i="19"/>
  <c r="AT77" i="19"/>
  <c r="AT76" i="19"/>
  <c r="AT75" i="19"/>
  <c r="AT74" i="19"/>
  <c r="AT73" i="19"/>
  <c r="AT72" i="19"/>
  <c r="AT71" i="19"/>
  <c r="AT70" i="19"/>
  <c r="AT69" i="19"/>
  <c r="AT68" i="19"/>
  <c r="AT67" i="19"/>
  <c r="AT66" i="19"/>
  <c r="AT65" i="19"/>
  <c r="AT64" i="19"/>
  <c r="AT63" i="19"/>
  <c r="AT62" i="19"/>
  <c r="AT61" i="19"/>
  <c r="AT60" i="19"/>
  <c r="AT59" i="19"/>
  <c r="AT58" i="19"/>
  <c r="AT57" i="19"/>
  <c r="AT56" i="19"/>
  <c r="AT55" i="19"/>
  <c r="AT54" i="19"/>
  <c r="AT53" i="19"/>
  <c r="AT52" i="19"/>
  <c r="AT51" i="19"/>
  <c r="AT50" i="19"/>
  <c r="AT49" i="19"/>
  <c r="AT48" i="19"/>
  <c r="AT47" i="19"/>
  <c r="AT46" i="19"/>
  <c r="AT45" i="19"/>
  <c r="AT44" i="19"/>
  <c r="AT42" i="19"/>
  <c r="AT41" i="19"/>
  <c r="AT40" i="19"/>
  <c r="AT39" i="19"/>
  <c r="AT38" i="19"/>
  <c r="AT37" i="19"/>
  <c r="AT36" i="19"/>
  <c r="AT35" i="19"/>
  <c r="AT34" i="19"/>
  <c r="AT33" i="19"/>
  <c r="AT32" i="19"/>
  <c r="AT31" i="19"/>
  <c r="AT30" i="19"/>
  <c r="AT29" i="19"/>
  <c r="AT28" i="19"/>
  <c r="AT27" i="19"/>
  <c r="AT26" i="19"/>
  <c r="AT25" i="19"/>
  <c r="AT24" i="19"/>
  <c r="AT23" i="19"/>
  <c r="AT22" i="19"/>
  <c r="AT21" i="19"/>
  <c r="AT20" i="19"/>
  <c r="AT19" i="19"/>
  <c r="AT18" i="19"/>
  <c r="AT17" i="19"/>
  <c r="AT16" i="19"/>
  <c r="AT15" i="19"/>
  <c r="AT14" i="19"/>
  <c r="AT13" i="19"/>
  <c r="AT12" i="19"/>
  <c r="AT11" i="19"/>
  <c r="AT10" i="19"/>
  <c r="AT9" i="19"/>
  <c r="AT8" i="19"/>
  <c r="AT7" i="19"/>
  <c r="AT6" i="19"/>
  <c r="AT5" i="19"/>
  <c r="AH103" i="19"/>
  <c r="AP103" i="19" s="1"/>
  <c r="AH102" i="19"/>
  <c r="AP102" i="19" s="1"/>
  <c r="AH101" i="19"/>
  <c r="AP101" i="19" s="1"/>
  <c r="AH100" i="19"/>
  <c r="AP100" i="19" s="1"/>
  <c r="AH99" i="19"/>
  <c r="AP99" i="19" s="1"/>
  <c r="AH98" i="19"/>
  <c r="AP98" i="19" s="1"/>
  <c r="AH97" i="19"/>
  <c r="AP97" i="19" s="1"/>
  <c r="AH96" i="19"/>
  <c r="AP96" i="19" s="1"/>
  <c r="AH95" i="19"/>
  <c r="AP95" i="19" s="1"/>
  <c r="AH94" i="19"/>
  <c r="AP94" i="19" s="1"/>
  <c r="AH93" i="19"/>
  <c r="AP93" i="19" s="1"/>
  <c r="AH92" i="19"/>
  <c r="AP92" i="19" s="1"/>
  <c r="AH91" i="19"/>
  <c r="AP91" i="19" s="1"/>
  <c r="AH90" i="19"/>
  <c r="AP90" i="19" s="1"/>
  <c r="AH89" i="19"/>
  <c r="AP89" i="19" s="1"/>
  <c r="AH88" i="19"/>
  <c r="AP88" i="19" s="1"/>
  <c r="AH87" i="19"/>
  <c r="AP87" i="19" s="1"/>
  <c r="AH86" i="19"/>
  <c r="AP86" i="19" s="1"/>
  <c r="AH85" i="19"/>
  <c r="AP85" i="19" s="1"/>
  <c r="AH84" i="19"/>
  <c r="AP84" i="19" s="1"/>
  <c r="AH83" i="19"/>
  <c r="AP83" i="19" s="1"/>
  <c r="AH82" i="19"/>
  <c r="AP82" i="19" s="1"/>
  <c r="AH81" i="19"/>
  <c r="AP81" i="19" s="1"/>
  <c r="AH80" i="19"/>
  <c r="AP80" i="19" s="1"/>
  <c r="AH79" i="19"/>
  <c r="AP79" i="19" s="1"/>
  <c r="AH78" i="19"/>
  <c r="AP78" i="19" s="1"/>
  <c r="AH77" i="19"/>
  <c r="AP77" i="19" s="1"/>
  <c r="AH76" i="19"/>
  <c r="AP76" i="19" s="1"/>
  <c r="AH75" i="19"/>
  <c r="AP75" i="19" s="1"/>
  <c r="AH74" i="19"/>
  <c r="AP74" i="19" s="1"/>
  <c r="AH73" i="19"/>
  <c r="AP73" i="19" s="1"/>
  <c r="AH72" i="19"/>
  <c r="AP72" i="19" s="1"/>
  <c r="AH71" i="19"/>
  <c r="AP71" i="19" s="1"/>
  <c r="AH70" i="19"/>
  <c r="AP70" i="19" s="1"/>
  <c r="AH69" i="19"/>
  <c r="AP69" i="19" s="1"/>
  <c r="AH68" i="19"/>
  <c r="AP68" i="19" s="1"/>
  <c r="AH67" i="19"/>
  <c r="AP67" i="19" s="1"/>
  <c r="AH66" i="19"/>
  <c r="AP66" i="19" s="1"/>
  <c r="AH65" i="19"/>
  <c r="AP65" i="19" s="1"/>
  <c r="AH64" i="19"/>
  <c r="AP64" i="19" s="1"/>
  <c r="AH63" i="19"/>
  <c r="AP63" i="19" s="1"/>
  <c r="AH62" i="19"/>
  <c r="AP62" i="19" s="1"/>
  <c r="AH61" i="19"/>
  <c r="AP61" i="19" s="1"/>
  <c r="AH60" i="19"/>
  <c r="AP60" i="19" s="1"/>
  <c r="AH59" i="19"/>
  <c r="AP59" i="19" s="1"/>
  <c r="AH58" i="19"/>
  <c r="AP58" i="19" s="1"/>
  <c r="AH57" i="19"/>
  <c r="AP57" i="19" s="1"/>
  <c r="AH56" i="19"/>
  <c r="AP56" i="19" s="1"/>
  <c r="AH55" i="19"/>
  <c r="AP55" i="19" s="1"/>
  <c r="AH54" i="19"/>
  <c r="AP54" i="19" s="1"/>
  <c r="AH53" i="19"/>
  <c r="AP53" i="19" s="1"/>
  <c r="AH52" i="19"/>
  <c r="AP52" i="19" s="1"/>
  <c r="AH51" i="19"/>
  <c r="AP51" i="19" s="1"/>
  <c r="AH50" i="19"/>
  <c r="AP50" i="19" s="1"/>
  <c r="AH49" i="19"/>
  <c r="AP49" i="19" s="1"/>
  <c r="AH48" i="19"/>
  <c r="AP48" i="19" s="1"/>
  <c r="AH47" i="19"/>
  <c r="AP47" i="19" s="1"/>
  <c r="AH46" i="19"/>
  <c r="AP46" i="19" s="1"/>
  <c r="AH45" i="19"/>
  <c r="AP45" i="19" s="1"/>
  <c r="AH44" i="19"/>
  <c r="AP44" i="19" s="1"/>
  <c r="AH42" i="19"/>
  <c r="AP42" i="19" s="1"/>
  <c r="AH41" i="19"/>
  <c r="AP41" i="19" s="1"/>
  <c r="AH40" i="19"/>
  <c r="AP40" i="19" s="1"/>
  <c r="AH39" i="19"/>
  <c r="AP39" i="19" s="1"/>
  <c r="AH38" i="19"/>
  <c r="AP38" i="19" s="1"/>
  <c r="AH37" i="19"/>
  <c r="AP37" i="19" s="1"/>
  <c r="AH36" i="19"/>
  <c r="AP36" i="19" s="1"/>
  <c r="AH35" i="19"/>
  <c r="AP35" i="19" s="1"/>
  <c r="AH34" i="19"/>
  <c r="AP34" i="19" s="1"/>
  <c r="AH33" i="19"/>
  <c r="AP33" i="19" s="1"/>
  <c r="AH32" i="19"/>
  <c r="AP32" i="19" s="1"/>
  <c r="AH31" i="19"/>
  <c r="AP31" i="19" s="1"/>
  <c r="AH30" i="19"/>
  <c r="AP30" i="19" s="1"/>
  <c r="AH29" i="19"/>
  <c r="AP29" i="19" s="1"/>
  <c r="AH28" i="19"/>
  <c r="AP28" i="19" s="1"/>
  <c r="AH27" i="19"/>
  <c r="AP27" i="19" s="1"/>
  <c r="AH26" i="19"/>
  <c r="AP26" i="19" s="1"/>
  <c r="AH25" i="19"/>
  <c r="AP25" i="19" s="1"/>
  <c r="AH24" i="19"/>
  <c r="AP24" i="19" s="1"/>
  <c r="AH23" i="19"/>
  <c r="AP23" i="19" s="1"/>
  <c r="AH22" i="19"/>
  <c r="AP22" i="19" s="1"/>
  <c r="AH21" i="19"/>
  <c r="AP21" i="19" s="1"/>
  <c r="AH20" i="19"/>
  <c r="AP20" i="19" s="1"/>
  <c r="AH19" i="19"/>
  <c r="AP19" i="19" s="1"/>
  <c r="AH18" i="19"/>
  <c r="AP18" i="19" s="1"/>
  <c r="AH17" i="19"/>
  <c r="AP17" i="19" s="1"/>
  <c r="AH16" i="19"/>
  <c r="AP16" i="19" s="1"/>
  <c r="AH15" i="19"/>
  <c r="AP15" i="19" s="1"/>
  <c r="AH14" i="19"/>
  <c r="AP14" i="19" s="1"/>
  <c r="AH13" i="19"/>
  <c r="AP13" i="19" s="1"/>
  <c r="AH12" i="19"/>
  <c r="AP12" i="19" s="1"/>
  <c r="AH11" i="19"/>
  <c r="AP11" i="19" s="1"/>
  <c r="AH10" i="19"/>
  <c r="AP10" i="19" s="1"/>
  <c r="AH9" i="19"/>
  <c r="AP9" i="19" s="1"/>
  <c r="AH8" i="19"/>
  <c r="AP8" i="19" s="1"/>
  <c r="AH7" i="19"/>
  <c r="AP7" i="19" s="1"/>
  <c r="AH6" i="19"/>
  <c r="AP6" i="19" s="1"/>
  <c r="AH5" i="19"/>
  <c r="AP5" i="19" s="1"/>
  <c r="AV5" i="19"/>
  <c r="AU103" i="19"/>
  <c r="AU102" i="19"/>
  <c r="AU101" i="19"/>
  <c r="AU100" i="19"/>
  <c r="AU99" i="19"/>
  <c r="AU98" i="19"/>
  <c r="AU97" i="19"/>
  <c r="AU96" i="19"/>
  <c r="AU95" i="19"/>
  <c r="AU94" i="19"/>
  <c r="AU93" i="19"/>
  <c r="AU92" i="19"/>
  <c r="AU91" i="19"/>
  <c r="AU90" i="19"/>
  <c r="AU89" i="19"/>
  <c r="AU88" i="19"/>
  <c r="AU87" i="19"/>
  <c r="AU86" i="19"/>
  <c r="AU85" i="19"/>
  <c r="AU84" i="19"/>
  <c r="AU83" i="19"/>
  <c r="AU82" i="19"/>
  <c r="AU81" i="19"/>
  <c r="AU80" i="19"/>
  <c r="AU79" i="19"/>
  <c r="AU78" i="19"/>
  <c r="AU77" i="19"/>
  <c r="AU76" i="19"/>
  <c r="AU75" i="19"/>
  <c r="AU74" i="19"/>
  <c r="AU73" i="19"/>
  <c r="AU72" i="19"/>
  <c r="AU71" i="19"/>
  <c r="AU70" i="19"/>
  <c r="AU69" i="19"/>
  <c r="AU68" i="19"/>
  <c r="AU67" i="19"/>
  <c r="AU66" i="19"/>
  <c r="AU65" i="19"/>
  <c r="AU64" i="19"/>
  <c r="AU63" i="19"/>
  <c r="AU62" i="19"/>
  <c r="AU61" i="19"/>
  <c r="AU60" i="19"/>
  <c r="AU59" i="19"/>
  <c r="AU58" i="19"/>
  <c r="AU57" i="19"/>
  <c r="AU56" i="19"/>
  <c r="AU55" i="19"/>
  <c r="AU54" i="19"/>
  <c r="AU53" i="19"/>
  <c r="AU52" i="19"/>
  <c r="AU51" i="19"/>
  <c r="AU50" i="19"/>
  <c r="AU49" i="19"/>
  <c r="AU48" i="19"/>
  <c r="AU47" i="19"/>
  <c r="AU46" i="19"/>
  <c r="AU45" i="19"/>
  <c r="AU44" i="19"/>
  <c r="AU42" i="19"/>
  <c r="AU41" i="19"/>
  <c r="AU40" i="19"/>
  <c r="AU39" i="19"/>
  <c r="AU38" i="19"/>
  <c r="AU37" i="19"/>
  <c r="AU36" i="19"/>
  <c r="AU35" i="19"/>
  <c r="AU34" i="19"/>
  <c r="AU33" i="19"/>
  <c r="AU32" i="19"/>
  <c r="AU31" i="19"/>
  <c r="AU30" i="19"/>
  <c r="AU29" i="19"/>
  <c r="AU28" i="19"/>
  <c r="AU27" i="19"/>
  <c r="AU26" i="19"/>
  <c r="AU25" i="19"/>
  <c r="AU24" i="19"/>
  <c r="AU23" i="19"/>
  <c r="AU22" i="19"/>
  <c r="AU21" i="19"/>
  <c r="AU20" i="19"/>
  <c r="AU19" i="19"/>
  <c r="AU18" i="19"/>
  <c r="AU17" i="19"/>
  <c r="AU16" i="19"/>
  <c r="AU15" i="19"/>
  <c r="AU14" i="19"/>
  <c r="AU13" i="19"/>
  <c r="AU12" i="19"/>
  <c r="AU11" i="19"/>
  <c r="AU10" i="19"/>
  <c r="AU9" i="19"/>
  <c r="AU8" i="19"/>
  <c r="AU6" i="19"/>
  <c r="AU5" i="19"/>
  <c r="AU7" i="19"/>
  <c r="AN7" i="19"/>
  <c r="AK6" i="19"/>
  <c r="BN9" i="8"/>
  <c r="BN8" i="8"/>
  <c r="BN7" i="8"/>
  <c r="BN6" i="8"/>
  <c r="BN5" i="8"/>
  <c r="BN4" i="8"/>
  <c r="AK40" i="19"/>
  <c r="BG4" i="8"/>
  <c r="AV103" i="19"/>
  <c r="AN103" i="19"/>
  <c r="AK103" i="19"/>
  <c r="AV102" i="19"/>
  <c r="AN102" i="19"/>
  <c r="AY102" i="19" s="1"/>
  <c r="AK102" i="19"/>
  <c r="AV101" i="19"/>
  <c r="AN101" i="19"/>
  <c r="AK101" i="19"/>
  <c r="AV100" i="19"/>
  <c r="AN100" i="19"/>
  <c r="AK100" i="19"/>
  <c r="AV99" i="19"/>
  <c r="AN99" i="19"/>
  <c r="AK99" i="19"/>
  <c r="AV98" i="19"/>
  <c r="AN98" i="19"/>
  <c r="AK98" i="19"/>
  <c r="AV97" i="19"/>
  <c r="AN97" i="19"/>
  <c r="AK97" i="19"/>
  <c r="AV96" i="19"/>
  <c r="AN96" i="19"/>
  <c r="AK96" i="19"/>
  <c r="AV95" i="19"/>
  <c r="AN95" i="19"/>
  <c r="AK95" i="19"/>
  <c r="AV94" i="19"/>
  <c r="AN94" i="19"/>
  <c r="AK94" i="19"/>
  <c r="AV93" i="19"/>
  <c r="AN93" i="19"/>
  <c r="AK93" i="19"/>
  <c r="AV92" i="19"/>
  <c r="AN92" i="19"/>
  <c r="AK92" i="19"/>
  <c r="AV91" i="19"/>
  <c r="AN91" i="19"/>
  <c r="AK91" i="19"/>
  <c r="AV90" i="19"/>
  <c r="AN90" i="19"/>
  <c r="AK90" i="19"/>
  <c r="AV89" i="19"/>
  <c r="AN89" i="19"/>
  <c r="AK89" i="19"/>
  <c r="AV88" i="19"/>
  <c r="AN88" i="19"/>
  <c r="AK88" i="19"/>
  <c r="AV87" i="19"/>
  <c r="AN87" i="19"/>
  <c r="AK87" i="19"/>
  <c r="AV86" i="19"/>
  <c r="AN86" i="19"/>
  <c r="AK86" i="19"/>
  <c r="AV85" i="19"/>
  <c r="AN85" i="19"/>
  <c r="AK85" i="19"/>
  <c r="AV84" i="19"/>
  <c r="AN84" i="19"/>
  <c r="AK84" i="19"/>
  <c r="AV83" i="19"/>
  <c r="AN83" i="19"/>
  <c r="AK83" i="19"/>
  <c r="AV82" i="19"/>
  <c r="AN82" i="19"/>
  <c r="AK82" i="19"/>
  <c r="AV81" i="19"/>
  <c r="AN81" i="19"/>
  <c r="AK81" i="19"/>
  <c r="AV80" i="19"/>
  <c r="AN80" i="19"/>
  <c r="AK80" i="19"/>
  <c r="AV79" i="19"/>
  <c r="AN79" i="19"/>
  <c r="AK79" i="19"/>
  <c r="AV78" i="19"/>
  <c r="AN78" i="19"/>
  <c r="AY78" i="19" s="1"/>
  <c r="AK78" i="19"/>
  <c r="AV77" i="19"/>
  <c r="AN77" i="19"/>
  <c r="AK77" i="19"/>
  <c r="AV76" i="19"/>
  <c r="AN76" i="19"/>
  <c r="AK76" i="19"/>
  <c r="AV75" i="19"/>
  <c r="AN75" i="19"/>
  <c r="AK75" i="19"/>
  <c r="AV74" i="19"/>
  <c r="AN74" i="19"/>
  <c r="AK74" i="19"/>
  <c r="AV73" i="19"/>
  <c r="AN73" i="19"/>
  <c r="AK73" i="19"/>
  <c r="AV72" i="19"/>
  <c r="AN72" i="19"/>
  <c r="AK72" i="19"/>
  <c r="AV71" i="19"/>
  <c r="AN71" i="19"/>
  <c r="AK71" i="19"/>
  <c r="AV70" i="19"/>
  <c r="AN70" i="19"/>
  <c r="AY70" i="19" s="1"/>
  <c r="AK70" i="19"/>
  <c r="AV69" i="19"/>
  <c r="AN69" i="19"/>
  <c r="AK69" i="19"/>
  <c r="AV68" i="19"/>
  <c r="AN68" i="19"/>
  <c r="AK68" i="19"/>
  <c r="AV67" i="19"/>
  <c r="AN67" i="19"/>
  <c r="AK67" i="19"/>
  <c r="AV66" i="19"/>
  <c r="AN66" i="19"/>
  <c r="AK66" i="19"/>
  <c r="AV65" i="19"/>
  <c r="AN65" i="19"/>
  <c r="AK65" i="19"/>
  <c r="AV64" i="19"/>
  <c r="AN64" i="19"/>
  <c r="AY64" i="19" s="1"/>
  <c r="AK64" i="19"/>
  <c r="AV63" i="19"/>
  <c r="AN63" i="19"/>
  <c r="AK63" i="19"/>
  <c r="AV62" i="19"/>
  <c r="AN62" i="19"/>
  <c r="AK62" i="19"/>
  <c r="AV61" i="19"/>
  <c r="AN61" i="19"/>
  <c r="AK61" i="19"/>
  <c r="AV60" i="19"/>
  <c r="AN60" i="19"/>
  <c r="AK60" i="19"/>
  <c r="AV59" i="19"/>
  <c r="AN59" i="19"/>
  <c r="AK59" i="19"/>
  <c r="AV58" i="19"/>
  <c r="AN58" i="19"/>
  <c r="AK58" i="19"/>
  <c r="AV57" i="19"/>
  <c r="AN57" i="19"/>
  <c r="AK57" i="19"/>
  <c r="AV56" i="19"/>
  <c r="AN56" i="19"/>
  <c r="AK56" i="19"/>
  <c r="AV55" i="19"/>
  <c r="AN55" i="19"/>
  <c r="AK55" i="19"/>
  <c r="AV54" i="19"/>
  <c r="AN54" i="19"/>
  <c r="AK54" i="19"/>
  <c r="AV53" i="19"/>
  <c r="AN53" i="19"/>
  <c r="AK53" i="19"/>
  <c r="AV52" i="19"/>
  <c r="AN52" i="19"/>
  <c r="AK52" i="19"/>
  <c r="AV51" i="19"/>
  <c r="AN51" i="19"/>
  <c r="AK51" i="19"/>
  <c r="AV50" i="19"/>
  <c r="AN50" i="19"/>
  <c r="AK50" i="19"/>
  <c r="AV49" i="19"/>
  <c r="AN49" i="19"/>
  <c r="AK49" i="19"/>
  <c r="AV48" i="19"/>
  <c r="AN48" i="19"/>
  <c r="AK48" i="19"/>
  <c r="AV47" i="19"/>
  <c r="AN47" i="19"/>
  <c r="AK47" i="19"/>
  <c r="AV46" i="19"/>
  <c r="AN46" i="19"/>
  <c r="AK46" i="19"/>
  <c r="AV45" i="19"/>
  <c r="AN45" i="19"/>
  <c r="AK45" i="19"/>
  <c r="AV44" i="19"/>
  <c r="AN44" i="19"/>
  <c r="AY44" i="19" s="1"/>
  <c r="AK44" i="19"/>
  <c r="AV42" i="19"/>
  <c r="AN42" i="19"/>
  <c r="AV41" i="19"/>
  <c r="AN41" i="19"/>
  <c r="AV40" i="19"/>
  <c r="AN40" i="19"/>
  <c r="AV39" i="19"/>
  <c r="AN39" i="19"/>
  <c r="AV38" i="19"/>
  <c r="AN38" i="19"/>
  <c r="AV37" i="19"/>
  <c r="AN37" i="19"/>
  <c r="AV36" i="19"/>
  <c r="AN36" i="19"/>
  <c r="AK36" i="19"/>
  <c r="AV35" i="19"/>
  <c r="AN35" i="19"/>
  <c r="AK35" i="19"/>
  <c r="AV34" i="19"/>
  <c r="AN34" i="19"/>
  <c r="AK34" i="19"/>
  <c r="AV33" i="19"/>
  <c r="AN33" i="19"/>
  <c r="AK33" i="19"/>
  <c r="AV32" i="19"/>
  <c r="AN32" i="19"/>
  <c r="AK32" i="19"/>
  <c r="AV31" i="19"/>
  <c r="AN31" i="19"/>
  <c r="AK31" i="19"/>
  <c r="AV30" i="19"/>
  <c r="AN30" i="19"/>
  <c r="AK30" i="19"/>
  <c r="AV29" i="19"/>
  <c r="AN29" i="19"/>
  <c r="AK29" i="19"/>
  <c r="AV28" i="19"/>
  <c r="AN28" i="19"/>
  <c r="AK28" i="19"/>
  <c r="AV27" i="19"/>
  <c r="AN27" i="19"/>
  <c r="AK27" i="19"/>
  <c r="AV26" i="19"/>
  <c r="AN26" i="19"/>
  <c r="AK26" i="19"/>
  <c r="AV25" i="19"/>
  <c r="AN25" i="19"/>
  <c r="AK25" i="19"/>
  <c r="AV24" i="19"/>
  <c r="AN24" i="19"/>
  <c r="AK24" i="19"/>
  <c r="AV23" i="19"/>
  <c r="AN23" i="19"/>
  <c r="AK23" i="19"/>
  <c r="AV22" i="19"/>
  <c r="AN22" i="19"/>
  <c r="AK22" i="19"/>
  <c r="AV21" i="19"/>
  <c r="AN21" i="19"/>
  <c r="AK21" i="19"/>
  <c r="AV20" i="19"/>
  <c r="AN20" i="19"/>
  <c r="AK20" i="19"/>
  <c r="AV19" i="19"/>
  <c r="AN19" i="19"/>
  <c r="AK19" i="19"/>
  <c r="AV18" i="19"/>
  <c r="AN18" i="19"/>
  <c r="AR18" i="19" s="1"/>
  <c r="AK18" i="19"/>
  <c r="AQ18" i="19" s="1"/>
  <c r="AV17" i="19"/>
  <c r="AN17" i="19"/>
  <c r="AR17" i="19" s="1"/>
  <c r="AK17" i="19"/>
  <c r="AQ17" i="19" s="1"/>
  <c r="AV16" i="19"/>
  <c r="AN16" i="19"/>
  <c r="AR16" i="19" s="1"/>
  <c r="AK16" i="19"/>
  <c r="AQ16" i="19" s="1"/>
  <c r="AV15" i="19"/>
  <c r="AN15" i="19"/>
  <c r="AR15" i="19" s="1"/>
  <c r="AK15" i="19"/>
  <c r="AQ15" i="19" s="1"/>
  <c r="AV14" i="19"/>
  <c r="AN14" i="19"/>
  <c r="AR14" i="19" s="1"/>
  <c r="AK14" i="19"/>
  <c r="AQ14" i="19" s="1"/>
  <c r="AV13" i="19"/>
  <c r="AN13" i="19"/>
  <c r="AR13" i="19" s="1"/>
  <c r="AK13" i="19"/>
  <c r="AQ13" i="19" s="1"/>
  <c r="AV12" i="19"/>
  <c r="AN12" i="19"/>
  <c r="AR12" i="19" s="1"/>
  <c r="AK12" i="19"/>
  <c r="AQ12" i="19" s="1"/>
  <c r="AV11" i="19"/>
  <c r="AN11" i="19"/>
  <c r="AR11" i="19" s="1"/>
  <c r="AK11" i="19"/>
  <c r="AQ11" i="19" s="1"/>
  <c r="AV10" i="19"/>
  <c r="AN10" i="19"/>
  <c r="AR10" i="19" s="1"/>
  <c r="AK10" i="19"/>
  <c r="AQ10" i="19" s="1"/>
  <c r="AV9" i="19"/>
  <c r="AN9" i="19"/>
  <c r="AR9" i="19" s="1"/>
  <c r="AK9" i="19"/>
  <c r="AQ9" i="19" s="1"/>
  <c r="AV8" i="19"/>
  <c r="AN8" i="19"/>
  <c r="AR8" i="19" s="1"/>
  <c r="AK8" i="19"/>
  <c r="AQ8" i="19" s="1"/>
  <c r="AV7" i="19"/>
  <c r="AR7" i="19"/>
  <c r="AK7" i="19"/>
  <c r="AQ7" i="19" s="1"/>
  <c r="AV6" i="19"/>
  <c r="AN6" i="19"/>
  <c r="AR6" i="19" s="1"/>
  <c r="AQ6" i="19"/>
  <c r="AN5" i="19"/>
  <c r="AX5" i="19"/>
  <c r="AY9" i="17"/>
  <c r="AY8" i="17"/>
  <c r="AY7" i="17"/>
  <c r="AY6" i="17"/>
  <c r="AY5" i="17"/>
  <c r="AY4" i="17"/>
  <c r="AX9" i="17"/>
  <c r="AX8" i="17"/>
  <c r="AX7" i="17"/>
  <c r="AX6" i="17"/>
  <c r="AX5" i="17"/>
  <c r="AX4" i="17"/>
  <c r="AY9" i="16"/>
  <c r="AY8" i="16"/>
  <c r="AY7" i="16"/>
  <c r="AY6" i="16"/>
  <c r="AY5" i="16"/>
  <c r="AY4" i="16"/>
  <c r="AX9" i="16"/>
  <c r="AX8" i="16"/>
  <c r="AX7" i="16"/>
  <c r="AX6" i="16"/>
  <c r="AX5" i="16"/>
  <c r="AX4" i="16"/>
  <c r="AY9" i="15"/>
  <c r="AY8" i="15"/>
  <c r="AY7" i="15"/>
  <c r="AY6" i="15"/>
  <c r="AY5" i="15"/>
  <c r="AY4" i="15"/>
  <c r="AX9" i="15"/>
  <c r="AX8" i="15"/>
  <c r="AX7" i="15"/>
  <c r="AX6" i="15"/>
  <c r="AX5" i="15"/>
  <c r="AX4" i="15"/>
  <c r="AY9" i="14"/>
  <c r="AY8" i="14"/>
  <c r="AY7" i="14"/>
  <c r="AY6" i="14"/>
  <c r="AY5" i="14"/>
  <c r="AY4" i="14"/>
  <c r="AX9" i="14"/>
  <c r="AX8" i="14"/>
  <c r="AX7" i="14"/>
  <c r="AX6" i="14"/>
  <c r="AX5" i="14"/>
  <c r="AX4" i="14"/>
  <c r="AY9" i="13"/>
  <c r="AY8" i="13"/>
  <c r="AY7" i="13"/>
  <c r="AY6" i="13"/>
  <c r="AY5" i="13"/>
  <c r="AY4" i="13"/>
  <c r="AX9" i="13"/>
  <c r="AX8" i="13"/>
  <c r="AX7" i="13"/>
  <c r="AX6" i="13"/>
  <c r="AX5" i="13"/>
  <c r="AX4" i="13"/>
  <c r="AY9" i="12"/>
  <c r="AY8" i="12"/>
  <c r="AY7" i="12"/>
  <c r="AY6" i="12"/>
  <c r="AY5" i="12"/>
  <c r="AY4" i="12"/>
  <c r="AX9" i="12"/>
  <c r="AX8" i="12"/>
  <c r="AX7" i="12"/>
  <c r="AX6" i="12"/>
  <c r="AX5" i="12"/>
  <c r="AX4" i="12"/>
  <c r="AW14" i="11"/>
  <c r="AY9" i="11"/>
  <c r="AY8" i="11"/>
  <c r="AY7" i="11"/>
  <c r="AY6" i="11"/>
  <c r="AY5" i="11"/>
  <c r="AY4" i="11"/>
  <c r="AX9" i="11"/>
  <c r="AX8" i="11"/>
  <c r="AX7" i="11"/>
  <c r="AX6" i="11"/>
  <c r="AX5" i="11"/>
  <c r="AX4" i="11"/>
  <c r="AY9" i="10"/>
  <c r="AY8" i="10"/>
  <c r="AY7" i="10"/>
  <c r="AY6" i="10"/>
  <c r="AY5" i="10"/>
  <c r="AY4" i="10"/>
  <c r="AX9" i="10"/>
  <c r="AX8" i="10"/>
  <c r="AX7" i="10"/>
  <c r="AX6" i="10"/>
  <c r="AX5" i="10"/>
  <c r="AX4" i="10"/>
  <c r="AY9" i="9"/>
  <c r="AY8" i="9"/>
  <c r="AY7" i="9"/>
  <c r="AY6" i="9"/>
  <c r="AY5" i="9"/>
  <c r="AY4" i="9"/>
  <c r="AX9" i="9"/>
  <c r="AX8" i="9"/>
  <c r="AX7" i="9"/>
  <c r="AX6" i="9"/>
  <c r="AX5" i="9"/>
  <c r="AX4" i="9"/>
  <c r="AY9" i="7"/>
  <c r="AY8" i="7"/>
  <c r="AY7" i="7"/>
  <c r="AY6" i="7"/>
  <c r="AY5" i="7"/>
  <c r="AY4" i="7"/>
  <c r="AX9" i="7"/>
  <c r="AX8" i="7"/>
  <c r="AX7" i="7"/>
  <c r="AX6" i="7"/>
  <c r="AX5" i="7"/>
  <c r="AX4" i="7"/>
  <c r="AY9" i="6"/>
  <c r="AY8" i="6"/>
  <c r="AY7" i="6"/>
  <c r="AX9" i="6"/>
  <c r="AX8" i="6"/>
  <c r="AX7" i="6"/>
  <c r="AY9" i="5"/>
  <c r="AY8" i="5"/>
  <c r="AY7" i="5"/>
  <c r="AY6" i="5"/>
  <c r="AY5" i="5"/>
  <c r="AY4" i="5"/>
  <c r="AX9" i="5"/>
  <c r="AX8" i="5"/>
  <c r="AX7" i="5"/>
  <c r="AX6" i="5"/>
  <c r="AX5" i="5"/>
  <c r="AX4" i="5"/>
  <c r="AY9" i="4"/>
  <c r="AY8" i="4"/>
  <c r="AY7" i="4"/>
  <c r="AY6" i="4"/>
  <c r="AZ6" i="4" s="1"/>
  <c r="AY5" i="4"/>
  <c r="AY4" i="4"/>
  <c r="AX9" i="4"/>
  <c r="AX8" i="4"/>
  <c r="AX7" i="4"/>
  <c r="AX6" i="4"/>
  <c r="AX5" i="4"/>
  <c r="AX4" i="4"/>
  <c r="AY9" i="3"/>
  <c r="AY8" i="3"/>
  <c r="AY7" i="3"/>
  <c r="AY6" i="3"/>
  <c r="AY5" i="3"/>
  <c r="AY4" i="3"/>
  <c r="AX9" i="3"/>
  <c r="AX8" i="3"/>
  <c r="AX7" i="3"/>
  <c r="AX6" i="3"/>
  <c r="AX5" i="3"/>
  <c r="AX4" i="3"/>
  <c r="BA5" i="1"/>
  <c r="BA4" i="1"/>
  <c r="AZ5" i="1"/>
  <c r="AZ4" i="1"/>
  <c r="AT5" i="1"/>
  <c r="AT4" i="1"/>
  <c r="AS5" i="1"/>
  <c r="AS4" i="1"/>
  <c r="AR4" i="16"/>
  <c r="AU4" i="16" s="1"/>
  <c r="AW31" i="17"/>
  <c r="AV31" i="17"/>
  <c r="AW30" i="17"/>
  <c r="AV30" i="17"/>
  <c r="AW29" i="17"/>
  <c r="AV29" i="17"/>
  <c r="AW28" i="17"/>
  <c r="AV28" i="17"/>
  <c r="AW27" i="17"/>
  <c r="AV27" i="17"/>
  <c r="AW26" i="17"/>
  <c r="AV26" i="17"/>
  <c r="AW25" i="17"/>
  <c r="AV25" i="17"/>
  <c r="AW24" i="17"/>
  <c r="AV24" i="17"/>
  <c r="AW23" i="17"/>
  <c r="AV23" i="17"/>
  <c r="AW22" i="17"/>
  <c r="AV22" i="17"/>
  <c r="AW21" i="17"/>
  <c r="AV21" i="17"/>
  <c r="AW20" i="17"/>
  <c r="AV20" i="17"/>
  <c r="AW19" i="17"/>
  <c r="AV19" i="17"/>
  <c r="AW18" i="17"/>
  <c r="AV18" i="17"/>
  <c r="AW17" i="17"/>
  <c r="AV17" i="17"/>
  <c r="AW16" i="17"/>
  <c r="AV16" i="17"/>
  <c r="AW15" i="17"/>
  <c r="AV15" i="17"/>
  <c r="AW14" i="17"/>
  <c r="AV14" i="17"/>
  <c r="AW11" i="17"/>
  <c r="AV11" i="17"/>
  <c r="AW10" i="17"/>
  <c r="AV10" i="17"/>
  <c r="AW9" i="17"/>
  <c r="AV9" i="17"/>
  <c r="AW8" i="17"/>
  <c r="AV8" i="17"/>
  <c r="AW7" i="17"/>
  <c r="AV7" i="17"/>
  <c r="AW6" i="17"/>
  <c r="AV6" i="17"/>
  <c r="AW5" i="17"/>
  <c r="AV5" i="17"/>
  <c r="AW4" i="17"/>
  <c r="AV4" i="17"/>
  <c r="AW31" i="16"/>
  <c r="AV31" i="16"/>
  <c r="AW30" i="16"/>
  <c r="AV30" i="16"/>
  <c r="AW29" i="16"/>
  <c r="AV29" i="16"/>
  <c r="AW28" i="16"/>
  <c r="AV28" i="16"/>
  <c r="AW27" i="16"/>
  <c r="AV27" i="16"/>
  <c r="AW26" i="16"/>
  <c r="AV26" i="16"/>
  <c r="AW25" i="16"/>
  <c r="AV25" i="16"/>
  <c r="AW24" i="16"/>
  <c r="AV24" i="16"/>
  <c r="AW23" i="16"/>
  <c r="AV23" i="16"/>
  <c r="AW22" i="16"/>
  <c r="AV22" i="16"/>
  <c r="AW21" i="16"/>
  <c r="AV21" i="16"/>
  <c r="AW20" i="16"/>
  <c r="AV20" i="16"/>
  <c r="AW19" i="16"/>
  <c r="AV19" i="16"/>
  <c r="AW18" i="16"/>
  <c r="AV18" i="16"/>
  <c r="AW17" i="16"/>
  <c r="AV17" i="16"/>
  <c r="AW16" i="16"/>
  <c r="AV16" i="16"/>
  <c r="AW15" i="16"/>
  <c r="AV15" i="16"/>
  <c r="AW14" i="16"/>
  <c r="AV14" i="16"/>
  <c r="AW11" i="16"/>
  <c r="AV11" i="16"/>
  <c r="AW10" i="16"/>
  <c r="AV10" i="16"/>
  <c r="AW9" i="16"/>
  <c r="AV9" i="16"/>
  <c r="AW8" i="16"/>
  <c r="AV8" i="16"/>
  <c r="AW7" i="16"/>
  <c r="AV7" i="16"/>
  <c r="AW6" i="16"/>
  <c r="AV6" i="16"/>
  <c r="AW5" i="16"/>
  <c r="AV5" i="16"/>
  <c r="AW4" i="16"/>
  <c r="AV4" i="16"/>
  <c r="AW31" i="15"/>
  <c r="AV31" i="15"/>
  <c r="AW30" i="15"/>
  <c r="AV30" i="15"/>
  <c r="AW29" i="15"/>
  <c r="AV29" i="15"/>
  <c r="AW28" i="15"/>
  <c r="AV28" i="15"/>
  <c r="AW27" i="15"/>
  <c r="AV27" i="15"/>
  <c r="AW26" i="15"/>
  <c r="AV26" i="15"/>
  <c r="AW25" i="15"/>
  <c r="AV25" i="15"/>
  <c r="AW24" i="15"/>
  <c r="AV24" i="15"/>
  <c r="AW23" i="15"/>
  <c r="AV23" i="15"/>
  <c r="AW22" i="15"/>
  <c r="AV22" i="15"/>
  <c r="AW21" i="15"/>
  <c r="AV21" i="15"/>
  <c r="AW20" i="15"/>
  <c r="AV20" i="15"/>
  <c r="AW19" i="15"/>
  <c r="AV19" i="15"/>
  <c r="AW18" i="15"/>
  <c r="AV18" i="15"/>
  <c r="AW17" i="15"/>
  <c r="AV17" i="15"/>
  <c r="AW16" i="15"/>
  <c r="AV16" i="15"/>
  <c r="AW15" i="15"/>
  <c r="AV15" i="15"/>
  <c r="AW14" i="15"/>
  <c r="AV14" i="15"/>
  <c r="AW11" i="15"/>
  <c r="AV11" i="15"/>
  <c r="AW10" i="15"/>
  <c r="AV10" i="15"/>
  <c r="AW9" i="15"/>
  <c r="AV9" i="15"/>
  <c r="AW8" i="15"/>
  <c r="AV8" i="15"/>
  <c r="AW7" i="15"/>
  <c r="AV7" i="15"/>
  <c r="AZ7" i="15" s="1"/>
  <c r="AZ6" i="15"/>
  <c r="AW6" i="15"/>
  <c r="AV6" i="15"/>
  <c r="AW5" i="15"/>
  <c r="AV5" i="15"/>
  <c r="AZ5" i="15" s="1"/>
  <c r="AW4" i="15"/>
  <c r="AV4" i="15"/>
  <c r="AW31" i="14"/>
  <c r="AV31" i="14"/>
  <c r="AW30" i="14"/>
  <c r="AV30" i="14"/>
  <c r="AW29" i="14"/>
  <c r="AV29" i="14"/>
  <c r="AW28" i="14"/>
  <c r="AV28" i="14"/>
  <c r="AW27" i="14"/>
  <c r="AV27" i="14"/>
  <c r="AW26" i="14"/>
  <c r="AV26" i="14"/>
  <c r="AW25" i="14"/>
  <c r="AV25" i="14"/>
  <c r="AW24" i="14"/>
  <c r="AV24" i="14"/>
  <c r="AW23" i="14"/>
  <c r="AV23" i="14"/>
  <c r="AW22" i="14"/>
  <c r="AV22" i="14"/>
  <c r="AW21" i="14"/>
  <c r="AV21" i="14"/>
  <c r="AW20" i="14"/>
  <c r="AV20" i="14"/>
  <c r="AW19" i="14"/>
  <c r="AV19" i="14"/>
  <c r="AW18" i="14"/>
  <c r="AV18" i="14"/>
  <c r="AW17" i="14"/>
  <c r="AV17" i="14"/>
  <c r="AW16" i="14"/>
  <c r="AV16" i="14"/>
  <c r="AW15" i="14"/>
  <c r="AV15" i="14"/>
  <c r="AW14" i="14"/>
  <c r="AV14" i="14"/>
  <c r="AW11" i="14"/>
  <c r="AV11" i="14"/>
  <c r="AW10" i="14"/>
  <c r="AV10" i="14"/>
  <c r="AW9" i="14"/>
  <c r="AV9" i="14"/>
  <c r="AW8" i="14"/>
  <c r="AV8" i="14"/>
  <c r="AW7" i="14"/>
  <c r="AV7" i="14"/>
  <c r="AZ6" i="14"/>
  <c r="AW6" i="14"/>
  <c r="AV6" i="14"/>
  <c r="AW5" i="14"/>
  <c r="AV5" i="14"/>
  <c r="AZ5" i="14" s="1"/>
  <c r="AW4" i="14"/>
  <c r="AV4" i="14"/>
  <c r="AZ4" i="14" s="1"/>
  <c r="AW31" i="13"/>
  <c r="AV31" i="13"/>
  <c r="AW30" i="13"/>
  <c r="AV30" i="13"/>
  <c r="AW29" i="13"/>
  <c r="AV29" i="13"/>
  <c r="AW28" i="13"/>
  <c r="AV28" i="13"/>
  <c r="AW27" i="13"/>
  <c r="AV27" i="13"/>
  <c r="AW26" i="13"/>
  <c r="AV26" i="13"/>
  <c r="AW25" i="13"/>
  <c r="AV25" i="13"/>
  <c r="AW24" i="13"/>
  <c r="AV24" i="13"/>
  <c r="AW23" i="13"/>
  <c r="AV23" i="13"/>
  <c r="AW22" i="13"/>
  <c r="AV22" i="13"/>
  <c r="AW21" i="13"/>
  <c r="AV21" i="13"/>
  <c r="AW20" i="13"/>
  <c r="AV20" i="13"/>
  <c r="AW19" i="13"/>
  <c r="AV19" i="13"/>
  <c r="AW18" i="13"/>
  <c r="AV18" i="13"/>
  <c r="AW17" i="13"/>
  <c r="AV17" i="13"/>
  <c r="AW16" i="13"/>
  <c r="AV16" i="13"/>
  <c r="AW15" i="13"/>
  <c r="AV15" i="13"/>
  <c r="AW14" i="13"/>
  <c r="AV14" i="13"/>
  <c r="AW11" i="13"/>
  <c r="AV11" i="13"/>
  <c r="AW10" i="13"/>
  <c r="AV10" i="13"/>
  <c r="AW9" i="13"/>
  <c r="AV9" i="13"/>
  <c r="AZ9" i="13" s="1"/>
  <c r="AW8" i="13"/>
  <c r="AV8" i="13"/>
  <c r="AZ8" i="13" s="1"/>
  <c r="AW7" i="13"/>
  <c r="AV7" i="13"/>
  <c r="AZ7" i="13" s="1"/>
  <c r="AZ6" i="13"/>
  <c r="AW6" i="13"/>
  <c r="AV6" i="13"/>
  <c r="AW5" i="13"/>
  <c r="AV5" i="13"/>
  <c r="AZ5" i="13" s="1"/>
  <c r="AW4" i="13"/>
  <c r="AV4" i="13"/>
  <c r="AZ4" i="13" s="1"/>
  <c r="AW31" i="12"/>
  <c r="AV31" i="12"/>
  <c r="AW30" i="12"/>
  <c r="AV30" i="12"/>
  <c r="AW29" i="12"/>
  <c r="AV29" i="12"/>
  <c r="AW28" i="12"/>
  <c r="AV28" i="12"/>
  <c r="AW27" i="12"/>
  <c r="AV27" i="12"/>
  <c r="AW26" i="12"/>
  <c r="AV26" i="12"/>
  <c r="AW25" i="12"/>
  <c r="AV25" i="12"/>
  <c r="AW24" i="12"/>
  <c r="AV24" i="12"/>
  <c r="AW23" i="12"/>
  <c r="AV23" i="12"/>
  <c r="AW22" i="12"/>
  <c r="AV22" i="12"/>
  <c r="AW21" i="12"/>
  <c r="AV21" i="12"/>
  <c r="AW20" i="12"/>
  <c r="AV20" i="12"/>
  <c r="AW19" i="12"/>
  <c r="AV19" i="12"/>
  <c r="AW18" i="12"/>
  <c r="AV18" i="12"/>
  <c r="AW17" i="12"/>
  <c r="AV17" i="12"/>
  <c r="AW16" i="12"/>
  <c r="AV16" i="12"/>
  <c r="AW15" i="12"/>
  <c r="AV15" i="12"/>
  <c r="AW14" i="12"/>
  <c r="AV14" i="12"/>
  <c r="AW11" i="12"/>
  <c r="AV11" i="12"/>
  <c r="AW10" i="12"/>
  <c r="AV10" i="12"/>
  <c r="AZ9" i="12"/>
  <c r="AW9" i="12"/>
  <c r="AV9" i="12"/>
  <c r="AW8" i="12"/>
  <c r="AV8" i="12"/>
  <c r="AZ8" i="12" s="1"/>
  <c r="AW7" i="12"/>
  <c r="AV7" i="12"/>
  <c r="AW6" i="12"/>
  <c r="AV6" i="12"/>
  <c r="AW5" i="12"/>
  <c r="AV5" i="12"/>
  <c r="AW4" i="12"/>
  <c r="AV4" i="12"/>
  <c r="AW31" i="11"/>
  <c r="AZ9" i="11" s="1"/>
  <c r="AV31" i="11"/>
  <c r="AW30" i="11"/>
  <c r="AV30" i="11"/>
  <c r="AW29" i="11"/>
  <c r="AV29" i="11"/>
  <c r="AW28" i="11"/>
  <c r="AV28" i="11"/>
  <c r="AW27" i="11"/>
  <c r="AV27" i="11"/>
  <c r="AW26" i="11"/>
  <c r="AV26" i="11"/>
  <c r="AW25" i="11"/>
  <c r="AV25" i="11"/>
  <c r="AW24" i="11"/>
  <c r="AV24" i="11"/>
  <c r="AW23" i="11"/>
  <c r="AV23" i="11"/>
  <c r="AW22" i="11"/>
  <c r="AV22" i="11"/>
  <c r="AW21" i="11"/>
  <c r="AV21" i="11"/>
  <c r="AW20" i="11"/>
  <c r="AV20" i="11"/>
  <c r="AW19" i="11"/>
  <c r="AV19" i="11"/>
  <c r="AW18" i="11"/>
  <c r="AV18" i="11"/>
  <c r="AW17" i="11"/>
  <c r="AV17" i="11"/>
  <c r="AW16" i="11"/>
  <c r="AV16" i="11"/>
  <c r="AW15" i="11"/>
  <c r="AV15" i="11"/>
  <c r="AV14" i="11"/>
  <c r="AW11" i="11"/>
  <c r="AV11" i="11"/>
  <c r="AW10" i="11"/>
  <c r="AV10" i="11"/>
  <c r="AW9" i="11"/>
  <c r="AV9" i="11"/>
  <c r="AW8" i="11"/>
  <c r="AV8" i="11"/>
  <c r="AZ8" i="11" s="1"/>
  <c r="AW7" i="11"/>
  <c r="AV7" i="11"/>
  <c r="AZ7" i="11" s="1"/>
  <c r="AZ6" i="11"/>
  <c r="AW6" i="11"/>
  <c r="AV6" i="11"/>
  <c r="AW5" i="11"/>
  <c r="AV5" i="11"/>
  <c r="AZ5" i="11" s="1"/>
  <c r="AW4" i="11"/>
  <c r="AV4" i="11"/>
  <c r="AZ4" i="11" s="1"/>
  <c r="AW31" i="10"/>
  <c r="AV31" i="10"/>
  <c r="AW30" i="10"/>
  <c r="AV30" i="10"/>
  <c r="AW29" i="10"/>
  <c r="AV29" i="10"/>
  <c r="AW28" i="10"/>
  <c r="AV28" i="10"/>
  <c r="AW27" i="10"/>
  <c r="AV27" i="10"/>
  <c r="AW26" i="10"/>
  <c r="AV26" i="10"/>
  <c r="AW25" i="10"/>
  <c r="AV25" i="10"/>
  <c r="AW24" i="10"/>
  <c r="AV24" i="10"/>
  <c r="AW23" i="10"/>
  <c r="AV23" i="10"/>
  <c r="AW22" i="10"/>
  <c r="AV22" i="10"/>
  <c r="AW21" i="10"/>
  <c r="AV21" i="10"/>
  <c r="AW20" i="10"/>
  <c r="AV20" i="10"/>
  <c r="AW19" i="10"/>
  <c r="AV19" i="10"/>
  <c r="AW18" i="10"/>
  <c r="AV18" i="10"/>
  <c r="AW17" i="10"/>
  <c r="AV17" i="10"/>
  <c r="AW16" i="10"/>
  <c r="AV16" i="10"/>
  <c r="AW15" i="10"/>
  <c r="AV15" i="10"/>
  <c r="AW14" i="10"/>
  <c r="AV14" i="10"/>
  <c r="AW11" i="10"/>
  <c r="AV11" i="10"/>
  <c r="AW10" i="10"/>
  <c r="AV10" i="10"/>
  <c r="AW9" i="10"/>
  <c r="AV9" i="10"/>
  <c r="AZ9" i="10" s="1"/>
  <c r="AW8" i="10"/>
  <c r="AV8" i="10"/>
  <c r="AW7" i="10"/>
  <c r="AV7" i="10"/>
  <c r="AZ7" i="10" s="1"/>
  <c r="AZ6" i="10"/>
  <c r="AW6" i="10"/>
  <c r="AV6" i="10"/>
  <c r="AZ5" i="10"/>
  <c r="AW5" i="10"/>
  <c r="AV5" i="10"/>
  <c r="AW4" i="10"/>
  <c r="AV4" i="10"/>
  <c r="AW31" i="9"/>
  <c r="AV31" i="9"/>
  <c r="AW30" i="9"/>
  <c r="AV30" i="9"/>
  <c r="AW29" i="9"/>
  <c r="AV29" i="9"/>
  <c r="AW28" i="9"/>
  <c r="AV28" i="9"/>
  <c r="AW27" i="9"/>
  <c r="AV27" i="9"/>
  <c r="AW26" i="9"/>
  <c r="AV26" i="9"/>
  <c r="AW25" i="9"/>
  <c r="AV25" i="9"/>
  <c r="AW24" i="9"/>
  <c r="AV24" i="9"/>
  <c r="AW23" i="9"/>
  <c r="AV23" i="9"/>
  <c r="AW22" i="9"/>
  <c r="AV22" i="9"/>
  <c r="AW21" i="9"/>
  <c r="AV21" i="9"/>
  <c r="AW20" i="9"/>
  <c r="AV20" i="9"/>
  <c r="AW19" i="9"/>
  <c r="AV19" i="9"/>
  <c r="AW18" i="9"/>
  <c r="AV18" i="9"/>
  <c r="AW17" i="9"/>
  <c r="AV17" i="9"/>
  <c r="AW16" i="9"/>
  <c r="AV16" i="9"/>
  <c r="AW15" i="9"/>
  <c r="AV15" i="9"/>
  <c r="AW14" i="9"/>
  <c r="AV14" i="9"/>
  <c r="AW11" i="9"/>
  <c r="AV11" i="9"/>
  <c r="AW10" i="9"/>
  <c r="AV10" i="9"/>
  <c r="AZ9" i="9"/>
  <c r="AW9" i="9"/>
  <c r="AV9" i="9"/>
  <c r="AW8" i="9"/>
  <c r="AV8" i="9"/>
  <c r="AW7" i="9"/>
  <c r="AV7" i="9"/>
  <c r="AZ7" i="9" s="1"/>
  <c r="AW6" i="9"/>
  <c r="AV6" i="9"/>
  <c r="AW5" i="9"/>
  <c r="AV5" i="9"/>
  <c r="AW4" i="9"/>
  <c r="AV4" i="9"/>
  <c r="AZ4" i="9" s="1"/>
  <c r="AW31" i="7"/>
  <c r="AV31" i="7"/>
  <c r="AW30" i="7"/>
  <c r="AV30" i="7"/>
  <c r="AW29" i="7"/>
  <c r="AV29" i="7"/>
  <c r="AW28" i="7"/>
  <c r="AV28" i="7"/>
  <c r="AW27" i="7"/>
  <c r="AV27" i="7"/>
  <c r="AW26" i="7"/>
  <c r="AV26" i="7"/>
  <c r="AW25" i="7"/>
  <c r="AV25" i="7"/>
  <c r="AW24" i="7"/>
  <c r="AV24" i="7"/>
  <c r="AW23" i="7"/>
  <c r="AV23" i="7"/>
  <c r="AW22" i="7"/>
  <c r="AV22" i="7"/>
  <c r="AW21" i="7"/>
  <c r="AV21" i="7"/>
  <c r="AW20" i="7"/>
  <c r="AV20" i="7"/>
  <c r="AW19" i="7"/>
  <c r="AV19" i="7"/>
  <c r="AW18" i="7"/>
  <c r="AV18" i="7"/>
  <c r="AW17" i="7"/>
  <c r="AV17" i="7"/>
  <c r="AW16" i="7"/>
  <c r="AV16" i="7"/>
  <c r="AW15" i="7"/>
  <c r="AV15" i="7"/>
  <c r="AW14" i="7"/>
  <c r="AV14" i="7"/>
  <c r="AW11" i="7"/>
  <c r="AV11" i="7"/>
  <c r="AW10" i="7"/>
  <c r="AV10" i="7"/>
  <c r="AW9" i="7"/>
  <c r="AV9" i="7"/>
  <c r="AW8" i="7"/>
  <c r="AV8" i="7"/>
  <c r="AW7" i="7"/>
  <c r="AV7" i="7"/>
  <c r="AW6" i="7"/>
  <c r="AV6" i="7"/>
  <c r="AW5" i="7"/>
  <c r="AV5" i="7"/>
  <c r="AZ5" i="7" s="1"/>
  <c r="AW4" i="7"/>
  <c r="AV4" i="7"/>
  <c r="AZ4" i="7" s="1"/>
  <c r="BK9" i="8"/>
  <c r="BK8" i="8"/>
  <c r="BK7" i="8"/>
  <c r="BK6" i="8"/>
  <c r="BK5" i="8"/>
  <c r="BK4" i="8"/>
  <c r="BJ11" i="8"/>
  <c r="BI11" i="8"/>
  <c r="BH11" i="8"/>
  <c r="BJ10" i="8"/>
  <c r="BI10" i="8"/>
  <c r="BH10" i="8"/>
  <c r="BM9" i="8"/>
  <c r="BL9" i="8"/>
  <c r="BM8" i="8"/>
  <c r="BL8" i="8"/>
  <c r="BM7" i="8"/>
  <c r="BL7" i="8"/>
  <c r="BM6" i="8"/>
  <c r="BL6" i="8"/>
  <c r="BM5" i="8"/>
  <c r="BL5" i="8"/>
  <c r="BM4" i="8"/>
  <c r="BL4" i="8"/>
  <c r="BJ31" i="8"/>
  <c r="BI31" i="8"/>
  <c r="BH31" i="8"/>
  <c r="BJ30" i="8"/>
  <c r="BI30" i="8"/>
  <c r="BH30" i="8"/>
  <c r="BJ29" i="8"/>
  <c r="BI29" i="8"/>
  <c r="BH29" i="8"/>
  <c r="BJ28" i="8"/>
  <c r="BI28" i="8"/>
  <c r="BH28" i="8"/>
  <c r="BJ27" i="8"/>
  <c r="BI27" i="8"/>
  <c r="BH27" i="8"/>
  <c r="BJ26" i="8"/>
  <c r="BI26" i="8"/>
  <c r="BH26" i="8"/>
  <c r="BJ25" i="8"/>
  <c r="BI25" i="8"/>
  <c r="BH25" i="8"/>
  <c r="BJ24" i="8"/>
  <c r="BI24" i="8"/>
  <c r="BH24" i="8"/>
  <c r="BJ23" i="8"/>
  <c r="BI23" i="8"/>
  <c r="BH23" i="8"/>
  <c r="BJ22" i="8"/>
  <c r="BI22" i="8"/>
  <c r="BH22" i="8"/>
  <c r="BJ21" i="8"/>
  <c r="BI21" i="8"/>
  <c r="BH21" i="8"/>
  <c r="BJ20" i="8"/>
  <c r="BI20" i="8"/>
  <c r="BH20" i="8"/>
  <c r="BJ19" i="8"/>
  <c r="BI19" i="8"/>
  <c r="BH19" i="8"/>
  <c r="BJ18" i="8"/>
  <c r="BI18" i="8"/>
  <c r="BH18" i="8"/>
  <c r="BJ17" i="8"/>
  <c r="BI17" i="8"/>
  <c r="BH17" i="8"/>
  <c r="BJ16" i="8"/>
  <c r="BI16" i="8"/>
  <c r="BH16" i="8"/>
  <c r="BJ15" i="8"/>
  <c r="BI15" i="8"/>
  <c r="BH15" i="8"/>
  <c r="BJ14" i="8"/>
  <c r="BI14" i="8"/>
  <c r="BH14" i="8"/>
  <c r="BJ9" i="8"/>
  <c r="BI9" i="8"/>
  <c r="BH9" i="8"/>
  <c r="BJ8" i="8"/>
  <c r="BI8" i="8"/>
  <c r="BH8" i="8"/>
  <c r="BJ7" i="8"/>
  <c r="BI7" i="8"/>
  <c r="BH7" i="8"/>
  <c r="BJ6" i="8"/>
  <c r="BI6" i="8"/>
  <c r="BH6" i="8"/>
  <c r="BJ5" i="8"/>
  <c r="BI5" i="8"/>
  <c r="BH5" i="8"/>
  <c r="BJ4" i="8"/>
  <c r="BI4" i="8"/>
  <c r="BH4" i="8"/>
  <c r="AW31" i="6"/>
  <c r="AV31" i="6"/>
  <c r="AW30" i="6"/>
  <c r="AV30" i="6"/>
  <c r="AW29" i="6"/>
  <c r="AV29" i="6"/>
  <c r="AW28" i="6"/>
  <c r="AV28" i="6"/>
  <c r="AW27" i="6"/>
  <c r="AV27" i="6"/>
  <c r="AW26" i="6"/>
  <c r="AV26" i="6"/>
  <c r="AW25" i="6"/>
  <c r="AV25" i="6"/>
  <c r="AW24" i="6"/>
  <c r="AV24" i="6"/>
  <c r="AW23" i="6"/>
  <c r="AV23" i="6"/>
  <c r="AW22" i="6"/>
  <c r="AV22" i="6"/>
  <c r="AW21" i="6"/>
  <c r="AV21" i="6"/>
  <c r="AW20" i="6"/>
  <c r="AV20" i="6"/>
  <c r="AW19" i="6"/>
  <c r="AV19" i="6"/>
  <c r="AW18" i="6"/>
  <c r="AV18" i="6"/>
  <c r="AW17" i="6"/>
  <c r="AV17" i="6"/>
  <c r="AW16" i="6"/>
  <c r="AV16" i="6"/>
  <c r="AW15" i="6"/>
  <c r="AV15" i="6"/>
  <c r="AW14" i="6"/>
  <c r="AV14" i="6"/>
  <c r="AW11" i="6"/>
  <c r="AV11" i="6"/>
  <c r="AW10" i="6"/>
  <c r="AV10" i="6"/>
  <c r="AW9" i="6"/>
  <c r="AV9" i="6"/>
  <c r="AZ9" i="6" s="1"/>
  <c r="AW8" i="6"/>
  <c r="AV8" i="6"/>
  <c r="AZ8" i="6" s="1"/>
  <c r="AW7" i="6"/>
  <c r="AV7" i="6"/>
  <c r="AZ7" i="6" s="1"/>
  <c r="AX6" i="6"/>
  <c r="AW6" i="6"/>
  <c r="AY6" i="6" s="1"/>
  <c r="AV6" i="6"/>
  <c r="AX5" i="6"/>
  <c r="AZ5" i="6" s="1"/>
  <c r="AW5" i="6"/>
  <c r="AY5" i="6" s="1"/>
  <c r="AV5" i="6"/>
  <c r="AW4" i="6"/>
  <c r="AY4" i="6" s="1"/>
  <c r="AV4" i="6"/>
  <c r="AX4" i="6" s="1"/>
  <c r="AZ4" i="6" s="1"/>
  <c r="AW31" i="5"/>
  <c r="AV31" i="5"/>
  <c r="AW30" i="5"/>
  <c r="AV30" i="5"/>
  <c r="AW29" i="5"/>
  <c r="AV29" i="5"/>
  <c r="AW28" i="5"/>
  <c r="AV28" i="5"/>
  <c r="AW27" i="5"/>
  <c r="AV27" i="5"/>
  <c r="AW26" i="5"/>
  <c r="AV26" i="5"/>
  <c r="AW25" i="5"/>
  <c r="AV25" i="5"/>
  <c r="AW24" i="5"/>
  <c r="AV24" i="5"/>
  <c r="AW23" i="5"/>
  <c r="AV23" i="5"/>
  <c r="AW22" i="5"/>
  <c r="AV22" i="5"/>
  <c r="AW21" i="5"/>
  <c r="AV21" i="5"/>
  <c r="AW20" i="5"/>
  <c r="AV20" i="5"/>
  <c r="AW19" i="5"/>
  <c r="AV19" i="5"/>
  <c r="AW18" i="5"/>
  <c r="AV18" i="5"/>
  <c r="AW17" i="5"/>
  <c r="AV17" i="5"/>
  <c r="AW16" i="5"/>
  <c r="AV16" i="5"/>
  <c r="AW15" i="5"/>
  <c r="AV15" i="5"/>
  <c r="AW14" i="5"/>
  <c r="AV14" i="5"/>
  <c r="AW11" i="5"/>
  <c r="AV11" i="5"/>
  <c r="AW10" i="5"/>
  <c r="AV10" i="5"/>
  <c r="AW9" i="5"/>
  <c r="AV9" i="5"/>
  <c r="AZ9" i="5" s="1"/>
  <c r="AW8" i="5"/>
  <c r="AV8" i="5"/>
  <c r="AZ8" i="5" s="1"/>
  <c r="AW7" i="5"/>
  <c r="AV7" i="5"/>
  <c r="AZ7" i="5" s="1"/>
  <c r="AZ6" i="5"/>
  <c r="AW6" i="5"/>
  <c r="AV6" i="5"/>
  <c r="AZ5" i="5"/>
  <c r="AW5" i="5"/>
  <c r="AV5" i="5"/>
  <c r="AW4" i="5"/>
  <c r="AV4" i="5"/>
  <c r="AZ4" i="4"/>
  <c r="AW31" i="4"/>
  <c r="AV31" i="4"/>
  <c r="AW30" i="4"/>
  <c r="AV30" i="4"/>
  <c r="AW29" i="4"/>
  <c r="AV29" i="4"/>
  <c r="AW28" i="4"/>
  <c r="AV28" i="4"/>
  <c r="AW27" i="4"/>
  <c r="AV27" i="4"/>
  <c r="AW26" i="4"/>
  <c r="AV26" i="4"/>
  <c r="AW25" i="4"/>
  <c r="AV25" i="4"/>
  <c r="AW24" i="4"/>
  <c r="AV24" i="4"/>
  <c r="AW23" i="4"/>
  <c r="AV23" i="4"/>
  <c r="AW22" i="4"/>
  <c r="AV22" i="4"/>
  <c r="AW21" i="4"/>
  <c r="AV21" i="4"/>
  <c r="AW20" i="4"/>
  <c r="AV20" i="4"/>
  <c r="AW19" i="4"/>
  <c r="AV19" i="4"/>
  <c r="AW18" i="4"/>
  <c r="AV18" i="4"/>
  <c r="AW17" i="4"/>
  <c r="AV17" i="4"/>
  <c r="AW16" i="4"/>
  <c r="AV16" i="4"/>
  <c r="AW15" i="4"/>
  <c r="AV15" i="4"/>
  <c r="AW14" i="4"/>
  <c r="AV14" i="4"/>
  <c r="AW11" i="4"/>
  <c r="AV11" i="4"/>
  <c r="AW10" i="4"/>
  <c r="AV10" i="4"/>
  <c r="AW9" i="4"/>
  <c r="AV9" i="4"/>
  <c r="AW8" i="4"/>
  <c r="AV8" i="4"/>
  <c r="AZ8" i="4" s="1"/>
  <c r="AW7" i="4"/>
  <c r="AV7" i="4"/>
  <c r="AW6" i="4"/>
  <c r="AV6" i="4"/>
  <c r="AW5" i="4"/>
  <c r="AV5" i="4"/>
  <c r="AW4" i="4"/>
  <c r="AV4" i="4"/>
  <c r="AZ4" i="3"/>
  <c r="AZ9" i="3"/>
  <c r="AZ8" i="3"/>
  <c r="AZ7" i="3"/>
  <c r="AZ6" i="3"/>
  <c r="AR9" i="2"/>
  <c r="AR8" i="2"/>
  <c r="AV8" i="2" s="1"/>
  <c r="AR7" i="2"/>
  <c r="AR6" i="2"/>
  <c r="AR5" i="2"/>
  <c r="AR4" i="2"/>
  <c r="AT7" i="2"/>
  <c r="AZ9" i="2"/>
  <c r="AZ8" i="2"/>
  <c r="AZ7" i="2"/>
  <c r="AZ6" i="2"/>
  <c r="AZ5" i="2"/>
  <c r="AZ4" i="2"/>
  <c r="AY9" i="2"/>
  <c r="BA9" i="2" s="1"/>
  <c r="AY8" i="2"/>
  <c r="BA8" i="2" s="1"/>
  <c r="AY7" i="2"/>
  <c r="BA7" i="2" s="1"/>
  <c r="AY6" i="2"/>
  <c r="BA6" i="2" s="1"/>
  <c r="AY5" i="2"/>
  <c r="BA5" i="2" s="1"/>
  <c r="AY4" i="2"/>
  <c r="BA4" i="2" s="1"/>
  <c r="AW11" i="3"/>
  <c r="AV11" i="3"/>
  <c r="AW10" i="3"/>
  <c r="AV10" i="3"/>
  <c r="AW31" i="3"/>
  <c r="AV31" i="3"/>
  <c r="AW30" i="3"/>
  <c r="AV30" i="3"/>
  <c r="AW29" i="3"/>
  <c r="AV29" i="3"/>
  <c r="AW28" i="3"/>
  <c r="AV28" i="3"/>
  <c r="AW27" i="3"/>
  <c r="AV27" i="3"/>
  <c r="AW26" i="3"/>
  <c r="AV26" i="3"/>
  <c r="AW25" i="3"/>
  <c r="AV25" i="3"/>
  <c r="AW24" i="3"/>
  <c r="AV24" i="3"/>
  <c r="AW23" i="3"/>
  <c r="AV23" i="3"/>
  <c r="AW22" i="3"/>
  <c r="AV22" i="3"/>
  <c r="AW21" i="3"/>
  <c r="AV21" i="3"/>
  <c r="AW20" i="3"/>
  <c r="AV20" i="3"/>
  <c r="AW19" i="3"/>
  <c r="AV19" i="3"/>
  <c r="AW18" i="3"/>
  <c r="AV18" i="3"/>
  <c r="AW17" i="3"/>
  <c r="AV17" i="3"/>
  <c r="AW16" i="3"/>
  <c r="AV16" i="3"/>
  <c r="AW15" i="3"/>
  <c r="AV15" i="3"/>
  <c r="AW14" i="3"/>
  <c r="AV14" i="3"/>
  <c r="AW9" i="3"/>
  <c r="AV9" i="3"/>
  <c r="AW8" i="3"/>
  <c r="AV8" i="3"/>
  <c r="AW7" i="3"/>
  <c r="AV7" i="3"/>
  <c r="AW6" i="3"/>
  <c r="AV6" i="3"/>
  <c r="AW5" i="3"/>
  <c r="AV5" i="3"/>
  <c r="AW4" i="3"/>
  <c r="AV4" i="3"/>
  <c r="AW4" i="1"/>
  <c r="BB5" i="1"/>
  <c r="BB4" i="1"/>
  <c r="AX31" i="2"/>
  <c r="AW31" i="2"/>
  <c r="AX30" i="2"/>
  <c r="AW30" i="2"/>
  <c r="AX29" i="2"/>
  <c r="AW29" i="2"/>
  <c r="AX28" i="2"/>
  <c r="AW28" i="2"/>
  <c r="AX27" i="2"/>
  <c r="AW27" i="2"/>
  <c r="AX26" i="2"/>
  <c r="AW26" i="2"/>
  <c r="AX25" i="2"/>
  <c r="AW25" i="2"/>
  <c r="AX24" i="2"/>
  <c r="AW24" i="2"/>
  <c r="AX23" i="2"/>
  <c r="AW23" i="2"/>
  <c r="AX22" i="2"/>
  <c r="AW22" i="2"/>
  <c r="AX21" i="2"/>
  <c r="AW21" i="2"/>
  <c r="AX20" i="2"/>
  <c r="AW20" i="2"/>
  <c r="AX19" i="2"/>
  <c r="AW19" i="2"/>
  <c r="AX18" i="2"/>
  <c r="AW18" i="2"/>
  <c r="AX17" i="2"/>
  <c r="AW17" i="2"/>
  <c r="AX16" i="2"/>
  <c r="AW16" i="2"/>
  <c r="AX15" i="2"/>
  <c r="AW15" i="2"/>
  <c r="AW14" i="2"/>
  <c r="AX14" i="2"/>
  <c r="AX11" i="2"/>
  <c r="AW11" i="2"/>
  <c r="AX10" i="2"/>
  <c r="AW10" i="2"/>
  <c r="AX9" i="2"/>
  <c r="AW9" i="2"/>
  <c r="AX8" i="2"/>
  <c r="AW8" i="2"/>
  <c r="AX7" i="2"/>
  <c r="AW7" i="2"/>
  <c r="AX6" i="2"/>
  <c r="AW6" i="2"/>
  <c r="AX5" i="2"/>
  <c r="AW5" i="2"/>
  <c r="AW4" i="2"/>
  <c r="AX4" i="2"/>
  <c r="AJ4" i="1"/>
  <c r="AY19" i="1"/>
  <c r="AX19" i="1"/>
  <c r="AY18" i="1"/>
  <c r="AX18" i="1"/>
  <c r="AY17" i="1"/>
  <c r="AX17" i="1"/>
  <c r="AY16" i="1"/>
  <c r="AX16" i="1"/>
  <c r="AY15" i="1"/>
  <c r="AX15" i="1"/>
  <c r="AY14" i="1"/>
  <c r="AX14" i="1"/>
  <c r="AY5" i="1"/>
  <c r="AX5" i="1"/>
  <c r="AY4" i="1"/>
  <c r="AX4" i="1"/>
  <c r="AY5" i="19" l="1"/>
  <c r="AY71" i="19"/>
  <c r="AY79" i="19"/>
  <c r="AY37" i="19"/>
  <c r="AY51" i="19"/>
  <c r="AY59" i="19"/>
  <c r="AY89" i="19"/>
  <c r="AY35" i="19"/>
  <c r="AY53" i="19"/>
  <c r="AY61" i="19"/>
  <c r="AY72" i="19"/>
  <c r="AY67" i="19"/>
  <c r="AY52" i="19"/>
  <c r="AY60" i="19"/>
  <c r="AY85" i="19"/>
  <c r="AY68" i="19"/>
  <c r="AY93" i="19"/>
  <c r="AY46" i="19"/>
  <c r="AY49" i="19"/>
  <c r="AY15" i="19"/>
  <c r="AY75" i="19"/>
  <c r="AY83" i="19"/>
  <c r="AY86" i="19"/>
  <c r="AY58" i="19"/>
  <c r="AY69" i="19"/>
  <c r="AY80" i="19"/>
  <c r="AY91" i="19"/>
  <c r="AY76" i="19"/>
  <c r="AY66" i="19"/>
  <c r="AY45" i="19"/>
  <c r="AY48" i="19"/>
  <c r="AY10" i="19"/>
  <c r="AY47" i="19"/>
  <c r="AY103" i="19"/>
  <c r="AY42" i="19"/>
  <c r="AY50" i="19"/>
  <c r="AQ5" i="19"/>
  <c r="AY9" i="19"/>
  <c r="AY77" i="19"/>
  <c r="AY88" i="19"/>
  <c r="AY57" i="19"/>
  <c r="AY73" i="19"/>
  <c r="AY81" i="19"/>
  <c r="AY13" i="19"/>
  <c r="AY84" i="19"/>
  <c r="AY74" i="19"/>
  <c r="AY82" i="19"/>
  <c r="AY90" i="19"/>
  <c r="AY12" i="19"/>
  <c r="AY101" i="19"/>
  <c r="AY17" i="19"/>
  <c r="AY56" i="19"/>
  <c r="AY96" i="19"/>
  <c r="AY6" i="19"/>
  <c r="AY14" i="19"/>
  <c r="AY99" i="19"/>
  <c r="AR5" i="19"/>
  <c r="AY11" i="19"/>
  <c r="AY54" i="19"/>
  <c r="AY62" i="19"/>
  <c r="AY94" i="19"/>
  <c r="AY8" i="19"/>
  <c r="AY16" i="19"/>
  <c r="AY65" i="19"/>
  <c r="AY97" i="19"/>
  <c r="AY92" i="19"/>
  <c r="AY100" i="19"/>
  <c r="AY18" i="19"/>
  <c r="AY55" i="19"/>
  <c r="AY63" i="19"/>
  <c r="AY87" i="19"/>
  <c r="AY95" i="19"/>
  <c r="AY7" i="19"/>
  <c r="AY98" i="19"/>
  <c r="AY41" i="19"/>
  <c r="AK38" i="19"/>
  <c r="AQ38" i="19" s="1"/>
  <c r="AK42" i="19"/>
  <c r="AQ42" i="19" s="1"/>
  <c r="AK39" i="19"/>
  <c r="AX39" i="19" s="1"/>
  <c r="AK37" i="19"/>
  <c r="AX37" i="19" s="1"/>
  <c r="AK41" i="19"/>
  <c r="AX41" i="19" s="1"/>
  <c r="AY21" i="19"/>
  <c r="AR21" i="19"/>
  <c r="AX24" i="19"/>
  <c r="AQ24" i="19"/>
  <c r="AY29" i="19"/>
  <c r="AR29" i="19"/>
  <c r="AX32" i="19"/>
  <c r="AQ32" i="19"/>
  <c r="AX40" i="19"/>
  <c r="AQ40" i="19"/>
  <c r="AX48" i="19"/>
  <c r="AQ48" i="19"/>
  <c r="AX19" i="19"/>
  <c r="AQ19" i="19"/>
  <c r="AY24" i="19"/>
  <c r="AR24" i="19"/>
  <c r="AX27" i="19"/>
  <c r="AQ27" i="19"/>
  <c r="AY32" i="19"/>
  <c r="AR32" i="19"/>
  <c r="AX35" i="19"/>
  <c r="AQ35" i="19"/>
  <c r="AY40" i="19"/>
  <c r="AX51" i="19"/>
  <c r="AQ51" i="19"/>
  <c r="AY19" i="19"/>
  <c r="AR19" i="19"/>
  <c r="AX22" i="19"/>
  <c r="AQ22" i="19"/>
  <c r="AY27" i="19"/>
  <c r="AR27" i="19"/>
  <c r="AX30" i="19"/>
  <c r="AQ30" i="19"/>
  <c r="AX46" i="19"/>
  <c r="AQ46" i="19"/>
  <c r="AX6" i="19"/>
  <c r="AX7" i="19"/>
  <c r="AX8" i="19"/>
  <c r="AX9" i="19"/>
  <c r="AX10" i="19"/>
  <c r="AX11" i="19"/>
  <c r="AX12" i="19"/>
  <c r="AX13" i="19"/>
  <c r="AX14" i="19"/>
  <c r="AX15" i="19"/>
  <c r="AX16" i="19"/>
  <c r="AX17" i="19"/>
  <c r="AX18" i="19"/>
  <c r="AY22" i="19"/>
  <c r="AR22" i="19"/>
  <c r="AX25" i="19"/>
  <c r="AQ25" i="19"/>
  <c r="AY30" i="19"/>
  <c r="AR30" i="19"/>
  <c r="AX33" i="19"/>
  <c r="AQ33" i="19"/>
  <c r="AY38" i="19"/>
  <c r="AX49" i="19"/>
  <c r="AQ49" i="19"/>
  <c r="AX20" i="19"/>
  <c r="AQ20" i="19"/>
  <c r="AY25" i="19"/>
  <c r="AR25" i="19"/>
  <c r="AX28" i="19"/>
  <c r="AQ28" i="19"/>
  <c r="AY33" i="19"/>
  <c r="AX36" i="19"/>
  <c r="AQ36" i="19"/>
  <c r="AX44" i="19"/>
  <c r="AQ44" i="19"/>
  <c r="AX52" i="19"/>
  <c r="AQ52" i="19"/>
  <c r="AY20" i="19"/>
  <c r="AR20" i="19"/>
  <c r="AX23" i="19"/>
  <c r="AQ23" i="19"/>
  <c r="AY28" i="19"/>
  <c r="AR28" i="19"/>
  <c r="AX31" i="19"/>
  <c r="AQ31" i="19"/>
  <c r="AY36" i="19"/>
  <c r="AX47" i="19"/>
  <c r="AQ47" i="19"/>
  <c r="AY23" i="19"/>
  <c r="AR23" i="19"/>
  <c r="AX26" i="19"/>
  <c r="AQ26" i="19"/>
  <c r="AY31" i="19"/>
  <c r="AR31" i="19"/>
  <c r="AX34" i="19"/>
  <c r="AQ34" i="19"/>
  <c r="AY39" i="19"/>
  <c r="AX50" i="19"/>
  <c r="AQ50" i="19"/>
  <c r="AX21" i="19"/>
  <c r="AQ21" i="19"/>
  <c r="AY26" i="19"/>
  <c r="AR26" i="19"/>
  <c r="AX29" i="19"/>
  <c r="AQ29" i="19"/>
  <c r="AY34" i="19"/>
  <c r="AX45" i="19"/>
  <c r="AQ45" i="19"/>
  <c r="AX53" i="19"/>
  <c r="AQ53" i="19"/>
  <c r="AQ54" i="19"/>
  <c r="AQ55" i="19"/>
  <c r="AQ56" i="19"/>
  <c r="AQ57" i="19"/>
  <c r="AQ58" i="19"/>
  <c r="AQ59" i="19"/>
  <c r="AQ60" i="19"/>
  <c r="AQ61" i="19"/>
  <c r="AQ62" i="19"/>
  <c r="AQ63" i="19"/>
  <c r="AQ64" i="19"/>
  <c r="AQ65" i="19"/>
  <c r="AQ66" i="19"/>
  <c r="AQ67" i="19"/>
  <c r="AQ68" i="19"/>
  <c r="AQ69" i="19"/>
  <c r="AQ70" i="19"/>
  <c r="AQ71" i="19"/>
  <c r="AQ72" i="19"/>
  <c r="AQ73" i="19"/>
  <c r="AQ74" i="19"/>
  <c r="AQ75" i="19"/>
  <c r="AQ76" i="19"/>
  <c r="AQ77" i="19"/>
  <c r="AQ78" i="19"/>
  <c r="AQ79" i="19"/>
  <c r="AQ80" i="19"/>
  <c r="AQ81" i="19"/>
  <c r="AQ82" i="19"/>
  <c r="AQ83" i="19"/>
  <c r="AQ84" i="19"/>
  <c r="AQ85" i="19"/>
  <c r="AQ86" i="19"/>
  <c r="AQ87" i="19"/>
  <c r="AQ88" i="19"/>
  <c r="AQ89" i="19"/>
  <c r="AQ90" i="19"/>
  <c r="AQ91" i="19"/>
  <c r="AQ92" i="19"/>
  <c r="AQ93" i="19"/>
  <c r="AQ94" i="19"/>
  <c r="AQ95" i="19"/>
  <c r="AQ96" i="19"/>
  <c r="AQ97" i="19"/>
  <c r="AQ98" i="19"/>
  <c r="AQ99" i="19"/>
  <c r="AQ100" i="19"/>
  <c r="AQ101" i="19"/>
  <c r="AQ102" i="19"/>
  <c r="AQ103" i="19"/>
  <c r="AX54" i="19"/>
  <c r="AX55" i="19"/>
  <c r="AX56" i="19"/>
  <c r="AX57" i="19"/>
  <c r="AX58" i="19"/>
  <c r="AX59" i="19"/>
  <c r="AX60" i="19"/>
  <c r="AX61" i="19"/>
  <c r="AX62" i="19"/>
  <c r="AX63" i="19"/>
  <c r="AX64" i="19"/>
  <c r="AX65" i="19"/>
  <c r="AX66" i="19"/>
  <c r="AX67" i="19"/>
  <c r="AX68" i="19"/>
  <c r="AX69" i="19"/>
  <c r="AX70" i="19"/>
  <c r="AX71" i="19"/>
  <c r="AX72" i="19"/>
  <c r="AX73" i="19"/>
  <c r="AX74" i="19"/>
  <c r="AX75" i="19"/>
  <c r="AX76" i="19"/>
  <c r="AX77" i="19"/>
  <c r="AX78" i="19"/>
  <c r="AX79" i="19"/>
  <c r="AX80" i="19"/>
  <c r="AX81" i="19"/>
  <c r="AX82" i="19"/>
  <c r="AX83" i="19"/>
  <c r="AX84" i="19"/>
  <c r="AX85" i="19"/>
  <c r="AX86" i="19"/>
  <c r="AX87" i="19"/>
  <c r="AX88" i="19"/>
  <c r="AX89" i="19"/>
  <c r="AX90" i="19"/>
  <c r="AX91" i="19"/>
  <c r="AX92" i="19"/>
  <c r="AX93" i="19"/>
  <c r="AX94" i="19"/>
  <c r="AX95" i="19"/>
  <c r="AX96" i="19"/>
  <c r="AX97" i="19"/>
  <c r="AX98" i="19"/>
  <c r="AX99" i="19"/>
  <c r="AX100" i="19"/>
  <c r="AX101" i="19"/>
  <c r="AX102" i="19"/>
  <c r="AX103" i="19"/>
  <c r="AR33" i="19"/>
  <c r="AR34" i="19"/>
  <c r="AR35" i="19"/>
  <c r="AR36" i="19"/>
  <c r="AR37" i="19"/>
  <c r="AR38" i="19"/>
  <c r="AR39" i="19"/>
  <c r="AR40" i="19"/>
  <c r="AR41" i="19"/>
  <c r="AR42" i="19"/>
  <c r="AR44" i="19"/>
  <c r="AR45" i="19"/>
  <c r="AR46" i="19"/>
  <c r="AR47" i="19"/>
  <c r="AR48" i="19"/>
  <c r="AR49" i="19"/>
  <c r="AR50" i="19"/>
  <c r="AR51" i="19"/>
  <c r="AR52" i="19"/>
  <c r="AR53" i="19"/>
  <c r="AR54" i="19"/>
  <c r="AR55" i="19"/>
  <c r="AR56" i="19"/>
  <c r="AR57" i="19"/>
  <c r="AR58" i="19"/>
  <c r="AR59" i="19"/>
  <c r="AR60" i="19"/>
  <c r="AR61" i="19"/>
  <c r="AR62" i="19"/>
  <c r="AR63" i="19"/>
  <c r="AR64" i="19"/>
  <c r="AR65" i="19"/>
  <c r="AR66" i="19"/>
  <c r="AR67" i="19"/>
  <c r="AR68" i="19"/>
  <c r="AR69" i="19"/>
  <c r="AR70" i="19"/>
  <c r="AR71" i="19"/>
  <c r="AR72" i="19"/>
  <c r="AR73" i="19"/>
  <c r="AR74" i="19"/>
  <c r="AR75" i="19"/>
  <c r="AR76" i="19"/>
  <c r="AR77" i="19"/>
  <c r="AR78" i="19"/>
  <c r="AR79" i="19"/>
  <c r="AR80" i="19"/>
  <c r="AR81" i="19"/>
  <c r="AR82" i="19"/>
  <c r="AR83" i="19"/>
  <c r="AR84" i="19"/>
  <c r="AR85" i="19"/>
  <c r="AR86" i="19"/>
  <c r="AR87" i="19"/>
  <c r="AR88" i="19"/>
  <c r="AR89" i="19"/>
  <c r="AR90" i="19"/>
  <c r="AR91" i="19"/>
  <c r="AR92" i="19"/>
  <c r="AR93" i="19"/>
  <c r="AR94" i="19"/>
  <c r="AR95" i="19"/>
  <c r="AR96" i="19"/>
  <c r="AR97" i="19"/>
  <c r="AR98" i="19"/>
  <c r="AR99" i="19"/>
  <c r="AR100" i="19"/>
  <c r="AR101" i="19"/>
  <c r="AR102" i="19"/>
  <c r="AR103" i="19"/>
  <c r="AZ4" i="16"/>
  <c r="AZ9" i="16"/>
  <c r="AZ7" i="16"/>
  <c r="AZ9" i="15"/>
  <c r="AZ4" i="15"/>
  <c r="AZ8" i="14"/>
  <c r="AZ9" i="14"/>
  <c r="AZ4" i="12"/>
  <c r="AZ5" i="12"/>
  <c r="AZ8" i="10"/>
  <c r="AZ8" i="9"/>
  <c r="AZ5" i="9"/>
  <c r="AZ9" i="7"/>
  <c r="AZ8" i="7"/>
  <c r="AZ7" i="7"/>
  <c r="AZ7" i="4"/>
  <c r="AZ9" i="17"/>
  <c r="AZ8" i="17"/>
  <c r="AZ7" i="17"/>
  <c r="AZ6" i="17"/>
  <c r="AZ5" i="17"/>
  <c r="AZ8" i="16"/>
  <c r="AZ5" i="16"/>
  <c r="AZ6" i="16"/>
  <c r="AZ4" i="17"/>
  <c r="AZ8" i="15"/>
  <c r="AZ7" i="14"/>
  <c r="AZ7" i="12"/>
  <c r="AZ6" i="12"/>
  <c r="AZ4" i="10"/>
  <c r="AZ6" i="9"/>
  <c r="AZ6" i="7"/>
  <c r="AZ6" i="6"/>
  <c r="AZ4" i="5"/>
  <c r="AZ9" i="4"/>
  <c r="AZ5" i="4"/>
  <c r="AZ5" i="3"/>
  <c r="AX38" i="19" l="1"/>
  <c r="AX42" i="19"/>
  <c r="AQ37" i="19"/>
  <c r="AQ41" i="19"/>
  <c r="AQ39" i="19"/>
  <c r="AN4" i="1" l="1"/>
  <c r="AL4" i="1"/>
  <c r="AK4" i="1"/>
  <c r="AP31" i="17" l="1"/>
  <c r="AO31" i="17"/>
  <c r="AP30" i="17"/>
  <c r="AO30" i="17"/>
  <c r="AP29" i="17"/>
  <c r="AO29" i="17"/>
  <c r="AP28" i="17"/>
  <c r="AR8" i="17" s="1"/>
  <c r="AO28" i="17"/>
  <c r="AP27" i="17"/>
  <c r="AO27" i="17"/>
  <c r="AP26" i="17"/>
  <c r="AO26" i="17"/>
  <c r="AP25" i="17"/>
  <c r="AO25" i="17"/>
  <c r="AP24" i="17"/>
  <c r="AR7" i="17" s="1"/>
  <c r="AO24" i="17"/>
  <c r="AP23" i="17"/>
  <c r="AO23" i="17"/>
  <c r="AP22" i="17"/>
  <c r="AO22" i="17"/>
  <c r="AP21" i="17"/>
  <c r="AO21" i="17"/>
  <c r="AP20" i="17"/>
  <c r="AO20" i="17"/>
  <c r="AP19" i="17"/>
  <c r="AO19" i="17"/>
  <c r="AP18" i="17"/>
  <c r="AO18" i="17"/>
  <c r="AP17" i="17"/>
  <c r="AR5" i="17" s="1"/>
  <c r="AO17" i="17"/>
  <c r="AP16" i="17"/>
  <c r="AO16" i="17"/>
  <c r="AP15" i="17"/>
  <c r="AO15" i="17"/>
  <c r="AQ4" i="17" s="1"/>
  <c r="AP14" i="17"/>
  <c r="AO14" i="17"/>
  <c r="AP11" i="17"/>
  <c r="AO11" i="17"/>
  <c r="AP10" i="17"/>
  <c r="AO10" i="17"/>
  <c r="AP9" i="17"/>
  <c r="AR9" i="17" s="1"/>
  <c r="AO9" i="17"/>
  <c r="AP8" i="17"/>
  <c r="AO8" i="17"/>
  <c r="AP7" i="17"/>
  <c r="AO7" i="17"/>
  <c r="AP6" i="17"/>
  <c r="AR6" i="17" s="1"/>
  <c r="AO6" i="17"/>
  <c r="AP5" i="17"/>
  <c r="AO5" i="17"/>
  <c r="AO4" i="17"/>
  <c r="AP4" i="17"/>
  <c r="AR9" i="16"/>
  <c r="AP31" i="16"/>
  <c r="AO31" i="16"/>
  <c r="AP30" i="16"/>
  <c r="AO30" i="16"/>
  <c r="AP29" i="16"/>
  <c r="AO29" i="16"/>
  <c r="AP28" i="16"/>
  <c r="AO28" i="16"/>
  <c r="AP27" i="16"/>
  <c r="AO27" i="16"/>
  <c r="AP26" i="16"/>
  <c r="AO26" i="16"/>
  <c r="AP25" i="16"/>
  <c r="AO25" i="16"/>
  <c r="AP24" i="16"/>
  <c r="AO24" i="16"/>
  <c r="AP23" i="16"/>
  <c r="AO23" i="16"/>
  <c r="AP22" i="16"/>
  <c r="AO22" i="16"/>
  <c r="AP21" i="16"/>
  <c r="AO21" i="16"/>
  <c r="AP20" i="16"/>
  <c r="AO20" i="16"/>
  <c r="AP19" i="16"/>
  <c r="AO19" i="16"/>
  <c r="AP18" i="16"/>
  <c r="AO18" i="16"/>
  <c r="AQ5" i="16" s="1"/>
  <c r="AP17" i="16"/>
  <c r="AO17" i="16"/>
  <c r="AP16" i="16"/>
  <c r="AO16" i="16"/>
  <c r="AQ4" i="16" s="1"/>
  <c r="AP15" i="16"/>
  <c r="AO15" i="16"/>
  <c r="AP14" i="16"/>
  <c r="AO14" i="16"/>
  <c r="AP11" i="16"/>
  <c r="AO11" i="16"/>
  <c r="AP10" i="16"/>
  <c r="AO10" i="16"/>
  <c r="AP9" i="16"/>
  <c r="AO9" i="16"/>
  <c r="AQ9" i="16" s="1"/>
  <c r="AP8" i="16"/>
  <c r="AO8" i="16"/>
  <c r="AP7" i="16"/>
  <c r="AO7" i="16"/>
  <c r="AP6" i="16"/>
  <c r="AR6" i="16" s="1"/>
  <c r="AO6" i="16"/>
  <c r="AQ6" i="16" s="1"/>
  <c r="AP5" i="16"/>
  <c r="AR5" i="16" s="1"/>
  <c r="AO5" i="16"/>
  <c r="AO4" i="16"/>
  <c r="AP4" i="16"/>
  <c r="AP31" i="15"/>
  <c r="AO31" i="15"/>
  <c r="AQ9" i="15" s="1"/>
  <c r="AP30" i="15"/>
  <c r="AO30" i="15"/>
  <c r="AP29" i="15"/>
  <c r="AO29" i="15"/>
  <c r="AP28" i="15"/>
  <c r="AO28" i="15"/>
  <c r="AP27" i="15"/>
  <c r="AO27" i="15"/>
  <c r="AP26" i="15"/>
  <c r="AO26" i="15"/>
  <c r="AP25" i="15"/>
  <c r="AO25" i="15"/>
  <c r="AP24" i="15"/>
  <c r="AO24" i="15"/>
  <c r="AP23" i="15"/>
  <c r="AO23" i="15"/>
  <c r="AQ7" i="15" s="1"/>
  <c r="AP22" i="15"/>
  <c r="AR6" i="15" s="1"/>
  <c r="AO22" i="15"/>
  <c r="AP21" i="15"/>
  <c r="AO21" i="15"/>
  <c r="AP20" i="15"/>
  <c r="AO20" i="15"/>
  <c r="AP19" i="15"/>
  <c r="AO19" i="15"/>
  <c r="AP18" i="15"/>
  <c r="AO18" i="15"/>
  <c r="AP17" i="15"/>
  <c r="AO17" i="15"/>
  <c r="AP16" i="15"/>
  <c r="AO16" i="15"/>
  <c r="AP15" i="15"/>
  <c r="AO15" i="15"/>
  <c r="AP14" i="15"/>
  <c r="AO14" i="15"/>
  <c r="AP11" i="15"/>
  <c r="AO11" i="15"/>
  <c r="AP10" i="15"/>
  <c r="AO10" i="15"/>
  <c r="AP9" i="15"/>
  <c r="AO9" i="15"/>
  <c r="AP8" i="15"/>
  <c r="AR8" i="15" s="1"/>
  <c r="AO8" i="15"/>
  <c r="AP7" i="15"/>
  <c r="AR7" i="15" s="1"/>
  <c r="AO7" i="15"/>
  <c r="AP6" i="15"/>
  <c r="AO6" i="15"/>
  <c r="AP5" i="15"/>
  <c r="AO5" i="15"/>
  <c r="AO4" i="15"/>
  <c r="AQ4" i="15" s="1"/>
  <c r="AP4" i="15"/>
  <c r="AP31" i="14"/>
  <c r="AO31" i="14"/>
  <c r="AP30" i="14"/>
  <c r="AO30" i="14"/>
  <c r="AP29" i="14"/>
  <c r="AO29" i="14"/>
  <c r="AQ9" i="14" s="1"/>
  <c r="AP28" i="14"/>
  <c r="AO28" i="14"/>
  <c r="AP27" i="14"/>
  <c r="AO27" i="14"/>
  <c r="AP26" i="14"/>
  <c r="AO26" i="14"/>
  <c r="AP25" i="14"/>
  <c r="AO25" i="14"/>
  <c r="AP24" i="14"/>
  <c r="AO24" i="14"/>
  <c r="AP23" i="14"/>
  <c r="AO23" i="14"/>
  <c r="AQ7" i="14" s="1"/>
  <c r="AP22" i="14"/>
  <c r="AO22" i="14"/>
  <c r="AP21" i="14"/>
  <c r="AO21" i="14"/>
  <c r="AP20" i="14"/>
  <c r="AO20" i="14"/>
  <c r="AP19" i="14"/>
  <c r="AO19" i="14"/>
  <c r="AP18" i="14"/>
  <c r="AO18" i="14"/>
  <c r="AP17" i="14"/>
  <c r="AR5" i="14" s="1"/>
  <c r="AO17" i="14"/>
  <c r="AP16" i="14"/>
  <c r="AO16" i="14"/>
  <c r="AP15" i="14"/>
  <c r="AO15" i="14"/>
  <c r="AP14" i="14"/>
  <c r="AO14" i="14"/>
  <c r="AP11" i="14"/>
  <c r="AO11" i="14"/>
  <c r="AP10" i="14"/>
  <c r="AO10" i="14"/>
  <c r="AP9" i="14"/>
  <c r="AO9" i="14"/>
  <c r="AP8" i="14"/>
  <c r="AR8" i="14" s="1"/>
  <c r="AO8" i="14"/>
  <c r="AQ8" i="14" s="1"/>
  <c r="AP7" i="14"/>
  <c r="AR7" i="14" s="1"/>
  <c r="AO7" i="14"/>
  <c r="AP6" i="14"/>
  <c r="AO6" i="14"/>
  <c r="AP5" i="14"/>
  <c r="AO5" i="14"/>
  <c r="AQ5" i="14" s="1"/>
  <c r="AO4" i="14"/>
  <c r="AQ4" i="14" s="1"/>
  <c r="AP4" i="14"/>
  <c r="AR4" i="14" s="1"/>
  <c r="AP31" i="13"/>
  <c r="AO31" i="13"/>
  <c r="AP30" i="13"/>
  <c r="AO30" i="13"/>
  <c r="AP29" i="13"/>
  <c r="AO29" i="13"/>
  <c r="AP28" i="13"/>
  <c r="AO28" i="13"/>
  <c r="AP27" i="13"/>
  <c r="AO27" i="13"/>
  <c r="AP26" i="13"/>
  <c r="AO26" i="13"/>
  <c r="AP25" i="13"/>
  <c r="AO25" i="13"/>
  <c r="AP24" i="13"/>
  <c r="AR7" i="13" s="1"/>
  <c r="AO24" i="13"/>
  <c r="AP23" i="13"/>
  <c r="AO23" i="13"/>
  <c r="AP22" i="13"/>
  <c r="AO22" i="13"/>
  <c r="AP21" i="13"/>
  <c r="AO21" i="13"/>
  <c r="AP20" i="13"/>
  <c r="AR6" i="13" s="1"/>
  <c r="AO20" i="13"/>
  <c r="AP19" i="13"/>
  <c r="AO19" i="13"/>
  <c r="AP18" i="13"/>
  <c r="AO18" i="13"/>
  <c r="AP17" i="13"/>
  <c r="AR5" i="13" s="1"/>
  <c r="AO17" i="13"/>
  <c r="AP16" i="13"/>
  <c r="AO16" i="13"/>
  <c r="AQ4" i="13" s="1"/>
  <c r="AP15" i="13"/>
  <c r="AO15" i="13"/>
  <c r="AP14" i="13"/>
  <c r="AO14" i="13"/>
  <c r="AP11" i="13"/>
  <c r="AO11" i="13"/>
  <c r="AP10" i="13"/>
  <c r="AO10" i="13"/>
  <c r="AP9" i="13"/>
  <c r="AR9" i="13" s="1"/>
  <c r="AO9" i="13"/>
  <c r="AQ9" i="13" s="1"/>
  <c r="AP8" i="13"/>
  <c r="AO8" i="13"/>
  <c r="AP7" i="13"/>
  <c r="AO7" i="13"/>
  <c r="AP6" i="13"/>
  <c r="AO6" i="13"/>
  <c r="AQ6" i="13" s="1"/>
  <c r="AP5" i="13"/>
  <c r="AO5" i="13"/>
  <c r="AQ5" i="13" s="1"/>
  <c r="AO4" i="13"/>
  <c r="AP4" i="13"/>
  <c r="AR4" i="13" s="1"/>
  <c r="AP31" i="12"/>
  <c r="AO31" i="12"/>
  <c r="AP30" i="12"/>
  <c r="AO30" i="12"/>
  <c r="AP29" i="12"/>
  <c r="AO29" i="12"/>
  <c r="AQ9" i="12" s="1"/>
  <c r="AP28" i="12"/>
  <c r="AO28" i="12"/>
  <c r="AP27" i="12"/>
  <c r="AO27" i="12"/>
  <c r="AP26" i="12"/>
  <c r="AO26" i="12"/>
  <c r="AP25" i="12"/>
  <c r="AO25" i="12"/>
  <c r="AP24" i="12"/>
  <c r="AO24" i="12"/>
  <c r="AP23" i="12"/>
  <c r="AO23" i="12"/>
  <c r="AP22" i="12"/>
  <c r="AO22" i="12"/>
  <c r="AP21" i="12"/>
  <c r="AO21" i="12"/>
  <c r="AP20" i="12"/>
  <c r="AR6" i="12" s="1"/>
  <c r="AO20" i="12"/>
  <c r="AP19" i="12"/>
  <c r="AO19" i="12"/>
  <c r="AP18" i="12"/>
  <c r="AO18" i="12"/>
  <c r="AP17" i="12"/>
  <c r="AR5" i="12" s="1"/>
  <c r="AO17" i="12"/>
  <c r="AQ5" i="12" s="1"/>
  <c r="AP16" i="12"/>
  <c r="AO16" i="12"/>
  <c r="AP15" i="12"/>
  <c r="AO15" i="12"/>
  <c r="AP14" i="12"/>
  <c r="AO14" i="12"/>
  <c r="AP11" i="12"/>
  <c r="AO11" i="12"/>
  <c r="AP10" i="12"/>
  <c r="AO10" i="12"/>
  <c r="AP9" i="12"/>
  <c r="AR9" i="12" s="1"/>
  <c r="AO9" i="12"/>
  <c r="AP8" i="12"/>
  <c r="AR8" i="12" s="1"/>
  <c r="AO8" i="12"/>
  <c r="AQ8" i="12" s="1"/>
  <c r="AP7" i="12"/>
  <c r="AO7" i="12"/>
  <c r="AQ7" i="12" s="1"/>
  <c r="AP6" i="12"/>
  <c r="AO6" i="12"/>
  <c r="AQ6" i="12" s="1"/>
  <c r="AP5" i="12"/>
  <c r="AO5" i="12"/>
  <c r="AO4" i="12"/>
  <c r="AQ4" i="12" s="1"/>
  <c r="AP4" i="12"/>
  <c r="AR4" i="12" s="1"/>
  <c r="AP31" i="11"/>
  <c r="AO31" i="11"/>
  <c r="AP30" i="11"/>
  <c r="AO30" i="11"/>
  <c r="AP29" i="11"/>
  <c r="AO29" i="11"/>
  <c r="AP28" i="11"/>
  <c r="AO28" i="11"/>
  <c r="AQ8" i="11" s="1"/>
  <c r="AP27" i="11"/>
  <c r="AO27" i="11"/>
  <c r="AP26" i="11"/>
  <c r="AO26" i="11"/>
  <c r="AP25" i="11"/>
  <c r="AO25" i="11"/>
  <c r="AP24" i="11"/>
  <c r="AO24" i="11"/>
  <c r="AP23" i="11"/>
  <c r="AO23" i="11"/>
  <c r="AP22" i="11"/>
  <c r="AO22" i="11"/>
  <c r="AP21" i="11"/>
  <c r="AO21" i="11"/>
  <c r="AP20" i="11"/>
  <c r="AR6" i="11" s="1"/>
  <c r="AO20" i="11"/>
  <c r="AP19" i="11"/>
  <c r="AO19" i="11"/>
  <c r="AP18" i="11"/>
  <c r="AO18" i="11"/>
  <c r="AP17" i="11"/>
  <c r="AO17" i="11"/>
  <c r="AQ5" i="11" s="1"/>
  <c r="AP16" i="11"/>
  <c r="AO16" i="11"/>
  <c r="AP15" i="11"/>
  <c r="AO15" i="11"/>
  <c r="AP14" i="11"/>
  <c r="AO14" i="11"/>
  <c r="AP11" i="11"/>
  <c r="AO11" i="11"/>
  <c r="AP10" i="11"/>
  <c r="AO10" i="11"/>
  <c r="AP9" i="11"/>
  <c r="AO9" i="11"/>
  <c r="AP8" i="11"/>
  <c r="AO8" i="11"/>
  <c r="AP7" i="11"/>
  <c r="AR7" i="11" s="1"/>
  <c r="AO7" i="11"/>
  <c r="AQ7" i="11" s="1"/>
  <c r="AP6" i="11"/>
  <c r="AO6" i="11"/>
  <c r="AP5" i="11"/>
  <c r="AO5" i="11"/>
  <c r="AO4" i="11"/>
  <c r="AQ4" i="11" s="1"/>
  <c r="AP4" i="11"/>
  <c r="AP31" i="10"/>
  <c r="AO31" i="10"/>
  <c r="AP30" i="10"/>
  <c r="AO30" i="10"/>
  <c r="AP29" i="10"/>
  <c r="AO29" i="10"/>
  <c r="AP28" i="10"/>
  <c r="AO28" i="10"/>
  <c r="AQ8" i="10" s="1"/>
  <c r="AP27" i="10"/>
  <c r="AO27" i="10"/>
  <c r="AP26" i="10"/>
  <c r="AO26" i="10"/>
  <c r="AP25" i="10"/>
  <c r="AO25" i="10"/>
  <c r="AP24" i="10"/>
  <c r="AO24" i="10"/>
  <c r="AP23" i="10"/>
  <c r="AO23" i="10"/>
  <c r="AQ7" i="10" s="1"/>
  <c r="AP22" i="10"/>
  <c r="AO22" i="10"/>
  <c r="AP21" i="10"/>
  <c r="AO21" i="10"/>
  <c r="AP20" i="10"/>
  <c r="AO20" i="10"/>
  <c r="AP19" i="10"/>
  <c r="AO19" i="10"/>
  <c r="AP18" i="10"/>
  <c r="AO18" i="10"/>
  <c r="AP17" i="10"/>
  <c r="AR5" i="10" s="1"/>
  <c r="AO17" i="10"/>
  <c r="AP16" i="10"/>
  <c r="AO16" i="10"/>
  <c r="AP15" i="10"/>
  <c r="AO15" i="10"/>
  <c r="AP14" i="10"/>
  <c r="AO14" i="10"/>
  <c r="AP11" i="10"/>
  <c r="AO11" i="10"/>
  <c r="AP10" i="10"/>
  <c r="AO10" i="10"/>
  <c r="AP9" i="10"/>
  <c r="AO9" i="10"/>
  <c r="AP8" i="10"/>
  <c r="AR8" i="10" s="1"/>
  <c r="AO8" i="10"/>
  <c r="AP7" i="10"/>
  <c r="AR7" i="10" s="1"/>
  <c r="AO7" i="10"/>
  <c r="AP6" i="10"/>
  <c r="AO6" i="10"/>
  <c r="AP5" i="10"/>
  <c r="AO5" i="10"/>
  <c r="AO4" i="10"/>
  <c r="AQ4" i="10" s="1"/>
  <c r="AP4" i="10"/>
  <c r="AR4" i="10" s="1"/>
  <c r="AP31" i="9"/>
  <c r="AO31" i="9"/>
  <c r="AP30" i="9"/>
  <c r="AO30" i="9"/>
  <c r="AP29" i="9"/>
  <c r="AO29" i="9"/>
  <c r="AQ9" i="9" s="1"/>
  <c r="AP28" i="9"/>
  <c r="AO28" i="9"/>
  <c r="AQ8" i="9" s="1"/>
  <c r="AP27" i="9"/>
  <c r="AO27" i="9"/>
  <c r="AP26" i="9"/>
  <c r="AO26" i="9"/>
  <c r="AP25" i="9"/>
  <c r="AO25" i="9"/>
  <c r="AP24" i="9"/>
  <c r="AO24" i="9"/>
  <c r="AP23" i="9"/>
  <c r="AO23" i="9"/>
  <c r="AP22" i="9"/>
  <c r="AO22" i="9"/>
  <c r="AP21" i="9"/>
  <c r="AO21" i="9"/>
  <c r="AP20" i="9"/>
  <c r="AO20" i="9"/>
  <c r="AQ6" i="9" s="1"/>
  <c r="AP19" i="9"/>
  <c r="AO19" i="9"/>
  <c r="AP18" i="9"/>
  <c r="AO18" i="9"/>
  <c r="AP17" i="9"/>
  <c r="AO17" i="9"/>
  <c r="AQ5" i="9" s="1"/>
  <c r="AP16" i="9"/>
  <c r="AO16" i="9"/>
  <c r="AQ4" i="9" s="1"/>
  <c r="AP15" i="9"/>
  <c r="AO15" i="9"/>
  <c r="AP14" i="9"/>
  <c r="AO14" i="9"/>
  <c r="AP11" i="9"/>
  <c r="AO11" i="9"/>
  <c r="AP10" i="9"/>
  <c r="AO10" i="9"/>
  <c r="AP9" i="9"/>
  <c r="AR9" i="9" s="1"/>
  <c r="AO9" i="9"/>
  <c r="AP8" i="9"/>
  <c r="AO8" i="9"/>
  <c r="AP7" i="9"/>
  <c r="AO7" i="9"/>
  <c r="AQ7" i="9" s="1"/>
  <c r="AP6" i="9"/>
  <c r="AR6" i="9" s="1"/>
  <c r="AO6" i="9"/>
  <c r="AP5" i="9"/>
  <c r="AR5" i="9" s="1"/>
  <c r="AO5" i="9"/>
  <c r="AO4" i="9"/>
  <c r="AP4" i="9"/>
  <c r="AP31" i="7"/>
  <c r="AO31" i="7"/>
  <c r="AP30" i="7"/>
  <c r="AO30" i="7"/>
  <c r="AP29" i="7"/>
  <c r="AO29" i="7"/>
  <c r="AP28" i="7"/>
  <c r="AO28" i="7"/>
  <c r="AP27" i="7"/>
  <c r="AO27" i="7"/>
  <c r="AP26" i="7"/>
  <c r="AO26" i="7"/>
  <c r="AP25" i="7"/>
  <c r="AO25" i="7"/>
  <c r="AP24" i="7"/>
  <c r="AO24" i="7"/>
  <c r="AP23" i="7"/>
  <c r="AO23" i="7"/>
  <c r="AP22" i="7"/>
  <c r="AO22" i="7"/>
  <c r="AP21" i="7"/>
  <c r="AO21" i="7"/>
  <c r="AP20" i="7"/>
  <c r="AO20" i="7"/>
  <c r="AQ6" i="7" s="1"/>
  <c r="AP19" i="7"/>
  <c r="AO19" i="7"/>
  <c r="AP18" i="7"/>
  <c r="AO18" i="7"/>
  <c r="AP17" i="7"/>
  <c r="AR5" i="7" s="1"/>
  <c r="AO17" i="7"/>
  <c r="AQ5" i="7" s="1"/>
  <c r="AP16" i="7"/>
  <c r="AO16" i="7"/>
  <c r="AQ4" i="7" s="1"/>
  <c r="AP15" i="7"/>
  <c r="AO15" i="7"/>
  <c r="AP14" i="7"/>
  <c r="AR4" i="7" s="1"/>
  <c r="AO14" i="7"/>
  <c r="AP11" i="7"/>
  <c r="AO11" i="7"/>
  <c r="AP10" i="7"/>
  <c r="AO10" i="7"/>
  <c r="AP9" i="7"/>
  <c r="AR9" i="7" s="1"/>
  <c r="AO9" i="7"/>
  <c r="AP8" i="7"/>
  <c r="AO8" i="7"/>
  <c r="AP7" i="7"/>
  <c r="AO7" i="7"/>
  <c r="AQ7" i="7" s="1"/>
  <c r="AP6" i="7"/>
  <c r="AR6" i="7" s="1"/>
  <c r="AO6" i="7"/>
  <c r="AP5" i="7"/>
  <c r="AO5" i="7"/>
  <c r="AO4" i="7"/>
  <c r="AP4" i="7"/>
  <c r="AZ31" i="8"/>
  <c r="AY31" i="8"/>
  <c r="AX31" i="8"/>
  <c r="AZ30" i="8"/>
  <c r="AY30" i="8"/>
  <c r="AX30" i="8"/>
  <c r="AZ29" i="8"/>
  <c r="AY29" i="8"/>
  <c r="AX29" i="8"/>
  <c r="AZ28" i="8"/>
  <c r="AY28" i="8"/>
  <c r="AX28" i="8"/>
  <c r="AZ27" i="8"/>
  <c r="AY27" i="8"/>
  <c r="AX27" i="8"/>
  <c r="BA8" i="8" s="1"/>
  <c r="AZ26" i="8"/>
  <c r="AY26" i="8"/>
  <c r="AX26" i="8"/>
  <c r="AZ25" i="8"/>
  <c r="AY25" i="8"/>
  <c r="AX25" i="8"/>
  <c r="AZ24" i="8"/>
  <c r="AY24" i="8"/>
  <c r="AX24" i="8"/>
  <c r="AZ23" i="8"/>
  <c r="AY23" i="8"/>
  <c r="AX23" i="8"/>
  <c r="BA7" i="8" s="1"/>
  <c r="AZ22" i="8"/>
  <c r="AY22" i="8"/>
  <c r="AX22" i="8"/>
  <c r="AZ21" i="8"/>
  <c r="AY21" i="8"/>
  <c r="AX21" i="8"/>
  <c r="AZ20" i="8"/>
  <c r="AY20" i="8"/>
  <c r="AX20" i="8"/>
  <c r="AZ19" i="8"/>
  <c r="AY19" i="8"/>
  <c r="AX19" i="8"/>
  <c r="AZ18" i="8"/>
  <c r="AY18" i="8"/>
  <c r="AX18" i="8"/>
  <c r="AZ17" i="8"/>
  <c r="AY17" i="8"/>
  <c r="AX17" i="8"/>
  <c r="BA5" i="8" s="1"/>
  <c r="AZ16" i="8"/>
  <c r="AY16" i="8"/>
  <c r="AX16" i="8"/>
  <c r="AZ15" i="8"/>
  <c r="AY15" i="8"/>
  <c r="AX15" i="8"/>
  <c r="AZ14" i="8"/>
  <c r="AY14" i="8"/>
  <c r="AX14" i="8"/>
  <c r="AZ11" i="8"/>
  <c r="AY11" i="8"/>
  <c r="AX11" i="8"/>
  <c r="AZ10" i="8"/>
  <c r="AY10" i="8"/>
  <c r="AX10" i="8"/>
  <c r="AZ9" i="8"/>
  <c r="AY9" i="8"/>
  <c r="AX9" i="8"/>
  <c r="BA9" i="8" s="1"/>
  <c r="AZ8" i="8"/>
  <c r="AY8" i="8"/>
  <c r="AX8" i="8"/>
  <c r="AZ7" i="8"/>
  <c r="BC7" i="8" s="1"/>
  <c r="AY7" i="8"/>
  <c r="AX7" i="8"/>
  <c r="AZ6" i="8"/>
  <c r="AY6" i="8"/>
  <c r="BB6" i="8" s="1"/>
  <c r="AX6" i="8"/>
  <c r="AZ5" i="8"/>
  <c r="AY5" i="8"/>
  <c r="AX5" i="8"/>
  <c r="AZ4" i="8"/>
  <c r="BC4" i="8" s="1"/>
  <c r="AY4" i="8"/>
  <c r="BB4" i="8" s="1"/>
  <c r="AX4" i="8"/>
  <c r="BA4" i="8" s="1"/>
  <c r="AP31" i="6"/>
  <c r="AO31" i="6"/>
  <c r="AP30" i="6"/>
  <c r="AO30" i="6"/>
  <c r="AP29" i="6"/>
  <c r="AO29" i="6"/>
  <c r="AP28" i="6"/>
  <c r="AR8" i="6" s="1"/>
  <c r="AO28" i="6"/>
  <c r="AP27" i="6"/>
  <c r="AO27" i="6"/>
  <c r="AP26" i="6"/>
  <c r="AO26" i="6"/>
  <c r="AP25" i="6"/>
  <c r="AO25" i="6"/>
  <c r="AP24" i="6"/>
  <c r="AO24" i="6"/>
  <c r="AP23" i="6"/>
  <c r="AO23" i="6"/>
  <c r="AP11" i="6"/>
  <c r="AO11" i="6"/>
  <c r="AP10" i="6"/>
  <c r="AO10" i="6"/>
  <c r="AP9" i="6"/>
  <c r="AR9" i="6" s="1"/>
  <c r="AO9" i="6"/>
  <c r="AQ9" i="6" s="1"/>
  <c r="AP8" i="6"/>
  <c r="AO8" i="6"/>
  <c r="AP7" i="6"/>
  <c r="AO7" i="6"/>
  <c r="AP6" i="6"/>
  <c r="AO6" i="6"/>
  <c r="AP5" i="6"/>
  <c r="AO5" i="6"/>
  <c r="AP4" i="6"/>
  <c r="AO4" i="6"/>
  <c r="AR9" i="5"/>
  <c r="AP31" i="5"/>
  <c r="AO31" i="5"/>
  <c r="AP30" i="5"/>
  <c r="AO30" i="5"/>
  <c r="AP29" i="5"/>
  <c r="AO29" i="5"/>
  <c r="AP28" i="5"/>
  <c r="AR8" i="5" s="1"/>
  <c r="AO28" i="5"/>
  <c r="AP27" i="5"/>
  <c r="AO27" i="5"/>
  <c r="AP26" i="5"/>
  <c r="AO26" i="5"/>
  <c r="AP25" i="5"/>
  <c r="AO25" i="5"/>
  <c r="AP24" i="5"/>
  <c r="AO24" i="5"/>
  <c r="AP23" i="5"/>
  <c r="AO23" i="5"/>
  <c r="AQ7" i="5" s="1"/>
  <c r="AP22" i="5"/>
  <c r="AO22" i="5"/>
  <c r="AP21" i="5"/>
  <c r="AO21" i="5"/>
  <c r="AP20" i="5"/>
  <c r="AO20" i="5"/>
  <c r="AP19" i="5"/>
  <c r="AO19" i="5"/>
  <c r="AP18" i="5"/>
  <c r="AO18" i="5"/>
  <c r="AP17" i="5"/>
  <c r="AR5" i="5" s="1"/>
  <c r="AO17" i="5"/>
  <c r="AQ5" i="5" s="1"/>
  <c r="AP16" i="5"/>
  <c r="AO16" i="5"/>
  <c r="AP15" i="5"/>
  <c r="AO15" i="5"/>
  <c r="AP14" i="5"/>
  <c r="AO14" i="5"/>
  <c r="AP11" i="5"/>
  <c r="AO11" i="5"/>
  <c r="AP10" i="5"/>
  <c r="AO10" i="5"/>
  <c r="AP9" i="5"/>
  <c r="AO9" i="5"/>
  <c r="AP8" i="5"/>
  <c r="AO8" i="5"/>
  <c r="AQ8" i="5" s="1"/>
  <c r="AP7" i="5"/>
  <c r="AO7" i="5"/>
  <c r="AP6" i="5"/>
  <c r="AO6" i="5"/>
  <c r="AP5" i="5"/>
  <c r="AO5" i="5"/>
  <c r="AO4" i="5"/>
  <c r="AP4" i="5"/>
  <c r="AP31" i="4"/>
  <c r="AO31" i="4"/>
  <c r="AP30" i="4"/>
  <c r="AO30" i="4"/>
  <c r="AP29" i="4"/>
  <c r="AO29" i="4"/>
  <c r="AP28" i="4"/>
  <c r="AO28" i="4"/>
  <c r="AP27" i="4"/>
  <c r="AO27" i="4"/>
  <c r="AP26" i="4"/>
  <c r="AO26" i="4"/>
  <c r="AP25" i="4"/>
  <c r="AO25" i="4"/>
  <c r="AP24" i="4"/>
  <c r="AO24" i="4"/>
  <c r="AP23" i="4"/>
  <c r="AR7" i="4" s="1"/>
  <c r="AO23" i="4"/>
  <c r="AP22" i="4"/>
  <c r="AO22" i="4"/>
  <c r="AP21" i="4"/>
  <c r="AO21" i="4"/>
  <c r="AP20" i="4"/>
  <c r="AO20" i="4"/>
  <c r="AP19" i="4"/>
  <c r="AO19" i="4"/>
  <c r="AP18" i="4"/>
  <c r="AO18" i="4"/>
  <c r="AP17" i="4"/>
  <c r="AO17" i="4"/>
  <c r="AQ5" i="4" s="1"/>
  <c r="AP16" i="4"/>
  <c r="AO16" i="4"/>
  <c r="AQ4" i="4" s="1"/>
  <c r="AP15" i="4"/>
  <c r="AR4" i="4" s="1"/>
  <c r="AO15" i="4"/>
  <c r="AP14" i="4"/>
  <c r="AO14" i="4"/>
  <c r="AP11" i="4"/>
  <c r="AO11" i="4"/>
  <c r="AP10" i="4"/>
  <c r="AO10" i="4"/>
  <c r="AP9" i="4"/>
  <c r="AR9" i="4" s="1"/>
  <c r="AO9" i="4"/>
  <c r="AP8" i="4"/>
  <c r="AO8" i="4"/>
  <c r="AP7" i="4"/>
  <c r="AO7" i="4"/>
  <c r="AP6" i="4"/>
  <c r="AR6" i="4" s="1"/>
  <c r="AO6" i="4"/>
  <c r="AQ6" i="4" s="1"/>
  <c r="AP5" i="4"/>
  <c r="AR5" i="4" s="1"/>
  <c r="AO5" i="4"/>
  <c r="AP4" i="4"/>
  <c r="AO4" i="4"/>
  <c r="AP31" i="3"/>
  <c r="AO31" i="3"/>
  <c r="AP30" i="3"/>
  <c r="AO30" i="3"/>
  <c r="AP29" i="3"/>
  <c r="AO29" i="3"/>
  <c r="AP28" i="3"/>
  <c r="AO28" i="3"/>
  <c r="AQ8" i="3" s="1"/>
  <c r="AP27" i="3"/>
  <c r="AO27" i="3"/>
  <c r="AP26" i="3"/>
  <c r="AO26" i="3"/>
  <c r="AP25" i="3"/>
  <c r="AO25" i="3"/>
  <c r="AP24" i="3"/>
  <c r="AR7" i="3" s="1"/>
  <c r="AO24" i="3"/>
  <c r="AP23" i="3"/>
  <c r="AO23" i="3"/>
  <c r="AP22" i="3"/>
  <c r="AO22" i="3"/>
  <c r="AP21" i="3"/>
  <c r="AO21" i="3"/>
  <c r="AP20" i="3"/>
  <c r="AO20" i="3"/>
  <c r="AP19" i="3"/>
  <c r="AO19" i="3"/>
  <c r="AP18" i="3"/>
  <c r="AO18" i="3"/>
  <c r="AP17" i="3"/>
  <c r="AO17" i="3"/>
  <c r="AQ5" i="3" s="1"/>
  <c r="AP16" i="3"/>
  <c r="AO16" i="3"/>
  <c r="AQ4" i="3" s="1"/>
  <c r="AP15" i="3"/>
  <c r="AO15" i="3"/>
  <c r="AP14" i="3"/>
  <c r="AO14" i="3"/>
  <c r="AP11" i="3"/>
  <c r="AO11" i="3"/>
  <c r="AP10" i="3"/>
  <c r="AO10" i="3"/>
  <c r="AP9" i="3"/>
  <c r="AO9" i="3"/>
  <c r="AQ9" i="3" s="1"/>
  <c r="AP8" i="3"/>
  <c r="AR8" i="3" s="1"/>
  <c r="AO8" i="3"/>
  <c r="AP7" i="3"/>
  <c r="AO7" i="3"/>
  <c r="AP6" i="3"/>
  <c r="AO6" i="3"/>
  <c r="AQ6" i="3" s="1"/>
  <c r="AP5" i="3"/>
  <c r="AO5" i="3"/>
  <c r="AP4" i="3"/>
  <c r="AR4" i="3" s="1"/>
  <c r="AO4" i="3"/>
  <c r="AR19" i="1"/>
  <c r="AQ19" i="1"/>
  <c r="AR18" i="1"/>
  <c r="AQ18" i="1"/>
  <c r="AR17" i="1"/>
  <c r="AQ17" i="1"/>
  <c r="AR16" i="1"/>
  <c r="AQ16" i="1"/>
  <c r="AR15" i="1"/>
  <c r="AQ15" i="1"/>
  <c r="AR14" i="1"/>
  <c r="AQ14" i="1"/>
  <c r="AR5" i="1"/>
  <c r="AQ5" i="1"/>
  <c r="AQ4" i="1"/>
  <c r="AR4" i="1"/>
  <c r="AS9" i="2"/>
  <c r="AS5" i="2"/>
  <c r="AQ31" i="2"/>
  <c r="AP31" i="2"/>
  <c r="AQ30" i="2"/>
  <c r="AP30" i="2"/>
  <c r="AQ29" i="2"/>
  <c r="AP29" i="2"/>
  <c r="AQ28" i="2"/>
  <c r="AP28" i="2"/>
  <c r="AQ27" i="2"/>
  <c r="AS8" i="2" s="1"/>
  <c r="AP27" i="2"/>
  <c r="AQ26" i="2"/>
  <c r="AP26" i="2"/>
  <c r="AQ25" i="2"/>
  <c r="AP25" i="2"/>
  <c r="AQ24" i="2"/>
  <c r="AP24" i="2"/>
  <c r="AQ23" i="2"/>
  <c r="AP23" i="2"/>
  <c r="AQ22" i="2"/>
  <c r="AP22" i="2"/>
  <c r="AQ21" i="2"/>
  <c r="AP21" i="2"/>
  <c r="AQ20" i="2"/>
  <c r="AP20" i="2"/>
  <c r="AQ19" i="2"/>
  <c r="AP19" i="2"/>
  <c r="AQ18" i="2"/>
  <c r="AP18" i="2"/>
  <c r="AQ17" i="2"/>
  <c r="AP17" i="2"/>
  <c r="AQ16" i="2"/>
  <c r="AP16" i="2"/>
  <c r="AQ15" i="2"/>
  <c r="AP15" i="2"/>
  <c r="AQ14" i="2"/>
  <c r="AP14" i="2"/>
  <c r="AQ11" i="2"/>
  <c r="AP11" i="2"/>
  <c r="AQ10" i="2"/>
  <c r="AP10" i="2"/>
  <c r="AQ9" i="2"/>
  <c r="AP9" i="2"/>
  <c r="AQ8" i="2"/>
  <c r="AP8" i="2"/>
  <c r="AQ7" i="2"/>
  <c r="AP7" i="2"/>
  <c r="AQ6" i="2"/>
  <c r="AS6" i="2" s="1"/>
  <c r="AP6" i="2"/>
  <c r="AQ5" i="2"/>
  <c r="AP5" i="2"/>
  <c r="AQ4" i="2"/>
  <c r="AP4" i="2"/>
  <c r="AM4" i="1"/>
  <c r="C63" i="17"/>
  <c r="C65" i="17"/>
  <c r="C64" i="17"/>
  <c r="C61" i="17"/>
  <c r="C60" i="17"/>
  <c r="D60" i="17" s="1"/>
  <c r="C59" i="17"/>
  <c r="C58" i="17"/>
  <c r="C57" i="17"/>
  <c r="C56" i="17"/>
  <c r="G56" i="17" s="1"/>
  <c r="C54" i="17"/>
  <c r="C53" i="17"/>
  <c r="C52" i="17"/>
  <c r="F52" i="17" s="1"/>
  <c r="C51" i="17"/>
  <c r="D51" i="17" s="1"/>
  <c r="C50" i="17"/>
  <c r="C48" i="17"/>
  <c r="C45" i="17"/>
  <c r="C44" i="17"/>
  <c r="F44" i="17" s="1"/>
  <c r="C43" i="17"/>
  <c r="E43" i="17" s="1"/>
  <c r="C41" i="17"/>
  <c r="C39" i="17"/>
  <c r="F39" i="17" s="1"/>
  <c r="C38" i="17"/>
  <c r="D65" i="17"/>
  <c r="E65" i="17"/>
  <c r="F65" i="17"/>
  <c r="D43" i="17"/>
  <c r="F43" i="17"/>
  <c r="C62" i="17"/>
  <c r="D62" i="17"/>
  <c r="E62" i="17"/>
  <c r="F62" i="17"/>
  <c r="C42" i="17"/>
  <c r="D42" i="17"/>
  <c r="E42" i="17"/>
  <c r="F42" i="17"/>
  <c r="E59" i="17"/>
  <c r="F59" i="17"/>
  <c r="D41" i="17"/>
  <c r="E41" i="17"/>
  <c r="F41" i="17"/>
  <c r="D64" i="17"/>
  <c r="E64" i="17"/>
  <c r="F64" i="17"/>
  <c r="F61" i="17"/>
  <c r="D58" i="17"/>
  <c r="E58" i="17"/>
  <c r="F58" i="17"/>
  <c r="D63" i="17"/>
  <c r="E60" i="17"/>
  <c r="F60" i="17"/>
  <c r="G65" i="17"/>
  <c r="G43" i="17"/>
  <c r="G62" i="17"/>
  <c r="G42" i="17"/>
  <c r="G41" i="17"/>
  <c r="G64" i="17"/>
  <c r="G61" i="17"/>
  <c r="G58" i="17"/>
  <c r="G63" i="17"/>
  <c r="G60" i="17"/>
  <c r="D56" i="17"/>
  <c r="E56" i="17"/>
  <c r="C40" i="17"/>
  <c r="D40" i="17" s="1"/>
  <c r="E40" i="17"/>
  <c r="F40" i="17"/>
  <c r="D53" i="17"/>
  <c r="E53" i="17"/>
  <c r="F53" i="17"/>
  <c r="D39" i="17"/>
  <c r="E39" i="17"/>
  <c r="D38" i="17"/>
  <c r="E38" i="17"/>
  <c r="F38" i="17"/>
  <c r="C55" i="17"/>
  <c r="F55" i="17" s="1"/>
  <c r="D52" i="17"/>
  <c r="E52" i="17"/>
  <c r="C49" i="17"/>
  <c r="E49" i="17" s="1"/>
  <c r="D54" i="17"/>
  <c r="E54" i="17"/>
  <c r="F54" i="17"/>
  <c r="E51" i="17"/>
  <c r="F51" i="17"/>
  <c r="D48" i="17"/>
  <c r="E48" i="17"/>
  <c r="F48" i="17"/>
  <c r="G40" i="17"/>
  <c r="G53" i="17"/>
  <c r="G39" i="17"/>
  <c r="G38" i="17"/>
  <c r="G55" i="17"/>
  <c r="G52" i="17"/>
  <c r="G54" i="17"/>
  <c r="G51" i="17"/>
  <c r="G48" i="17"/>
  <c r="D44" i="17"/>
  <c r="E44" i="17"/>
  <c r="C65" i="16"/>
  <c r="C64" i="16"/>
  <c r="E64" i="16" s="1"/>
  <c r="C63" i="16"/>
  <c r="E63" i="16" s="1"/>
  <c r="C62" i="16"/>
  <c r="D62" i="16" s="1"/>
  <c r="C61" i="16"/>
  <c r="E61" i="16" s="1"/>
  <c r="C60" i="16"/>
  <c r="C59" i="16"/>
  <c r="C58" i="16"/>
  <c r="D58" i="16" s="1"/>
  <c r="C57" i="16"/>
  <c r="C56" i="16"/>
  <c r="E56" i="16" s="1"/>
  <c r="C55" i="16"/>
  <c r="D55" i="16" s="1"/>
  <c r="C54" i="16"/>
  <c r="D54" i="16" s="1"/>
  <c r="C53" i="16"/>
  <c r="E53" i="16" s="1"/>
  <c r="C52" i="16"/>
  <c r="C51" i="16"/>
  <c r="F51" i="16" s="1"/>
  <c r="C50" i="16"/>
  <c r="D50" i="16" s="1"/>
  <c r="C49" i="16"/>
  <c r="C48" i="16"/>
  <c r="E48" i="16" s="1"/>
  <c r="C45" i="16"/>
  <c r="F45" i="16" s="1"/>
  <c r="C44" i="16"/>
  <c r="G44" i="16" s="1"/>
  <c r="C43" i="16"/>
  <c r="E43" i="16" s="1"/>
  <c r="C42" i="16"/>
  <c r="C41" i="16"/>
  <c r="F41" i="16" s="1"/>
  <c r="C40" i="16"/>
  <c r="D40" i="16" s="1"/>
  <c r="C39" i="16"/>
  <c r="C38" i="16"/>
  <c r="D38" i="16" s="1"/>
  <c r="C65" i="15"/>
  <c r="C64" i="15"/>
  <c r="C63" i="15"/>
  <c r="C62" i="15"/>
  <c r="C61" i="15"/>
  <c r="C60" i="15"/>
  <c r="C59" i="15"/>
  <c r="F59" i="15" s="1"/>
  <c r="C58" i="15"/>
  <c r="D58" i="15" s="1"/>
  <c r="C57" i="15"/>
  <c r="C56" i="15"/>
  <c r="C55" i="15"/>
  <c r="C54" i="15"/>
  <c r="C53" i="15"/>
  <c r="C52" i="15"/>
  <c r="C50" i="15"/>
  <c r="F50" i="15" s="1"/>
  <c r="C48" i="15"/>
  <c r="C45" i="15"/>
  <c r="C44" i="15"/>
  <c r="D44" i="15" s="1"/>
  <c r="C43" i="15"/>
  <c r="C42" i="15"/>
  <c r="C41" i="15"/>
  <c r="C40" i="15"/>
  <c r="C39" i="15"/>
  <c r="F39" i="15" s="1"/>
  <c r="C38" i="15"/>
  <c r="G38" i="15" s="1"/>
  <c r="D65" i="15"/>
  <c r="E65" i="15"/>
  <c r="D41" i="15"/>
  <c r="E41" i="15"/>
  <c r="F41" i="15"/>
  <c r="E64" i="15"/>
  <c r="F64" i="15"/>
  <c r="D61" i="15"/>
  <c r="E61" i="15"/>
  <c r="F61" i="15"/>
  <c r="E58" i="15"/>
  <c r="F58" i="15"/>
  <c r="D60" i="15"/>
  <c r="E60" i="15"/>
  <c r="F60" i="15"/>
  <c r="D57" i="15"/>
  <c r="G41" i="15"/>
  <c r="G61" i="15"/>
  <c r="G58" i="15"/>
  <c r="G60" i="15"/>
  <c r="F56" i="15"/>
  <c r="D40" i="15"/>
  <c r="E40" i="15"/>
  <c r="F40" i="15"/>
  <c r="D53" i="15"/>
  <c r="E53" i="15"/>
  <c r="F53" i="15"/>
  <c r="D50" i="15"/>
  <c r="D38" i="15"/>
  <c r="E38" i="15"/>
  <c r="F38" i="15"/>
  <c r="D52" i="15"/>
  <c r="E52" i="15"/>
  <c r="F52" i="15"/>
  <c r="C49" i="15"/>
  <c r="E49" i="15" s="1"/>
  <c r="C51" i="15"/>
  <c r="D51" i="15" s="1"/>
  <c r="D48" i="15"/>
  <c r="E48" i="15"/>
  <c r="F48" i="15"/>
  <c r="G40" i="15"/>
  <c r="G53" i="15"/>
  <c r="G52" i="15"/>
  <c r="G51" i="15"/>
  <c r="G48" i="15"/>
  <c r="F45" i="15"/>
  <c r="G45" i="15"/>
  <c r="E44" i="15"/>
  <c r="F44" i="15"/>
  <c r="C65" i="14"/>
  <c r="C64" i="14"/>
  <c r="C63" i="14"/>
  <c r="C62" i="14"/>
  <c r="E62" i="14" s="1"/>
  <c r="C61" i="14"/>
  <c r="C60" i="14"/>
  <c r="C59" i="14"/>
  <c r="C58" i="14"/>
  <c r="C57" i="14"/>
  <c r="C56" i="14"/>
  <c r="C55" i="14"/>
  <c r="C54" i="14"/>
  <c r="D54" i="14" s="1"/>
  <c r="C53" i="14"/>
  <c r="C52" i="14"/>
  <c r="C50" i="14"/>
  <c r="D50" i="14" s="1"/>
  <c r="C49" i="14"/>
  <c r="C48" i="14"/>
  <c r="C45" i="14"/>
  <c r="C44" i="14"/>
  <c r="E44" i="14" s="1"/>
  <c r="C43" i="14"/>
  <c r="D43" i="14" s="1"/>
  <c r="C42" i="14"/>
  <c r="C41" i="14"/>
  <c r="C40" i="14"/>
  <c r="D40" i="14" s="1"/>
  <c r="C38" i="14"/>
  <c r="G38" i="14" s="1"/>
  <c r="D65" i="14"/>
  <c r="F65" i="14"/>
  <c r="E43" i="14"/>
  <c r="F43" i="14"/>
  <c r="D62" i="14"/>
  <c r="F62" i="14"/>
  <c r="D42" i="14"/>
  <c r="D59" i="14"/>
  <c r="E59" i="14"/>
  <c r="F59" i="14"/>
  <c r="D41" i="14"/>
  <c r="E41" i="14"/>
  <c r="F41" i="14"/>
  <c r="D58" i="14"/>
  <c r="E58" i="14"/>
  <c r="F58" i="14"/>
  <c r="D63" i="14"/>
  <c r="E63" i="14"/>
  <c r="D60" i="14"/>
  <c r="E60" i="14"/>
  <c r="F60" i="14"/>
  <c r="G43" i="14"/>
  <c r="G62" i="14"/>
  <c r="G59" i="14"/>
  <c r="G41" i="14"/>
  <c r="G61" i="14"/>
  <c r="G58" i="14"/>
  <c r="G60" i="14"/>
  <c r="E40" i="14"/>
  <c r="F40" i="14"/>
  <c r="C39" i="14"/>
  <c r="E39" i="14" s="1"/>
  <c r="E50" i="14"/>
  <c r="F50" i="14"/>
  <c r="D38" i="14"/>
  <c r="E38" i="14"/>
  <c r="F38" i="14"/>
  <c r="D55" i="14"/>
  <c r="F55" i="14"/>
  <c r="D52" i="14"/>
  <c r="E52" i="14"/>
  <c r="F52" i="14"/>
  <c r="D49" i="14"/>
  <c r="E49" i="14"/>
  <c r="F49" i="14"/>
  <c r="E54" i="14"/>
  <c r="F54" i="14"/>
  <c r="C51" i="14"/>
  <c r="D51" i="14" s="1"/>
  <c r="G40" i="14"/>
  <c r="G50" i="14"/>
  <c r="G52" i="14"/>
  <c r="G49" i="14"/>
  <c r="G54" i="14"/>
  <c r="E45" i="14"/>
  <c r="D44" i="14"/>
  <c r="F44" i="14"/>
  <c r="G44" i="14"/>
  <c r="C65" i="13"/>
  <c r="C62" i="13"/>
  <c r="C61" i="13"/>
  <c r="E61" i="13" s="1"/>
  <c r="C60" i="13"/>
  <c r="C59" i="13"/>
  <c r="C58" i="13"/>
  <c r="C54" i="13"/>
  <c r="D54" i="13" s="1"/>
  <c r="C53" i="13"/>
  <c r="C52" i="13"/>
  <c r="C64" i="13"/>
  <c r="C63" i="13"/>
  <c r="E63" i="13" s="1"/>
  <c r="C57" i="13"/>
  <c r="C56" i="13"/>
  <c r="C55" i="13"/>
  <c r="F55" i="13" s="1"/>
  <c r="C51" i="13"/>
  <c r="C50" i="13"/>
  <c r="C49" i="13"/>
  <c r="G49" i="13" s="1"/>
  <c r="C48" i="13"/>
  <c r="C45" i="13"/>
  <c r="D45" i="13" s="1"/>
  <c r="C44" i="13"/>
  <c r="C43" i="13"/>
  <c r="C42" i="13"/>
  <c r="F42" i="13" s="1"/>
  <c r="C41" i="13"/>
  <c r="C40" i="13"/>
  <c r="C39" i="13"/>
  <c r="C38" i="13"/>
  <c r="G38" i="13" s="1"/>
  <c r="D65" i="13"/>
  <c r="E65" i="13"/>
  <c r="F65" i="13"/>
  <c r="F43" i="13"/>
  <c r="D62" i="13"/>
  <c r="E62" i="13"/>
  <c r="F62" i="13"/>
  <c r="D42" i="13"/>
  <c r="E42" i="13"/>
  <c r="D59" i="13"/>
  <c r="E59" i="13"/>
  <c r="F59" i="13"/>
  <c r="F41" i="13"/>
  <c r="D64" i="13"/>
  <c r="E64" i="13"/>
  <c r="F64" i="13"/>
  <c r="D61" i="13"/>
  <c r="F61" i="13"/>
  <c r="F58" i="13"/>
  <c r="D63" i="13"/>
  <c r="F63" i="13"/>
  <c r="E57" i="13"/>
  <c r="G65" i="13"/>
  <c r="G43" i="13"/>
  <c r="G62" i="13"/>
  <c r="G42" i="13"/>
  <c r="G59" i="13"/>
  <c r="G64" i="13"/>
  <c r="G61" i="13"/>
  <c r="G58" i="13"/>
  <c r="G63" i="13"/>
  <c r="G57" i="13"/>
  <c r="D56" i="13"/>
  <c r="D39" i="13"/>
  <c r="E39" i="13"/>
  <c r="F39" i="13"/>
  <c r="D38" i="13"/>
  <c r="E38" i="13"/>
  <c r="F38" i="13"/>
  <c r="D55" i="13"/>
  <c r="E55" i="13"/>
  <c r="D52" i="13"/>
  <c r="E52" i="13"/>
  <c r="F52" i="13"/>
  <c r="D49" i="13"/>
  <c r="E49" i="13"/>
  <c r="F49" i="13"/>
  <c r="E54" i="13"/>
  <c r="F54" i="13"/>
  <c r="D51" i="13"/>
  <c r="D48" i="13"/>
  <c r="E48" i="13"/>
  <c r="F48" i="13"/>
  <c r="G56" i="13"/>
  <c r="G39" i="13"/>
  <c r="G55" i="13"/>
  <c r="G52" i="13"/>
  <c r="G54" i="13"/>
  <c r="G48" i="13"/>
  <c r="E45" i="13"/>
  <c r="F45" i="13"/>
  <c r="G45" i="13"/>
  <c r="F44" i="13"/>
  <c r="G44" i="13"/>
  <c r="C65" i="12"/>
  <c r="F65" i="12" s="1"/>
  <c r="C64" i="12"/>
  <c r="E64" i="12" s="1"/>
  <c r="C63" i="12"/>
  <c r="C62" i="12"/>
  <c r="C61" i="12"/>
  <c r="C60" i="12"/>
  <c r="C59" i="12"/>
  <c r="C58" i="12"/>
  <c r="C57" i="12"/>
  <c r="E57" i="12" s="1"/>
  <c r="C56" i="12"/>
  <c r="F56" i="12" s="1"/>
  <c r="C55" i="12"/>
  <c r="C54" i="12"/>
  <c r="C53" i="12"/>
  <c r="C52" i="12"/>
  <c r="C51" i="12"/>
  <c r="C50" i="12"/>
  <c r="C49" i="12"/>
  <c r="C48" i="12"/>
  <c r="F48" i="12" s="1"/>
  <c r="C45" i="12"/>
  <c r="C44" i="12"/>
  <c r="C43" i="12"/>
  <c r="E43" i="12" s="1"/>
  <c r="C41" i="12"/>
  <c r="G41" i="12" s="1"/>
  <c r="C40" i="12"/>
  <c r="E40" i="12" s="1"/>
  <c r="C39" i="12"/>
  <c r="C38" i="12"/>
  <c r="D38" i="12" s="1"/>
  <c r="E65" i="12"/>
  <c r="D43" i="12"/>
  <c r="F43" i="12"/>
  <c r="C42" i="12"/>
  <c r="E42" i="12" s="1"/>
  <c r="F59" i="12"/>
  <c r="D41" i="12"/>
  <c r="E41" i="12"/>
  <c r="F41" i="12"/>
  <c r="D64" i="12"/>
  <c r="F64" i="12"/>
  <c r="D61" i="12"/>
  <c r="E61" i="12"/>
  <c r="F61" i="12"/>
  <c r="D63" i="12"/>
  <c r="E63" i="12"/>
  <c r="F63" i="12"/>
  <c r="D60" i="12"/>
  <c r="E60" i="12"/>
  <c r="F60" i="12"/>
  <c r="D57" i="12"/>
  <c r="F57" i="12"/>
  <c r="G65" i="12"/>
  <c r="G43" i="12"/>
  <c r="G42" i="12"/>
  <c r="G64" i="12"/>
  <c r="G61" i="12"/>
  <c r="G63" i="12"/>
  <c r="G60" i="12"/>
  <c r="D56" i="12"/>
  <c r="E56" i="12"/>
  <c r="D40" i="12"/>
  <c r="F40" i="12"/>
  <c r="D53" i="12"/>
  <c r="E53" i="12"/>
  <c r="F53" i="12"/>
  <c r="E39" i="12"/>
  <c r="F39" i="12"/>
  <c r="F50" i="12"/>
  <c r="E38" i="12"/>
  <c r="F38" i="12"/>
  <c r="D55" i="12"/>
  <c r="E55" i="12"/>
  <c r="F55" i="12"/>
  <c r="D52" i="12"/>
  <c r="E52" i="12"/>
  <c r="F52" i="12"/>
  <c r="E49" i="12"/>
  <c r="F49" i="12"/>
  <c r="D51" i="12"/>
  <c r="D48" i="12"/>
  <c r="E48" i="12"/>
  <c r="G56" i="12"/>
  <c r="G40" i="12"/>
  <c r="G53" i="12"/>
  <c r="G55" i="12"/>
  <c r="G52" i="12"/>
  <c r="G48" i="12"/>
  <c r="D45" i="12"/>
  <c r="E45" i="12"/>
  <c r="F45" i="12"/>
  <c r="G45" i="12"/>
  <c r="C65" i="11"/>
  <c r="C64" i="11"/>
  <c r="C63" i="11"/>
  <c r="F63" i="11" s="1"/>
  <c r="C62" i="11"/>
  <c r="C61" i="11"/>
  <c r="F61" i="11" s="1"/>
  <c r="C60" i="11"/>
  <c r="E60" i="11" s="1"/>
  <c r="C59" i="11"/>
  <c r="C58" i="11"/>
  <c r="C57" i="11"/>
  <c r="D57" i="11" s="1"/>
  <c r="C56" i="11"/>
  <c r="C55" i="11"/>
  <c r="E55" i="11" s="1"/>
  <c r="C54" i="11"/>
  <c r="C53" i="11"/>
  <c r="D53" i="11" s="1"/>
  <c r="C52" i="11"/>
  <c r="E52" i="11" s="1"/>
  <c r="C51" i="11"/>
  <c r="E51" i="11" s="1"/>
  <c r="C50" i="11"/>
  <c r="C49" i="11"/>
  <c r="C48" i="11"/>
  <c r="F48" i="11" s="1"/>
  <c r="C45" i="11"/>
  <c r="E45" i="11" s="1"/>
  <c r="C44" i="11"/>
  <c r="C42" i="11"/>
  <c r="C41" i="11"/>
  <c r="F41" i="11" s="1"/>
  <c r="C40" i="11"/>
  <c r="C39" i="11"/>
  <c r="C38" i="11"/>
  <c r="D65" i="11"/>
  <c r="C43" i="11"/>
  <c r="E43" i="11" s="1"/>
  <c r="D62" i="11"/>
  <c r="E62" i="11"/>
  <c r="F62" i="11"/>
  <c r="D42" i="11"/>
  <c r="E42" i="11"/>
  <c r="F42" i="11"/>
  <c r="D41" i="11"/>
  <c r="E41" i="11"/>
  <c r="D61" i="11"/>
  <c r="E61" i="11"/>
  <c r="D58" i="11"/>
  <c r="D63" i="11"/>
  <c r="E63" i="11"/>
  <c r="D60" i="11"/>
  <c r="F60" i="11"/>
  <c r="F57" i="11"/>
  <c r="G65" i="11"/>
  <c r="G43" i="11"/>
  <c r="G62" i="11"/>
  <c r="G42" i="11"/>
  <c r="G41" i="11"/>
  <c r="G61" i="11"/>
  <c r="G58" i="11"/>
  <c r="G63" i="11"/>
  <c r="G60" i="11"/>
  <c r="G57" i="11"/>
  <c r="E56" i="11"/>
  <c r="E40" i="11"/>
  <c r="F40" i="11"/>
  <c r="E53" i="11"/>
  <c r="F53" i="11"/>
  <c r="F50" i="11"/>
  <c r="E38" i="11"/>
  <c r="D55" i="11"/>
  <c r="F55" i="11"/>
  <c r="D52" i="11"/>
  <c r="D54" i="11"/>
  <c r="E54" i="11"/>
  <c r="F54" i="11"/>
  <c r="D51" i="11"/>
  <c r="F51" i="11"/>
  <c r="D48" i="11"/>
  <c r="G56" i="11"/>
  <c r="G53" i="11"/>
  <c r="G39" i="11"/>
  <c r="G55" i="11"/>
  <c r="G52" i="11"/>
  <c r="G49" i="11"/>
  <c r="G54" i="11"/>
  <c r="G51" i="11"/>
  <c r="D45" i="11"/>
  <c r="F45" i="11"/>
  <c r="G45" i="11"/>
  <c r="D44" i="11"/>
  <c r="E44" i="11"/>
  <c r="F44" i="11"/>
  <c r="G44" i="11"/>
  <c r="C65" i="10"/>
  <c r="G65" i="10" s="1"/>
  <c r="C62" i="10"/>
  <c r="C61" i="10"/>
  <c r="G61" i="10" s="1"/>
  <c r="C60" i="10"/>
  <c r="D60" i="10" s="1"/>
  <c r="C59" i="10"/>
  <c r="C57" i="10"/>
  <c r="C56" i="10"/>
  <c r="C55" i="10"/>
  <c r="E55" i="10" s="1"/>
  <c r="C54" i="10"/>
  <c r="F54" i="10" s="1"/>
  <c r="C53" i="10"/>
  <c r="F53" i="10" s="1"/>
  <c r="C52" i="10"/>
  <c r="C51" i="10"/>
  <c r="C50" i="10"/>
  <c r="D50" i="10" s="1"/>
  <c r="C49" i="10"/>
  <c r="C45" i="10"/>
  <c r="C43" i="10"/>
  <c r="D43" i="10" s="1"/>
  <c r="C44" i="10"/>
  <c r="D44" i="10" s="1"/>
  <c r="C42" i="10"/>
  <c r="C41" i="10"/>
  <c r="C40" i="10"/>
  <c r="F40" i="10" s="1"/>
  <c r="C39" i="10"/>
  <c r="C38" i="10"/>
  <c r="G38" i="10" s="1"/>
  <c r="D65" i="10"/>
  <c r="E65" i="10"/>
  <c r="F65" i="10"/>
  <c r="E43" i="10"/>
  <c r="F43" i="10"/>
  <c r="F62" i="10"/>
  <c r="D42" i="10"/>
  <c r="D59" i="10"/>
  <c r="E59" i="10"/>
  <c r="F59" i="10"/>
  <c r="F41" i="10"/>
  <c r="C64" i="10"/>
  <c r="D64" i="10" s="1"/>
  <c r="D61" i="10"/>
  <c r="E61" i="10"/>
  <c r="F61" i="10"/>
  <c r="C58" i="10"/>
  <c r="D58" i="10" s="1"/>
  <c r="C63" i="10"/>
  <c r="D63" i="10"/>
  <c r="E63" i="10"/>
  <c r="F63" i="10"/>
  <c r="E60" i="10"/>
  <c r="F60" i="10"/>
  <c r="D57" i="10"/>
  <c r="E57" i="10"/>
  <c r="F57" i="10"/>
  <c r="G43" i="10"/>
  <c r="G62" i="10"/>
  <c r="G59" i="10"/>
  <c r="G41" i="10"/>
  <c r="G64" i="10"/>
  <c r="G58" i="10"/>
  <c r="G63" i="10"/>
  <c r="G60" i="10"/>
  <c r="G57" i="10"/>
  <c r="D40" i="10"/>
  <c r="E53" i="10"/>
  <c r="D39" i="10"/>
  <c r="E39" i="10"/>
  <c r="F39" i="10"/>
  <c r="E50" i="10"/>
  <c r="F50" i="10"/>
  <c r="D38" i="10"/>
  <c r="E38" i="10"/>
  <c r="F38" i="10"/>
  <c r="D55" i="10"/>
  <c r="F55" i="10"/>
  <c r="D52" i="10"/>
  <c r="E52" i="10"/>
  <c r="D49" i="10"/>
  <c r="E49" i="10"/>
  <c r="F49" i="10"/>
  <c r="D54" i="10"/>
  <c r="E54" i="10"/>
  <c r="D51" i="10"/>
  <c r="C48" i="10"/>
  <c r="G40" i="10"/>
  <c r="G39" i="10"/>
  <c r="G50" i="10"/>
  <c r="G55" i="10"/>
  <c r="G49" i="10"/>
  <c r="G54" i="10"/>
  <c r="E44" i="10"/>
  <c r="F44" i="10"/>
  <c r="G44" i="10"/>
  <c r="C65" i="9"/>
  <c r="C61" i="9"/>
  <c r="C59" i="9"/>
  <c r="C56" i="9"/>
  <c r="D56" i="9" s="1"/>
  <c r="C55" i="9"/>
  <c r="C54" i="9"/>
  <c r="E54" i="9" s="1"/>
  <c r="C51" i="9"/>
  <c r="D51" i="9" s="1"/>
  <c r="C64" i="9"/>
  <c r="C63" i="9"/>
  <c r="C62" i="9"/>
  <c r="C60" i="9"/>
  <c r="C58" i="9"/>
  <c r="D58" i="9" s="1"/>
  <c r="C57" i="9"/>
  <c r="C53" i="9"/>
  <c r="F53" i="9" s="1"/>
  <c r="C52" i="9"/>
  <c r="C50" i="9"/>
  <c r="C49" i="9"/>
  <c r="C48" i="9"/>
  <c r="C45" i="9"/>
  <c r="C44" i="9"/>
  <c r="F44" i="9" s="1"/>
  <c r="C43" i="9"/>
  <c r="C42" i="9"/>
  <c r="F42" i="9" s="1"/>
  <c r="C41" i="9"/>
  <c r="C40" i="9"/>
  <c r="C39" i="9"/>
  <c r="C38" i="9"/>
  <c r="G38" i="9" s="1"/>
  <c r="D43" i="9"/>
  <c r="E43" i="9"/>
  <c r="F43" i="9"/>
  <c r="F62" i="9"/>
  <c r="D42" i="9"/>
  <c r="E42" i="9"/>
  <c r="D41" i="9"/>
  <c r="E41" i="9"/>
  <c r="F41" i="9"/>
  <c r="E61" i="9"/>
  <c r="E58" i="9"/>
  <c r="F58" i="9"/>
  <c r="D57" i="9"/>
  <c r="E57" i="9"/>
  <c r="F57" i="9"/>
  <c r="G43" i="9"/>
  <c r="G42" i="9"/>
  <c r="G41" i="9"/>
  <c r="G61" i="9"/>
  <c r="G58" i="9"/>
  <c r="G57" i="9"/>
  <c r="E56" i="9"/>
  <c r="F56" i="9"/>
  <c r="D53" i="9"/>
  <c r="E53" i="9"/>
  <c r="D55" i="9"/>
  <c r="E55" i="9"/>
  <c r="F55" i="9"/>
  <c r="D52" i="9"/>
  <c r="E52" i="9"/>
  <c r="F52" i="9"/>
  <c r="D49" i="9"/>
  <c r="D54" i="9"/>
  <c r="E51" i="9"/>
  <c r="F51" i="9"/>
  <c r="F48" i="9"/>
  <c r="G56" i="9"/>
  <c r="G40" i="9"/>
  <c r="G53" i="9"/>
  <c r="G55" i="9"/>
  <c r="G52" i="9"/>
  <c r="G49" i="9"/>
  <c r="G54" i="9"/>
  <c r="G51" i="9"/>
  <c r="D45" i="9"/>
  <c r="E45" i="9"/>
  <c r="D44" i="9"/>
  <c r="E44" i="9"/>
  <c r="G44" i="9"/>
  <c r="C65" i="7"/>
  <c r="E65" i="7" s="1"/>
  <c r="C64" i="7"/>
  <c r="C63" i="7"/>
  <c r="F63" i="7" s="1"/>
  <c r="C62" i="7"/>
  <c r="C61" i="7"/>
  <c r="C60" i="7"/>
  <c r="C59" i="7"/>
  <c r="F59" i="7" s="1"/>
  <c r="C58" i="7"/>
  <c r="C57" i="7"/>
  <c r="C56" i="7"/>
  <c r="C55" i="7"/>
  <c r="C54" i="7"/>
  <c r="C53" i="7"/>
  <c r="C52" i="7"/>
  <c r="C51" i="7"/>
  <c r="D51" i="7" s="1"/>
  <c r="C50" i="7"/>
  <c r="C49" i="7"/>
  <c r="F49" i="7" s="1"/>
  <c r="C48" i="7"/>
  <c r="C45" i="7"/>
  <c r="C44" i="7"/>
  <c r="C43" i="7"/>
  <c r="C42" i="7"/>
  <c r="C41" i="7"/>
  <c r="F41" i="7" s="1"/>
  <c r="C40" i="7"/>
  <c r="C39" i="7"/>
  <c r="D39" i="7" s="1"/>
  <c r="C38" i="7"/>
  <c r="D50" i="7"/>
  <c r="D65" i="7"/>
  <c r="F65" i="7"/>
  <c r="E43" i="7"/>
  <c r="D42" i="7"/>
  <c r="E42" i="7"/>
  <c r="F42" i="7"/>
  <c r="D59" i="7"/>
  <c r="E59" i="7"/>
  <c r="D41" i="7"/>
  <c r="E41" i="7"/>
  <c r="E58" i="7"/>
  <c r="D63" i="7"/>
  <c r="E63" i="7"/>
  <c r="D60" i="7"/>
  <c r="E60" i="7"/>
  <c r="F60" i="7"/>
  <c r="E57" i="7"/>
  <c r="G65" i="7"/>
  <c r="G42" i="7"/>
  <c r="G59" i="7"/>
  <c r="G41" i="7"/>
  <c r="G58" i="7"/>
  <c r="G63" i="7"/>
  <c r="G60" i="7"/>
  <c r="E56" i="7"/>
  <c r="D40" i="7"/>
  <c r="E40" i="7"/>
  <c r="F40" i="7"/>
  <c r="F53" i="7"/>
  <c r="E39" i="7"/>
  <c r="F39" i="7"/>
  <c r="E50" i="7"/>
  <c r="F50" i="7"/>
  <c r="D55" i="7"/>
  <c r="E55" i="7"/>
  <c r="F55" i="7"/>
  <c r="D52" i="7"/>
  <c r="E52" i="7"/>
  <c r="F52" i="7"/>
  <c r="E49" i="7"/>
  <c r="E51" i="7"/>
  <c r="F51" i="7"/>
  <c r="E48" i="7"/>
  <c r="F48" i="7"/>
  <c r="G56" i="7"/>
  <c r="G40" i="7"/>
  <c r="G39" i="7"/>
  <c r="G50" i="7"/>
  <c r="G55" i="7"/>
  <c r="G52" i="7"/>
  <c r="G49" i="7"/>
  <c r="G51" i="7"/>
  <c r="D45" i="7"/>
  <c r="E45" i="7"/>
  <c r="F45" i="7"/>
  <c r="G45" i="7"/>
  <c r="S24" i="8"/>
  <c r="X24" i="8" s="1"/>
  <c r="C58" i="8"/>
  <c r="E58" i="8" s="1"/>
  <c r="S23" i="8"/>
  <c r="X23" i="8" s="1"/>
  <c r="C57" i="8"/>
  <c r="E57" i="8" s="1"/>
  <c r="S22" i="8"/>
  <c r="X22" i="8" s="1"/>
  <c r="C56" i="8"/>
  <c r="V14" i="8"/>
  <c r="AA14" i="8" s="1"/>
  <c r="C48" i="8"/>
  <c r="H48" i="8"/>
  <c r="V4" i="8"/>
  <c r="AA4" i="8" s="1"/>
  <c r="C38" i="8"/>
  <c r="F38" i="8" s="1"/>
  <c r="S21" i="8"/>
  <c r="X21" i="8" s="1"/>
  <c r="C55" i="8"/>
  <c r="S20" i="8"/>
  <c r="X20" i="8" s="1"/>
  <c r="C54" i="8"/>
  <c r="E54" i="8"/>
  <c r="S31" i="8"/>
  <c r="X31" i="8" s="1"/>
  <c r="C65" i="8"/>
  <c r="D65" i="8" s="1"/>
  <c r="S19" i="8"/>
  <c r="X19" i="8" s="1"/>
  <c r="C53" i="8"/>
  <c r="D53" i="8" s="1"/>
  <c r="S30" i="8"/>
  <c r="X30" i="8" s="1"/>
  <c r="C64" i="8"/>
  <c r="S29" i="8"/>
  <c r="X29" i="8" s="1"/>
  <c r="C63" i="8"/>
  <c r="E63" i="8" s="1"/>
  <c r="V16" i="8"/>
  <c r="AA16" i="8" s="1"/>
  <c r="C50" i="8"/>
  <c r="H50" i="8" s="1"/>
  <c r="U15" i="8"/>
  <c r="Z15" i="8" s="1"/>
  <c r="C49" i="8"/>
  <c r="G49" i="8" s="1"/>
  <c r="U4" i="8"/>
  <c r="Z4" i="8"/>
  <c r="G38" i="8"/>
  <c r="U14" i="8"/>
  <c r="Z14" i="8" s="1"/>
  <c r="S16" i="8"/>
  <c r="X16" i="8"/>
  <c r="E50" i="8"/>
  <c r="S4" i="8"/>
  <c r="X4" i="8"/>
  <c r="E38" i="8"/>
  <c r="S15" i="8"/>
  <c r="X15" i="8"/>
  <c r="E49" i="8"/>
  <c r="S14" i="8"/>
  <c r="X14" i="8" s="1"/>
  <c r="R16" i="8"/>
  <c r="W16" i="8" s="1"/>
  <c r="D50" i="8"/>
  <c r="R4" i="8"/>
  <c r="W4" i="8"/>
  <c r="D38" i="8"/>
  <c r="R15" i="8"/>
  <c r="W15" i="8" s="1"/>
  <c r="AB15" i="8" s="1"/>
  <c r="AG15" i="8" s="1"/>
  <c r="R14" i="8"/>
  <c r="W14" i="8" s="1"/>
  <c r="V31" i="8"/>
  <c r="AA31" i="8" s="1"/>
  <c r="AF31" i="8" s="1"/>
  <c r="H65" i="8"/>
  <c r="U31" i="8"/>
  <c r="Z31" i="8" s="1"/>
  <c r="AE31" i="8" s="1"/>
  <c r="G65" i="8"/>
  <c r="T31" i="8"/>
  <c r="Y31" i="8"/>
  <c r="F65" i="8"/>
  <c r="R31" i="8"/>
  <c r="W31" i="8" s="1"/>
  <c r="V30" i="8"/>
  <c r="AA30" i="8" s="1"/>
  <c r="U30" i="8"/>
  <c r="Z30" i="8" s="1"/>
  <c r="AE30" i="8" s="1"/>
  <c r="G64" i="8"/>
  <c r="T30" i="8"/>
  <c r="Y30" i="8" s="1"/>
  <c r="F64" i="8"/>
  <c r="R30" i="8"/>
  <c r="W30" i="8" s="1"/>
  <c r="V29" i="8"/>
  <c r="AA29" i="8" s="1"/>
  <c r="AF29" i="8" s="1"/>
  <c r="H63" i="8"/>
  <c r="U29" i="8"/>
  <c r="Z29" i="8"/>
  <c r="G63" i="8"/>
  <c r="T29" i="8"/>
  <c r="Y29" i="8" s="1"/>
  <c r="R29" i="8"/>
  <c r="W29" i="8" s="1"/>
  <c r="AB29" i="8" s="1"/>
  <c r="AG29" i="8" s="1"/>
  <c r="V28" i="8"/>
  <c r="AA28" i="8" s="1"/>
  <c r="AF28" i="8" s="1"/>
  <c r="AK28" i="8" s="1"/>
  <c r="C62" i="8"/>
  <c r="U28" i="8"/>
  <c r="Z28" i="8" s="1"/>
  <c r="T28" i="8"/>
  <c r="Y28" i="8"/>
  <c r="S28" i="8"/>
  <c r="X28" i="8"/>
  <c r="E62" i="8"/>
  <c r="R28" i="8"/>
  <c r="W28" i="8"/>
  <c r="V27" i="8"/>
  <c r="AA27" i="8" s="1"/>
  <c r="AF27" i="8" s="1"/>
  <c r="R61" i="8" s="1"/>
  <c r="C61" i="8"/>
  <c r="H61" i="8" s="1"/>
  <c r="U27" i="8"/>
  <c r="Z27" i="8"/>
  <c r="T27" i="8"/>
  <c r="Y27" i="8" s="1"/>
  <c r="AD27" i="8" s="1"/>
  <c r="AI27" i="8" s="1"/>
  <c r="S27" i="8"/>
  <c r="X27" i="8"/>
  <c r="E61" i="8"/>
  <c r="R27" i="8"/>
  <c r="W27" i="8" s="1"/>
  <c r="V26" i="8"/>
  <c r="AA26" i="8"/>
  <c r="C60" i="8"/>
  <c r="D60" i="8" s="1"/>
  <c r="U26" i="8"/>
  <c r="Z26" i="8" s="1"/>
  <c r="AE26" i="8" s="1"/>
  <c r="G60" i="8"/>
  <c r="T26" i="8"/>
  <c r="Y26" i="8"/>
  <c r="F60" i="8"/>
  <c r="S26" i="8"/>
  <c r="X26" i="8" s="1"/>
  <c r="E60" i="8"/>
  <c r="R26" i="8"/>
  <c r="W26" i="8" s="1"/>
  <c r="AB26" i="8" s="1"/>
  <c r="V25" i="8"/>
  <c r="AA25" i="8" s="1"/>
  <c r="AF25" i="8" s="1"/>
  <c r="AK25" i="8" s="1"/>
  <c r="C59" i="8"/>
  <c r="G59" i="8" s="1"/>
  <c r="U25" i="8"/>
  <c r="Z25" i="8"/>
  <c r="T25" i="8"/>
  <c r="Y25" i="8"/>
  <c r="S25" i="8"/>
  <c r="X25" i="8" s="1"/>
  <c r="R25" i="8"/>
  <c r="W25" i="8" s="1"/>
  <c r="AB25" i="8" s="1"/>
  <c r="AG25" i="8" s="1"/>
  <c r="V24" i="8"/>
  <c r="AA24" i="8" s="1"/>
  <c r="H58" i="8"/>
  <c r="U24" i="8"/>
  <c r="Z24" i="8"/>
  <c r="G58" i="8"/>
  <c r="T24" i="8"/>
  <c r="Y24" i="8" s="1"/>
  <c r="F58" i="8"/>
  <c r="R24" i="8"/>
  <c r="W24" i="8" s="1"/>
  <c r="D58" i="8"/>
  <c r="V23" i="8"/>
  <c r="AA23" i="8" s="1"/>
  <c r="AF23" i="8" s="1"/>
  <c r="H57" i="8"/>
  <c r="U23" i="8"/>
  <c r="Z23" i="8"/>
  <c r="T23" i="8"/>
  <c r="Y23" i="8"/>
  <c r="R23" i="8"/>
  <c r="W23" i="8" s="1"/>
  <c r="AB23" i="8" s="1"/>
  <c r="AG23" i="8" s="1"/>
  <c r="V22" i="8"/>
  <c r="AA22" i="8"/>
  <c r="U22" i="8"/>
  <c r="Z22" i="8"/>
  <c r="G56" i="8"/>
  <c r="T22" i="8"/>
  <c r="Y22" i="8" s="1"/>
  <c r="F56" i="8"/>
  <c r="R22" i="8"/>
  <c r="W22" i="8" s="1"/>
  <c r="AB22" i="8" s="1"/>
  <c r="AG22" i="8" s="1"/>
  <c r="V21" i="8"/>
  <c r="AA21" i="8"/>
  <c r="U21" i="8"/>
  <c r="Z21" i="8" s="1"/>
  <c r="AE21" i="8" s="1"/>
  <c r="AJ21" i="8" s="1"/>
  <c r="T21" i="8"/>
  <c r="Y21" i="8" s="1"/>
  <c r="AD21" i="8" s="1"/>
  <c r="AI21" i="8" s="1"/>
  <c r="R21" i="8"/>
  <c r="W21" i="8" s="1"/>
  <c r="V20" i="8"/>
  <c r="AA20" i="8" s="1"/>
  <c r="H54" i="8"/>
  <c r="U20" i="8"/>
  <c r="Z20" i="8"/>
  <c r="G54" i="8"/>
  <c r="T20" i="8"/>
  <c r="Y20" i="8" s="1"/>
  <c r="F54" i="8"/>
  <c r="R20" i="8"/>
  <c r="W20" i="8" s="1"/>
  <c r="D54" i="8"/>
  <c r="V19" i="8"/>
  <c r="AA19" i="8"/>
  <c r="H53" i="8"/>
  <c r="U19" i="8"/>
  <c r="Z19" i="8"/>
  <c r="G53" i="8"/>
  <c r="T19" i="8"/>
  <c r="Y19" i="8" s="1"/>
  <c r="AD19" i="8" s="1"/>
  <c r="F53" i="8"/>
  <c r="R19" i="8"/>
  <c r="W19" i="8" s="1"/>
  <c r="V18" i="8"/>
  <c r="AA18" i="8"/>
  <c r="C52" i="8"/>
  <c r="F52" i="8" s="1"/>
  <c r="U18" i="8"/>
  <c r="Z18" i="8"/>
  <c r="T18" i="8"/>
  <c r="Y18" i="8"/>
  <c r="S18" i="8"/>
  <c r="X18" i="8" s="1"/>
  <c r="R18" i="8"/>
  <c r="W18" i="8" s="1"/>
  <c r="V17" i="8"/>
  <c r="AA17" i="8" s="1"/>
  <c r="AF17" i="8" s="1"/>
  <c r="C51" i="8"/>
  <c r="H51" i="8" s="1"/>
  <c r="U17" i="8"/>
  <c r="Z17" i="8" s="1"/>
  <c r="T17" i="8"/>
  <c r="Y17" i="8"/>
  <c r="S17" i="8"/>
  <c r="X17" i="8" s="1"/>
  <c r="E51" i="8"/>
  <c r="R17" i="8"/>
  <c r="W17" i="8" s="1"/>
  <c r="U16" i="8"/>
  <c r="Z16" i="8" s="1"/>
  <c r="G50" i="8"/>
  <c r="T16" i="8"/>
  <c r="Y16" i="8" s="1"/>
  <c r="AD16" i="8" s="1"/>
  <c r="F50" i="8"/>
  <c r="V15" i="8"/>
  <c r="AA15" i="8" s="1"/>
  <c r="H49" i="8"/>
  <c r="T15" i="8"/>
  <c r="Y15" i="8" s="1"/>
  <c r="T14" i="8"/>
  <c r="Y14" i="8" s="1"/>
  <c r="AD14" i="8" s="1"/>
  <c r="AI14" i="8" s="1"/>
  <c r="R11" i="8"/>
  <c r="W11" i="8"/>
  <c r="C45" i="8"/>
  <c r="S11" i="8"/>
  <c r="X11" i="8" s="1"/>
  <c r="T11" i="8"/>
  <c r="Y11" i="8" s="1"/>
  <c r="U11" i="8"/>
  <c r="Z11" i="8" s="1"/>
  <c r="AE11" i="8" s="1"/>
  <c r="AJ11" i="8" s="1"/>
  <c r="T4" i="8"/>
  <c r="Y4" i="8" s="1"/>
  <c r="V11" i="8"/>
  <c r="AA11" i="8"/>
  <c r="H45" i="8"/>
  <c r="V10" i="8"/>
  <c r="AA10" i="8" s="1"/>
  <c r="AF10" i="8" s="1"/>
  <c r="C44" i="8"/>
  <c r="H44" i="8" s="1"/>
  <c r="U10" i="8"/>
  <c r="Z10" i="8" s="1"/>
  <c r="AE10" i="8" s="1"/>
  <c r="G44" i="8"/>
  <c r="T10" i="8"/>
  <c r="Y10" i="8"/>
  <c r="F44" i="8"/>
  <c r="S10" i="8"/>
  <c r="X10" i="8"/>
  <c r="E44" i="8"/>
  <c r="R10" i="8"/>
  <c r="W10" i="8"/>
  <c r="D44" i="8"/>
  <c r="V9" i="8"/>
  <c r="AA9" i="8" s="1"/>
  <c r="AF9" i="8" s="1"/>
  <c r="C43" i="8"/>
  <c r="H43" i="8"/>
  <c r="U9" i="8"/>
  <c r="Z9" i="8" s="1"/>
  <c r="AE9" i="8" s="1"/>
  <c r="Q43" i="8" s="1"/>
  <c r="G43" i="8"/>
  <c r="T9" i="8"/>
  <c r="Y9" i="8"/>
  <c r="F43" i="8"/>
  <c r="S9" i="8"/>
  <c r="X9" i="8" s="1"/>
  <c r="AC9" i="8" s="1"/>
  <c r="E43" i="8"/>
  <c r="R9" i="8"/>
  <c r="W9" i="8"/>
  <c r="AB9" i="8" s="1"/>
  <c r="N43" i="8" s="1"/>
  <c r="D43" i="8"/>
  <c r="V8" i="8"/>
  <c r="AA8" i="8" s="1"/>
  <c r="AF8" i="8" s="1"/>
  <c r="C42" i="8"/>
  <c r="H42" i="8"/>
  <c r="U8" i="8"/>
  <c r="Z8" i="8"/>
  <c r="G42" i="8"/>
  <c r="T8" i="8"/>
  <c r="Y8" i="8"/>
  <c r="F42" i="8"/>
  <c r="S8" i="8"/>
  <c r="X8" i="8"/>
  <c r="E42" i="8"/>
  <c r="R8" i="8"/>
  <c r="W8" i="8"/>
  <c r="AB8" i="8" s="1"/>
  <c r="N42" i="8" s="1"/>
  <c r="D42" i="8"/>
  <c r="V7" i="8"/>
  <c r="AA7" i="8" s="1"/>
  <c r="AF7" i="8" s="1"/>
  <c r="C41" i="8"/>
  <c r="H41" i="8"/>
  <c r="U7" i="8"/>
  <c r="Z7" i="8"/>
  <c r="G41" i="8"/>
  <c r="T7" i="8"/>
  <c r="Y7" i="8"/>
  <c r="F41" i="8"/>
  <c r="S7" i="8"/>
  <c r="X7" i="8"/>
  <c r="E41" i="8"/>
  <c r="R7" i="8"/>
  <c r="W7" i="8"/>
  <c r="AB7" i="8" s="1"/>
  <c r="N41" i="8" s="1"/>
  <c r="D41" i="8"/>
  <c r="V6" i="8"/>
  <c r="AA6" i="8" s="1"/>
  <c r="AF6" i="8" s="1"/>
  <c r="C40" i="8"/>
  <c r="H40" i="8"/>
  <c r="U6" i="8"/>
  <c r="Z6" i="8"/>
  <c r="G40" i="8"/>
  <c r="T6" i="8"/>
  <c r="Y6" i="8"/>
  <c r="F40" i="8"/>
  <c r="S6" i="8"/>
  <c r="X6" i="8"/>
  <c r="E40" i="8"/>
  <c r="R6" i="8"/>
  <c r="W6" i="8"/>
  <c r="AB6" i="8" s="1"/>
  <c r="N40" i="8" s="1"/>
  <c r="D40" i="8"/>
  <c r="V5" i="8"/>
  <c r="AA5" i="8" s="1"/>
  <c r="AF5" i="8" s="1"/>
  <c r="C39" i="8"/>
  <c r="H39" i="8" s="1"/>
  <c r="U5" i="8"/>
  <c r="Z5" i="8"/>
  <c r="G39" i="8"/>
  <c r="T5" i="8"/>
  <c r="Y5" i="8"/>
  <c r="F39" i="8"/>
  <c r="S5" i="8"/>
  <c r="X5" i="8"/>
  <c r="E39" i="8"/>
  <c r="R5" i="8"/>
  <c r="W5" i="8"/>
  <c r="AB5" i="8" s="1"/>
  <c r="N39" i="8" s="1"/>
  <c r="D39" i="8"/>
  <c r="C65" i="6"/>
  <c r="E65" i="6" s="1"/>
  <c r="C64" i="6"/>
  <c r="C63" i="6"/>
  <c r="C62" i="6"/>
  <c r="C61" i="6"/>
  <c r="C60" i="6"/>
  <c r="C59" i="6"/>
  <c r="C58" i="6"/>
  <c r="F58" i="6" s="1"/>
  <c r="C57" i="6"/>
  <c r="D57" i="6" s="1"/>
  <c r="C45" i="6"/>
  <c r="F45" i="6" s="1"/>
  <c r="C44" i="6"/>
  <c r="C43" i="6"/>
  <c r="C42" i="6"/>
  <c r="C40" i="6"/>
  <c r="C39" i="6"/>
  <c r="C41" i="6"/>
  <c r="C38" i="6"/>
  <c r="D38" i="6" s="1"/>
  <c r="D65" i="6"/>
  <c r="F65" i="6"/>
  <c r="D43" i="6"/>
  <c r="E43" i="6"/>
  <c r="F43" i="6"/>
  <c r="D62" i="6"/>
  <c r="E62" i="6"/>
  <c r="F62" i="6"/>
  <c r="D42" i="6"/>
  <c r="E42" i="6"/>
  <c r="F42" i="6"/>
  <c r="D59" i="6"/>
  <c r="E59" i="6"/>
  <c r="F59" i="6"/>
  <c r="F41" i="6"/>
  <c r="E64" i="6"/>
  <c r="D61" i="6"/>
  <c r="E61" i="6"/>
  <c r="F61" i="6"/>
  <c r="D58" i="6"/>
  <c r="D60" i="6"/>
  <c r="E57" i="6"/>
  <c r="F57" i="6"/>
  <c r="G65" i="6"/>
  <c r="G43" i="6"/>
  <c r="G62" i="6"/>
  <c r="G42" i="6"/>
  <c r="G59" i="6"/>
  <c r="G41" i="6"/>
  <c r="G61" i="6"/>
  <c r="G58" i="6"/>
  <c r="G57" i="6"/>
  <c r="D39" i="6"/>
  <c r="E39" i="6"/>
  <c r="F39" i="6"/>
  <c r="E38" i="6"/>
  <c r="F38" i="6"/>
  <c r="G39" i="6"/>
  <c r="G38" i="6"/>
  <c r="D45" i="6"/>
  <c r="E45" i="6"/>
  <c r="G45" i="6"/>
  <c r="C65" i="5"/>
  <c r="C64" i="5"/>
  <c r="C63" i="5"/>
  <c r="C62" i="5"/>
  <c r="F62" i="5" s="1"/>
  <c r="C61" i="5"/>
  <c r="F61" i="5" s="1"/>
  <c r="C60" i="5"/>
  <c r="E60" i="5" s="1"/>
  <c r="C59" i="5"/>
  <c r="E59" i="5" s="1"/>
  <c r="C58" i="5"/>
  <c r="C57" i="5"/>
  <c r="C53" i="5"/>
  <c r="C56" i="5"/>
  <c r="C55" i="5"/>
  <c r="C54" i="5"/>
  <c r="C52" i="5"/>
  <c r="E52" i="5" s="1"/>
  <c r="C51" i="5"/>
  <c r="D51" i="5" s="1"/>
  <c r="C50" i="5"/>
  <c r="C49" i="5"/>
  <c r="C48" i="5"/>
  <c r="C45" i="5"/>
  <c r="C40" i="5"/>
  <c r="G40" i="5" s="1"/>
  <c r="C44" i="5"/>
  <c r="F44" i="5" s="1"/>
  <c r="C43" i="5"/>
  <c r="D43" i="5" s="1"/>
  <c r="C42" i="5"/>
  <c r="C41" i="5"/>
  <c r="C39" i="5"/>
  <c r="C38" i="5"/>
  <c r="D38" i="5" s="1"/>
  <c r="D65" i="5"/>
  <c r="E65" i="5"/>
  <c r="F65" i="5"/>
  <c r="E43" i="5"/>
  <c r="F43" i="5"/>
  <c r="D42" i="5"/>
  <c r="D59" i="5"/>
  <c r="F59" i="5"/>
  <c r="D64" i="5"/>
  <c r="E64" i="5"/>
  <c r="F64" i="5"/>
  <c r="D61" i="5"/>
  <c r="E61" i="5"/>
  <c r="E63" i="5"/>
  <c r="D60" i="5"/>
  <c r="F60" i="5"/>
  <c r="D57" i="5"/>
  <c r="E57" i="5"/>
  <c r="F57" i="5"/>
  <c r="G65" i="5"/>
  <c r="G43" i="5"/>
  <c r="G64" i="5"/>
  <c r="G61" i="5"/>
  <c r="G60" i="5"/>
  <c r="G57" i="5"/>
  <c r="E56" i="5"/>
  <c r="F56" i="5"/>
  <c r="D53" i="5"/>
  <c r="E53" i="5"/>
  <c r="F53" i="5"/>
  <c r="D39" i="5"/>
  <c r="E39" i="5"/>
  <c r="F39" i="5"/>
  <c r="E38" i="5"/>
  <c r="F38" i="5"/>
  <c r="D52" i="5"/>
  <c r="F52" i="5"/>
  <c r="D49" i="5"/>
  <c r="E49" i="5"/>
  <c r="F49" i="5"/>
  <c r="D54" i="5"/>
  <c r="F54" i="5"/>
  <c r="E51" i="5"/>
  <c r="F51" i="5"/>
  <c r="D48" i="5"/>
  <c r="E48" i="5"/>
  <c r="F48" i="5"/>
  <c r="G53" i="5"/>
  <c r="G39" i="5"/>
  <c r="G38" i="5"/>
  <c r="G52" i="5"/>
  <c r="G49" i="5"/>
  <c r="G51" i="5"/>
  <c r="G48" i="5"/>
  <c r="F45" i="5"/>
  <c r="D44" i="5"/>
  <c r="E44" i="5"/>
  <c r="G44" i="5"/>
  <c r="C65" i="4"/>
  <c r="C64" i="4"/>
  <c r="C63" i="4"/>
  <c r="C59" i="4"/>
  <c r="C56" i="4"/>
  <c r="C55" i="4"/>
  <c r="D55" i="4" s="1"/>
  <c r="C54" i="4"/>
  <c r="E54" i="4" s="1"/>
  <c r="C53" i="4"/>
  <c r="E53" i="4" s="1"/>
  <c r="C52" i="4"/>
  <c r="C51" i="4"/>
  <c r="D51" i="4" s="1"/>
  <c r="C50" i="4"/>
  <c r="C49" i="4"/>
  <c r="E49" i="4" s="1"/>
  <c r="C62" i="4"/>
  <c r="C61" i="4"/>
  <c r="C60" i="4"/>
  <c r="C58" i="4"/>
  <c r="D58" i="4" s="1"/>
  <c r="C57" i="4"/>
  <c r="C48" i="4"/>
  <c r="C45" i="4"/>
  <c r="C44" i="4"/>
  <c r="C43" i="4"/>
  <c r="E43" i="4" s="1"/>
  <c r="C39" i="4"/>
  <c r="C42" i="4"/>
  <c r="E42" i="4" s="1"/>
  <c r="C41" i="4"/>
  <c r="F41" i="4" s="1"/>
  <c r="C40" i="4"/>
  <c r="C38" i="4"/>
  <c r="D38" i="4" s="1"/>
  <c r="D65" i="4"/>
  <c r="E65" i="4"/>
  <c r="F65" i="4"/>
  <c r="D42" i="4"/>
  <c r="F42" i="4"/>
  <c r="D59" i="4"/>
  <c r="F59" i="4"/>
  <c r="E41" i="4"/>
  <c r="D64" i="4"/>
  <c r="E64" i="4"/>
  <c r="F64" i="4"/>
  <c r="D61" i="4"/>
  <c r="E61" i="4"/>
  <c r="F61" i="4"/>
  <c r="E58" i="4"/>
  <c r="F58" i="4"/>
  <c r="D60" i="4"/>
  <c r="E60" i="4"/>
  <c r="F60" i="4"/>
  <c r="D57" i="4"/>
  <c r="E57" i="4"/>
  <c r="F57" i="4"/>
  <c r="G65" i="4"/>
  <c r="G42" i="4"/>
  <c r="G41" i="4"/>
  <c r="G64" i="4"/>
  <c r="G61" i="4"/>
  <c r="G58" i="4"/>
  <c r="G60" i="4"/>
  <c r="G57" i="4"/>
  <c r="D40" i="4"/>
  <c r="E40" i="4"/>
  <c r="F40" i="4"/>
  <c r="D53" i="4"/>
  <c r="D39" i="4"/>
  <c r="E39" i="4"/>
  <c r="E38" i="4"/>
  <c r="F38" i="4"/>
  <c r="E55" i="4"/>
  <c r="F55" i="4"/>
  <c r="D52" i="4"/>
  <c r="E52" i="4"/>
  <c r="F52" i="4"/>
  <c r="D49" i="4"/>
  <c r="F49" i="4"/>
  <c r="D54" i="4"/>
  <c r="F54" i="4"/>
  <c r="E51" i="4"/>
  <c r="F51" i="4"/>
  <c r="D48" i="4"/>
  <c r="E48" i="4"/>
  <c r="F48" i="4"/>
  <c r="G40" i="4"/>
  <c r="G53" i="4"/>
  <c r="G38" i="4"/>
  <c r="G55" i="4"/>
  <c r="G52" i="4"/>
  <c r="G49" i="4"/>
  <c r="G54" i="4"/>
  <c r="G51" i="4"/>
  <c r="G48" i="4"/>
  <c r="G45" i="4"/>
  <c r="F44" i="4"/>
  <c r="G44" i="4"/>
  <c r="C65" i="3"/>
  <c r="C64" i="3"/>
  <c r="C63" i="3"/>
  <c r="C62" i="3"/>
  <c r="C61" i="3"/>
  <c r="C60" i="3"/>
  <c r="F60" i="3" s="1"/>
  <c r="C59" i="3"/>
  <c r="C58" i="3"/>
  <c r="C57" i="3"/>
  <c r="C56" i="3"/>
  <c r="E56" i="3" s="1"/>
  <c r="C55" i="3"/>
  <c r="C54" i="3"/>
  <c r="C53" i="3"/>
  <c r="C52" i="3"/>
  <c r="C51" i="3"/>
  <c r="C50" i="3"/>
  <c r="C49" i="3"/>
  <c r="C48" i="3"/>
  <c r="G48" i="3" s="1"/>
  <c r="C45" i="3"/>
  <c r="C44" i="3"/>
  <c r="C43" i="3"/>
  <c r="C42" i="3"/>
  <c r="E42" i="3" s="1"/>
  <c r="C41" i="3"/>
  <c r="C40" i="3"/>
  <c r="C39" i="3"/>
  <c r="C38" i="3"/>
  <c r="D38" i="3" s="1"/>
  <c r="F65" i="3"/>
  <c r="D43" i="3"/>
  <c r="E43" i="3"/>
  <c r="D42" i="3"/>
  <c r="F42" i="3"/>
  <c r="D59" i="3"/>
  <c r="E59" i="3"/>
  <c r="F59" i="3"/>
  <c r="E41" i="3"/>
  <c r="D61" i="3"/>
  <c r="D58" i="3"/>
  <c r="E58" i="3"/>
  <c r="F58" i="3"/>
  <c r="F63" i="3"/>
  <c r="D60" i="3"/>
  <c r="E60" i="3"/>
  <c r="E57" i="3"/>
  <c r="F57" i="3"/>
  <c r="G65" i="3"/>
  <c r="G42" i="3"/>
  <c r="G59" i="3"/>
  <c r="G41" i="3"/>
  <c r="G58" i="3"/>
  <c r="G60" i="3"/>
  <c r="D56" i="3"/>
  <c r="E39" i="3"/>
  <c r="D50" i="3"/>
  <c r="E50" i="3"/>
  <c r="F50" i="3"/>
  <c r="E38" i="3"/>
  <c r="F38" i="3"/>
  <c r="F55" i="3"/>
  <c r="D52" i="3"/>
  <c r="E52" i="3"/>
  <c r="D49" i="3"/>
  <c r="E49" i="3"/>
  <c r="F49" i="3"/>
  <c r="D54" i="3"/>
  <c r="D51" i="3"/>
  <c r="E51" i="3"/>
  <c r="F51" i="3"/>
  <c r="D48" i="3"/>
  <c r="E48" i="3"/>
  <c r="F48" i="3"/>
  <c r="G56" i="3"/>
  <c r="G50" i="3"/>
  <c r="G49" i="3"/>
  <c r="G51" i="3"/>
  <c r="D45" i="3"/>
  <c r="E45" i="3"/>
  <c r="F45" i="3"/>
  <c r="G45" i="3"/>
  <c r="D44" i="3"/>
  <c r="E44" i="3"/>
  <c r="F44" i="3"/>
  <c r="G44" i="3"/>
  <c r="G49" i="2"/>
  <c r="E66" i="2"/>
  <c r="G65" i="2"/>
  <c r="F65" i="2"/>
  <c r="E65" i="2"/>
  <c r="D65" i="2"/>
  <c r="E64" i="2"/>
  <c r="D64" i="2"/>
  <c r="G63" i="2"/>
  <c r="E62" i="2"/>
  <c r="D62" i="2"/>
  <c r="G61" i="2"/>
  <c r="F61" i="2"/>
  <c r="E61" i="2"/>
  <c r="D61" i="2"/>
  <c r="E58" i="2"/>
  <c r="G57" i="2"/>
  <c r="F57" i="2"/>
  <c r="E57" i="2"/>
  <c r="D57" i="2"/>
  <c r="E56" i="2"/>
  <c r="D56" i="2"/>
  <c r="E54" i="2"/>
  <c r="D54" i="2"/>
  <c r="G53" i="2"/>
  <c r="F53" i="2"/>
  <c r="E53" i="2"/>
  <c r="D53" i="2"/>
  <c r="E50" i="2"/>
  <c r="F49" i="2"/>
  <c r="E49" i="2"/>
  <c r="D49" i="2"/>
  <c r="G46" i="2"/>
  <c r="G45" i="2"/>
  <c r="F45" i="2"/>
  <c r="G44" i="2"/>
  <c r="D44" i="2"/>
  <c r="G43" i="2"/>
  <c r="F43" i="2"/>
  <c r="E43" i="2"/>
  <c r="D43" i="2"/>
  <c r="F41" i="2"/>
  <c r="G40" i="2"/>
  <c r="D40" i="2"/>
  <c r="G39" i="2"/>
  <c r="F39" i="2"/>
  <c r="E39" i="2"/>
  <c r="D39" i="2"/>
  <c r="C66" i="2"/>
  <c r="C65" i="2"/>
  <c r="C64" i="2"/>
  <c r="G64" i="2" s="1"/>
  <c r="C63" i="2"/>
  <c r="C62" i="2"/>
  <c r="C61" i="2"/>
  <c r="C60" i="2"/>
  <c r="C59" i="2"/>
  <c r="F59" i="2" s="1"/>
  <c r="C58" i="2"/>
  <c r="C57" i="2"/>
  <c r="C56" i="2"/>
  <c r="G56" i="2" s="1"/>
  <c r="C55" i="2"/>
  <c r="G55" i="2" s="1"/>
  <c r="C54" i="2"/>
  <c r="C53" i="2"/>
  <c r="C52" i="2"/>
  <c r="C51" i="2"/>
  <c r="F51" i="2" s="1"/>
  <c r="C50" i="2"/>
  <c r="C49" i="2"/>
  <c r="C40" i="2"/>
  <c r="F40" i="2" s="1"/>
  <c r="C46" i="2"/>
  <c r="D46" i="2" s="1"/>
  <c r="C45" i="2"/>
  <c r="E45" i="2" s="1"/>
  <c r="C44" i="2"/>
  <c r="C43" i="2"/>
  <c r="C42" i="2"/>
  <c r="C41" i="2"/>
  <c r="G41" i="2" s="1"/>
  <c r="C39" i="2"/>
  <c r="G42" i="1"/>
  <c r="E42" i="1"/>
  <c r="D42" i="1"/>
  <c r="G41" i="1"/>
  <c r="F41" i="1"/>
  <c r="G40" i="1"/>
  <c r="F40" i="1"/>
  <c r="E40" i="1"/>
  <c r="D40" i="1"/>
  <c r="G39" i="1"/>
  <c r="F39" i="1"/>
  <c r="N39" i="1" s="1"/>
  <c r="D38" i="1"/>
  <c r="F32" i="1"/>
  <c r="E32" i="1"/>
  <c r="D32" i="1"/>
  <c r="G31" i="1"/>
  <c r="F31" i="1"/>
  <c r="E31" i="1"/>
  <c r="F30" i="1"/>
  <c r="E30" i="1"/>
  <c r="D30" i="1"/>
  <c r="L30" i="1" s="1"/>
  <c r="G29" i="1"/>
  <c r="O29" i="1" s="1"/>
  <c r="F29" i="1"/>
  <c r="E29" i="1"/>
  <c r="L40" i="1"/>
  <c r="S5" i="1"/>
  <c r="W5" i="1"/>
  <c r="AA5" i="1" s="1"/>
  <c r="S19" i="1"/>
  <c r="W19" i="1" s="1"/>
  <c r="AA19" i="1" s="1"/>
  <c r="S18" i="1"/>
  <c r="W18" i="1"/>
  <c r="AA18" i="1"/>
  <c r="O41" i="1" s="1"/>
  <c r="S17" i="1"/>
  <c r="W17" i="1"/>
  <c r="AA17" i="1"/>
  <c r="O40" i="1" s="1"/>
  <c r="P14" i="1"/>
  <c r="T14" i="1"/>
  <c r="X14" i="1"/>
  <c r="P15" i="1"/>
  <c r="T15" i="1" s="1"/>
  <c r="X15" i="1" s="1"/>
  <c r="L38" i="1" s="1"/>
  <c r="R14" i="1"/>
  <c r="V14" i="1" s="1"/>
  <c r="Z14" i="1"/>
  <c r="R4" i="1"/>
  <c r="V4" i="1"/>
  <c r="Z4" i="1" s="1"/>
  <c r="R15" i="1"/>
  <c r="V15" i="1"/>
  <c r="Z15" i="1"/>
  <c r="R16" i="1"/>
  <c r="V16" i="1"/>
  <c r="Z16" i="1"/>
  <c r="P16" i="1"/>
  <c r="T16" i="1" s="1"/>
  <c r="X16" i="1" s="1"/>
  <c r="Q16" i="1"/>
  <c r="U16" i="1"/>
  <c r="Y16" i="1"/>
  <c r="Q15" i="1"/>
  <c r="U15" i="1" s="1"/>
  <c r="Y15" i="1" s="1"/>
  <c r="Q14" i="1"/>
  <c r="U14" i="1" s="1"/>
  <c r="Y14" i="1" s="1"/>
  <c r="S16" i="1"/>
  <c r="W16" i="1" s="1"/>
  <c r="AA16" i="1" s="1"/>
  <c r="S4" i="1"/>
  <c r="W4" i="1" s="1"/>
  <c r="AA4" i="1" s="1"/>
  <c r="S15" i="1"/>
  <c r="W15" i="1" s="1"/>
  <c r="AA15" i="1" s="1"/>
  <c r="S14" i="1"/>
  <c r="W14" i="1"/>
  <c r="AA14" i="1" s="1"/>
  <c r="P19" i="1"/>
  <c r="T19" i="1"/>
  <c r="X19" i="1"/>
  <c r="Q19" i="1"/>
  <c r="U19" i="1" s="1"/>
  <c r="Y19" i="1" s="1"/>
  <c r="R19" i="1"/>
  <c r="V19" i="1" s="1"/>
  <c r="Z19" i="1" s="1"/>
  <c r="P18" i="1"/>
  <c r="T18" i="1"/>
  <c r="X18" i="1"/>
  <c r="Q18" i="1"/>
  <c r="U18" i="1" s="1"/>
  <c r="Y18" i="1" s="1"/>
  <c r="M41" i="1" s="1"/>
  <c r="R18" i="1"/>
  <c r="V18" i="1" s="1"/>
  <c r="Z18" i="1" s="1"/>
  <c r="N41" i="1" s="1"/>
  <c r="P17" i="1"/>
  <c r="T17" i="1"/>
  <c r="X17" i="1"/>
  <c r="Q17" i="1"/>
  <c r="U17" i="1"/>
  <c r="Y17" i="1" s="1"/>
  <c r="M40" i="1" s="1"/>
  <c r="R17" i="1"/>
  <c r="V17" i="1"/>
  <c r="Z17" i="1" s="1"/>
  <c r="N40" i="1" s="1"/>
  <c r="P11" i="1"/>
  <c r="T11" i="1"/>
  <c r="X11" i="1"/>
  <c r="Q11" i="1"/>
  <c r="U11" i="1" s="1"/>
  <c r="Y11" i="1" s="1"/>
  <c r="R11" i="1"/>
  <c r="V11" i="1" s="1"/>
  <c r="Z11" i="1" s="1"/>
  <c r="P10" i="1"/>
  <c r="T10" i="1"/>
  <c r="X10" i="1"/>
  <c r="Q10" i="1"/>
  <c r="U10" i="1" s="1"/>
  <c r="Y10" i="1"/>
  <c r="R10" i="1"/>
  <c r="V10" i="1"/>
  <c r="Z10" i="1" s="1"/>
  <c r="P9" i="1"/>
  <c r="T9" i="1" s="1"/>
  <c r="X9" i="1" s="1"/>
  <c r="Q9" i="1"/>
  <c r="U9" i="1"/>
  <c r="Y9" i="1" s="1"/>
  <c r="M32" i="1" s="1"/>
  <c r="R9" i="1"/>
  <c r="V9" i="1" s="1"/>
  <c r="Z9" i="1" s="1"/>
  <c r="N32" i="1" s="1"/>
  <c r="P8" i="1"/>
  <c r="T8" i="1"/>
  <c r="X8" i="1"/>
  <c r="L31" i="1" s="1"/>
  <c r="Q8" i="1"/>
  <c r="U8" i="1" s="1"/>
  <c r="Y8" i="1" s="1"/>
  <c r="M31" i="1" s="1"/>
  <c r="R8" i="1"/>
  <c r="V8" i="1" s="1"/>
  <c r="Z8" i="1" s="1"/>
  <c r="N31" i="1" s="1"/>
  <c r="P7" i="1"/>
  <c r="T7" i="1" s="1"/>
  <c r="X7" i="1" s="1"/>
  <c r="Q7" i="1"/>
  <c r="U7" i="1" s="1"/>
  <c r="Y7" i="1" s="1"/>
  <c r="M30" i="1"/>
  <c r="R7" i="1"/>
  <c r="V7" i="1"/>
  <c r="Z7" i="1"/>
  <c r="N30" i="1" s="1"/>
  <c r="P6" i="1"/>
  <c r="T6" i="1" s="1"/>
  <c r="X6" i="1"/>
  <c r="L29" i="1" s="1"/>
  <c r="Q6" i="1"/>
  <c r="U6" i="1"/>
  <c r="Y6" i="1"/>
  <c r="M29" i="1" s="1"/>
  <c r="R6" i="1"/>
  <c r="V6" i="1"/>
  <c r="Z6" i="1" s="1"/>
  <c r="P5" i="1"/>
  <c r="T5" i="1"/>
  <c r="X5" i="1" s="1"/>
  <c r="Q5" i="1"/>
  <c r="U5" i="1"/>
  <c r="Y5" i="1" s="1"/>
  <c r="R5" i="1"/>
  <c r="V5" i="1" s="1"/>
  <c r="Z5" i="1" s="1"/>
  <c r="P40" i="1"/>
  <c r="S11" i="1"/>
  <c r="W11" i="1" s="1"/>
  <c r="AA11" i="1" s="1"/>
  <c r="S10" i="1"/>
  <c r="W10" i="1" s="1"/>
  <c r="AA10" i="1" s="1"/>
  <c r="S9" i="1"/>
  <c r="W9" i="1"/>
  <c r="AA9" i="1"/>
  <c r="O32" i="1"/>
  <c r="S8" i="1"/>
  <c r="W8" i="1" s="1"/>
  <c r="AA8" i="1"/>
  <c r="O31" i="1" s="1"/>
  <c r="S7" i="1"/>
  <c r="W7" i="1" s="1"/>
  <c r="AA7" i="1" s="1"/>
  <c r="O30" i="1" s="1"/>
  <c r="S6" i="1"/>
  <c r="W6" i="1" s="1"/>
  <c r="AA6" i="1" s="1"/>
  <c r="U4" i="1"/>
  <c r="Y4" i="1" s="1"/>
  <c r="C42" i="1"/>
  <c r="F42" i="1" s="1"/>
  <c r="C41" i="1"/>
  <c r="E41" i="1" s="1"/>
  <c r="C40" i="1"/>
  <c r="C39" i="1"/>
  <c r="C38" i="1"/>
  <c r="C37" i="1"/>
  <c r="C34" i="1"/>
  <c r="C33" i="1"/>
  <c r="C32" i="1"/>
  <c r="G32" i="1" s="1"/>
  <c r="C31" i="1"/>
  <c r="D31" i="1" s="1"/>
  <c r="C30" i="1"/>
  <c r="G30" i="1" s="1"/>
  <c r="C29" i="1"/>
  <c r="D29" i="1" s="1"/>
  <c r="C28" i="1"/>
  <c r="C27" i="1"/>
  <c r="C19" i="1"/>
  <c r="C18" i="1"/>
  <c r="C17" i="1"/>
  <c r="C16" i="1"/>
  <c r="C15" i="1"/>
  <c r="C14" i="1"/>
  <c r="C11" i="1"/>
  <c r="C10" i="1"/>
  <c r="C9" i="1"/>
  <c r="C8" i="1"/>
  <c r="C7" i="1"/>
  <c r="C6" i="1"/>
  <c r="C5" i="1"/>
  <c r="C4" i="1"/>
  <c r="AL9" i="17"/>
  <c r="AK9" i="17"/>
  <c r="AJ9" i="17"/>
  <c r="AL8" i="17"/>
  <c r="AK8" i="17"/>
  <c r="AJ8" i="17"/>
  <c r="AL7" i="17"/>
  <c r="AK7" i="17"/>
  <c r="AJ7" i="17"/>
  <c r="AL6" i="17"/>
  <c r="AK6" i="17"/>
  <c r="AJ6" i="17"/>
  <c r="AL5" i="17"/>
  <c r="AK5" i="17"/>
  <c r="AJ5" i="17"/>
  <c r="AL4" i="17"/>
  <c r="AK4" i="17"/>
  <c r="AJ4" i="17"/>
  <c r="AI9" i="17"/>
  <c r="AI8" i="17"/>
  <c r="AI7" i="17"/>
  <c r="AI6" i="17"/>
  <c r="AI5" i="17"/>
  <c r="AI4" i="17"/>
  <c r="R31" i="17"/>
  <c r="V31" i="17" s="1"/>
  <c r="Z31" i="17" s="1"/>
  <c r="O65" i="17" s="1"/>
  <c r="O31" i="17"/>
  <c r="S31" i="17" s="1"/>
  <c r="W31" i="17" s="1"/>
  <c r="P31" i="17"/>
  <c r="T31" i="17" s="1"/>
  <c r="X31" i="17" s="1"/>
  <c r="Q31" i="17"/>
  <c r="U31" i="17" s="1"/>
  <c r="Y31" i="17" s="1"/>
  <c r="R30" i="17"/>
  <c r="V30" i="17" s="1"/>
  <c r="Z30" i="17" s="1"/>
  <c r="O30" i="17"/>
  <c r="S30" i="17"/>
  <c r="W30" i="17" s="1"/>
  <c r="L64" i="17" s="1"/>
  <c r="P30" i="17"/>
  <c r="T30" i="17"/>
  <c r="X30" i="17" s="1"/>
  <c r="Q30" i="17"/>
  <c r="U30" i="17"/>
  <c r="Y30" i="17" s="1"/>
  <c r="R29" i="17"/>
  <c r="V29" i="17" s="1"/>
  <c r="Z29" i="17" s="1"/>
  <c r="O29" i="17"/>
  <c r="S29" i="17" s="1"/>
  <c r="W29" i="17" s="1"/>
  <c r="P29" i="17"/>
  <c r="T29" i="17" s="1"/>
  <c r="X29" i="17" s="1"/>
  <c r="Q29" i="17"/>
  <c r="U29" i="17" s="1"/>
  <c r="Y29" i="17" s="1"/>
  <c r="R28" i="17"/>
  <c r="V28" i="17" s="1"/>
  <c r="Z28" i="17" s="1"/>
  <c r="O28" i="17"/>
  <c r="S28" i="17" s="1"/>
  <c r="W28" i="17" s="1"/>
  <c r="L62" i="17" s="1"/>
  <c r="P28" i="17"/>
  <c r="T28" i="17" s="1"/>
  <c r="X28" i="17" s="1"/>
  <c r="Q28" i="17"/>
  <c r="U28" i="17"/>
  <c r="Y28" i="17" s="1"/>
  <c r="R27" i="17"/>
  <c r="V27" i="17" s="1"/>
  <c r="Z27" i="17" s="1"/>
  <c r="O61" i="17" s="1"/>
  <c r="O27" i="17"/>
  <c r="S27" i="17"/>
  <c r="W27" i="17" s="1"/>
  <c r="P27" i="17"/>
  <c r="T27" i="17" s="1"/>
  <c r="X27" i="17" s="1"/>
  <c r="Q27" i="17"/>
  <c r="U27" i="17" s="1"/>
  <c r="Y27" i="17" s="1"/>
  <c r="R26" i="17"/>
  <c r="V26" i="17"/>
  <c r="Z26" i="17" s="1"/>
  <c r="O26" i="17"/>
  <c r="S26" i="17" s="1"/>
  <c r="W26" i="17" s="1"/>
  <c r="P26" i="17"/>
  <c r="T26" i="17" s="1"/>
  <c r="X26" i="17" s="1"/>
  <c r="Q26" i="17"/>
  <c r="U26" i="17" s="1"/>
  <c r="Y26" i="17" s="1"/>
  <c r="R25" i="17"/>
  <c r="V25" i="17"/>
  <c r="Z25" i="17" s="1"/>
  <c r="AD25" i="17" s="1"/>
  <c r="O25" i="17"/>
  <c r="S25" i="17" s="1"/>
  <c r="W25" i="17" s="1"/>
  <c r="P25" i="17"/>
  <c r="T25" i="17"/>
  <c r="X25" i="17" s="1"/>
  <c r="Q25" i="17"/>
  <c r="U25" i="17"/>
  <c r="Y25" i="17" s="1"/>
  <c r="R24" i="17"/>
  <c r="V24" i="17" s="1"/>
  <c r="Z24" i="17" s="1"/>
  <c r="O24" i="17"/>
  <c r="S24" i="17"/>
  <c r="W24" i="17" s="1"/>
  <c r="P24" i="17"/>
  <c r="T24" i="17" s="1"/>
  <c r="X24" i="17" s="1"/>
  <c r="Q24" i="17"/>
  <c r="U24" i="17" s="1"/>
  <c r="Y24" i="17" s="1"/>
  <c r="R23" i="17"/>
  <c r="V23" i="17"/>
  <c r="Z23" i="17" s="1"/>
  <c r="AD23" i="17" s="1"/>
  <c r="O23" i="17"/>
  <c r="S23" i="17" s="1"/>
  <c r="W23" i="17" s="1"/>
  <c r="P23" i="17"/>
  <c r="T23" i="17" s="1"/>
  <c r="X23" i="17" s="1"/>
  <c r="Q23" i="17"/>
  <c r="U23" i="17" s="1"/>
  <c r="Y23" i="17" s="1"/>
  <c r="R22" i="17"/>
  <c r="V22" i="17" s="1"/>
  <c r="Z22" i="17" s="1"/>
  <c r="O22" i="17"/>
  <c r="S22" i="17"/>
  <c r="W22" i="17"/>
  <c r="L56" i="17" s="1"/>
  <c r="P22" i="17"/>
  <c r="T22" i="17" s="1"/>
  <c r="X22" i="17" s="1"/>
  <c r="Q22" i="17"/>
  <c r="U22" i="17"/>
  <c r="Y22" i="17"/>
  <c r="AC22" i="17" s="1"/>
  <c r="R21" i="17"/>
  <c r="V21" i="17"/>
  <c r="Z21" i="17" s="1"/>
  <c r="O55" i="17" s="1"/>
  <c r="AD21" i="17"/>
  <c r="O21" i="17"/>
  <c r="S21" i="17"/>
  <c r="W21" i="17" s="1"/>
  <c r="P21" i="17"/>
  <c r="T21" i="17"/>
  <c r="X21" i="17" s="1"/>
  <c r="Q21" i="17"/>
  <c r="U21" i="17" s="1"/>
  <c r="Y21" i="17" s="1"/>
  <c r="R20" i="17"/>
  <c r="V20" i="17" s="1"/>
  <c r="Z20" i="17" s="1"/>
  <c r="O20" i="17"/>
  <c r="S20" i="17"/>
  <c r="W20" i="17" s="1"/>
  <c r="P20" i="17"/>
  <c r="T20" i="17" s="1"/>
  <c r="X20" i="17" s="1"/>
  <c r="Q20" i="17"/>
  <c r="U20" i="17"/>
  <c r="Y20" i="17" s="1"/>
  <c r="R11" i="17"/>
  <c r="V11" i="17"/>
  <c r="Z11" i="17" s="1"/>
  <c r="O11" i="17"/>
  <c r="S11" i="17"/>
  <c r="W11" i="17"/>
  <c r="P11" i="17"/>
  <c r="T11" i="17"/>
  <c r="X11" i="17"/>
  <c r="AB11" i="17" s="1"/>
  <c r="Q11" i="17"/>
  <c r="U11" i="17"/>
  <c r="Y11" i="17" s="1"/>
  <c r="R10" i="17"/>
  <c r="V10" i="17" s="1"/>
  <c r="Z10" i="17" s="1"/>
  <c r="O10" i="17"/>
  <c r="S10" i="17" s="1"/>
  <c r="W10" i="17" s="1"/>
  <c r="L44" i="17" s="1"/>
  <c r="P10" i="17"/>
  <c r="T10" i="17" s="1"/>
  <c r="X10" i="17" s="1"/>
  <c r="Q10" i="17"/>
  <c r="U10" i="17" s="1"/>
  <c r="Y10" i="17" s="1"/>
  <c r="AL9" i="16"/>
  <c r="AK9" i="16"/>
  <c r="AJ9" i="16"/>
  <c r="AL8" i="16"/>
  <c r="AK8" i="16"/>
  <c r="AJ8" i="16"/>
  <c r="AL7" i="16"/>
  <c r="AK7" i="16"/>
  <c r="AJ7" i="16"/>
  <c r="AL6" i="16"/>
  <c r="AK6" i="16"/>
  <c r="AJ6" i="16"/>
  <c r="AL5" i="16"/>
  <c r="AK5" i="16"/>
  <c r="AJ5" i="16"/>
  <c r="AL4" i="16"/>
  <c r="AK4" i="16"/>
  <c r="AJ4" i="16"/>
  <c r="AI9" i="16"/>
  <c r="AI8" i="16"/>
  <c r="AI7" i="16"/>
  <c r="AI6" i="16"/>
  <c r="AI5" i="16"/>
  <c r="AI4" i="16"/>
  <c r="R31" i="16"/>
  <c r="V31" i="16"/>
  <c r="Z31" i="16" s="1"/>
  <c r="O31" i="16"/>
  <c r="S31" i="16" s="1"/>
  <c r="W31" i="16" s="1"/>
  <c r="P31" i="16"/>
  <c r="T31" i="16" s="1"/>
  <c r="X31" i="16" s="1"/>
  <c r="Q31" i="16"/>
  <c r="U31" i="16" s="1"/>
  <c r="Y31" i="16" s="1"/>
  <c r="AC31" i="16" s="1"/>
  <c r="R30" i="16"/>
  <c r="V30" i="16" s="1"/>
  <c r="Z30" i="16" s="1"/>
  <c r="O30" i="16"/>
  <c r="S30" i="16" s="1"/>
  <c r="W30" i="16" s="1"/>
  <c r="P30" i="16"/>
  <c r="T30" i="16" s="1"/>
  <c r="X30" i="16" s="1"/>
  <c r="Q30" i="16"/>
  <c r="U30" i="16" s="1"/>
  <c r="Y30" i="16" s="1"/>
  <c r="R29" i="16"/>
  <c r="V29" i="16"/>
  <c r="Z29" i="16" s="1"/>
  <c r="O29" i="16"/>
  <c r="S29" i="16" s="1"/>
  <c r="W29" i="16" s="1"/>
  <c r="P29" i="16"/>
  <c r="T29" i="16" s="1"/>
  <c r="X29" i="16" s="1"/>
  <c r="Q29" i="16"/>
  <c r="U29" i="16" s="1"/>
  <c r="Y29" i="16" s="1"/>
  <c r="R28" i="16"/>
  <c r="V28" i="16" s="1"/>
  <c r="Z28" i="16" s="1"/>
  <c r="O28" i="16"/>
  <c r="S28" i="16" s="1"/>
  <c r="W28" i="16" s="1"/>
  <c r="P28" i="16"/>
  <c r="T28" i="16" s="1"/>
  <c r="X28" i="16" s="1"/>
  <c r="AB28" i="16" s="1"/>
  <c r="Q28" i="16"/>
  <c r="U28" i="16"/>
  <c r="Y28" i="16" s="1"/>
  <c r="R27" i="16"/>
  <c r="V27" i="16" s="1"/>
  <c r="Z27" i="16" s="1"/>
  <c r="O27" i="16"/>
  <c r="S27" i="16"/>
  <c r="W27" i="16" s="1"/>
  <c r="P27" i="16"/>
  <c r="T27" i="16" s="1"/>
  <c r="X27" i="16" s="1"/>
  <c r="Q27" i="16"/>
  <c r="U27" i="16" s="1"/>
  <c r="Y27" i="16" s="1"/>
  <c r="AC27" i="16" s="1"/>
  <c r="R26" i="16"/>
  <c r="V26" i="16" s="1"/>
  <c r="Z26" i="16" s="1"/>
  <c r="AD26" i="16" s="1"/>
  <c r="O26" i="16"/>
  <c r="S26" i="16"/>
  <c r="W26" i="16" s="1"/>
  <c r="P26" i="16"/>
  <c r="T26" i="16" s="1"/>
  <c r="X26" i="16" s="1"/>
  <c r="Q26" i="16"/>
  <c r="U26" i="16" s="1"/>
  <c r="Y26" i="16" s="1"/>
  <c r="R25" i="16"/>
  <c r="V25" i="16" s="1"/>
  <c r="Z25" i="16" s="1"/>
  <c r="O25" i="16"/>
  <c r="S25" i="16"/>
  <c r="W25" i="16" s="1"/>
  <c r="AA25" i="16" s="1"/>
  <c r="P25" i="16"/>
  <c r="T25" i="16" s="1"/>
  <c r="X25" i="16" s="1"/>
  <c r="Q25" i="16"/>
  <c r="U25" i="16" s="1"/>
  <c r="Y25" i="16" s="1"/>
  <c r="R24" i="16"/>
  <c r="V24" i="16" s="1"/>
  <c r="Z24" i="16" s="1"/>
  <c r="O24" i="16"/>
  <c r="S24" i="16" s="1"/>
  <c r="W24" i="16" s="1"/>
  <c r="P24" i="16"/>
  <c r="T24" i="16" s="1"/>
  <c r="X24" i="16" s="1"/>
  <c r="AB24" i="16" s="1"/>
  <c r="Q24" i="16"/>
  <c r="U24" i="16" s="1"/>
  <c r="Y24" i="16" s="1"/>
  <c r="R23" i="16"/>
  <c r="V23" i="16" s="1"/>
  <c r="Z23" i="16" s="1"/>
  <c r="O23" i="16"/>
  <c r="S23" i="16" s="1"/>
  <c r="W23" i="16" s="1"/>
  <c r="P23" i="16"/>
  <c r="T23" i="16"/>
  <c r="X23" i="16" s="1"/>
  <c r="Q23" i="16"/>
  <c r="U23" i="16"/>
  <c r="Y23" i="16"/>
  <c r="AC23" i="16" s="1"/>
  <c r="R22" i="16"/>
  <c r="V22" i="16" s="1"/>
  <c r="Z22" i="16" s="1"/>
  <c r="O22" i="16"/>
  <c r="S22" i="16" s="1"/>
  <c r="W22" i="16" s="1"/>
  <c r="P22" i="16"/>
  <c r="T22" i="16" s="1"/>
  <c r="X22" i="16" s="1"/>
  <c r="Q22" i="16"/>
  <c r="U22" i="16"/>
  <c r="Y22" i="16" s="1"/>
  <c r="R21" i="16"/>
  <c r="V21" i="16" s="1"/>
  <c r="Z21" i="16" s="1"/>
  <c r="O21" i="16"/>
  <c r="S21" i="16" s="1"/>
  <c r="W21" i="16" s="1"/>
  <c r="P21" i="16"/>
  <c r="T21" i="16"/>
  <c r="X21" i="16" s="1"/>
  <c r="Q21" i="16"/>
  <c r="U21" i="16"/>
  <c r="Y21" i="16"/>
  <c r="AC21" i="16" s="1"/>
  <c r="R20" i="16"/>
  <c r="V20" i="16" s="1"/>
  <c r="Z20" i="16" s="1"/>
  <c r="O20" i="16"/>
  <c r="S20" i="16"/>
  <c r="W20" i="16" s="1"/>
  <c r="P20" i="16"/>
  <c r="T20" i="16"/>
  <c r="X20" i="16" s="1"/>
  <c r="Q20" i="16"/>
  <c r="U20" i="16" s="1"/>
  <c r="Y20" i="16" s="1"/>
  <c r="R11" i="16"/>
  <c r="V11" i="16" s="1"/>
  <c r="Z11" i="16" s="1"/>
  <c r="O11" i="16"/>
  <c r="S11" i="16"/>
  <c r="W11" i="16" s="1"/>
  <c r="P11" i="16"/>
  <c r="T11" i="16" s="1"/>
  <c r="X11" i="16" s="1"/>
  <c r="Q11" i="16"/>
  <c r="U11" i="16" s="1"/>
  <c r="Y11" i="16" s="1"/>
  <c r="R10" i="16"/>
  <c r="V10" i="16" s="1"/>
  <c r="Z10" i="16" s="1"/>
  <c r="O10" i="16"/>
  <c r="S10" i="16"/>
  <c r="W10" i="16" s="1"/>
  <c r="P10" i="16"/>
  <c r="T10" i="16" s="1"/>
  <c r="X10" i="16" s="1"/>
  <c r="Q10" i="16"/>
  <c r="U10" i="16" s="1"/>
  <c r="Y10" i="16" s="1"/>
  <c r="AL9" i="15"/>
  <c r="AK9" i="15"/>
  <c r="AJ9" i="15"/>
  <c r="AL8" i="15"/>
  <c r="AK8" i="15"/>
  <c r="AJ8" i="15"/>
  <c r="AL7" i="15"/>
  <c r="AK7" i="15"/>
  <c r="AJ7" i="15"/>
  <c r="AL6" i="15"/>
  <c r="AK6" i="15"/>
  <c r="AJ6" i="15"/>
  <c r="AL5" i="15"/>
  <c r="AK5" i="15"/>
  <c r="AJ5" i="15"/>
  <c r="AL4" i="15"/>
  <c r="AK4" i="15"/>
  <c r="AJ4" i="15"/>
  <c r="AI9" i="15"/>
  <c r="AI8" i="15"/>
  <c r="AI7" i="15"/>
  <c r="AI6" i="15"/>
  <c r="AI5" i="15"/>
  <c r="AI4" i="15"/>
  <c r="R31" i="15"/>
  <c r="V31" i="15"/>
  <c r="Z31" i="15" s="1"/>
  <c r="AD31" i="15" s="1"/>
  <c r="O31" i="15"/>
  <c r="S31" i="15" s="1"/>
  <c r="W31" i="15" s="1"/>
  <c r="P31" i="15"/>
  <c r="T31" i="15" s="1"/>
  <c r="X31" i="15" s="1"/>
  <c r="Q31" i="15"/>
  <c r="U31" i="15" s="1"/>
  <c r="Y31" i="15" s="1"/>
  <c r="AC31" i="15" s="1"/>
  <c r="R30" i="15"/>
  <c r="V30" i="15" s="1"/>
  <c r="Z30" i="15" s="1"/>
  <c r="AD30" i="15" s="1"/>
  <c r="O30" i="15"/>
  <c r="S30" i="15"/>
  <c r="W30" i="15" s="1"/>
  <c r="P30" i="15"/>
  <c r="T30" i="15" s="1"/>
  <c r="X30" i="15" s="1"/>
  <c r="Q30" i="15"/>
  <c r="U30" i="15" s="1"/>
  <c r="Y30" i="15" s="1"/>
  <c r="R29" i="15"/>
  <c r="V29" i="15"/>
  <c r="Z29" i="15" s="1"/>
  <c r="O29" i="15"/>
  <c r="S29" i="15" s="1"/>
  <c r="W29" i="15" s="1"/>
  <c r="AA29" i="15" s="1"/>
  <c r="P29" i="15"/>
  <c r="T29" i="15" s="1"/>
  <c r="X29" i="15" s="1"/>
  <c r="AB29" i="15" s="1"/>
  <c r="Q29" i="15"/>
  <c r="U29" i="15" s="1"/>
  <c r="Y29" i="15" s="1"/>
  <c r="AC29" i="15" s="1"/>
  <c r="R28" i="15"/>
  <c r="V28" i="15" s="1"/>
  <c r="Z28" i="15" s="1"/>
  <c r="AD28" i="15" s="1"/>
  <c r="O28" i="15"/>
  <c r="S28" i="15" s="1"/>
  <c r="W28" i="15" s="1"/>
  <c r="P28" i="15"/>
  <c r="T28" i="15" s="1"/>
  <c r="X28" i="15" s="1"/>
  <c r="Q28" i="15"/>
  <c r="U28" i="15"/>
  <c r="Y28" i="15" s="1"/>
  <c r="AC28" i="15" s="1"/>
  <c r="R27" i="15"/>
  <c r="V27" i="15" s="1"/>
  <c r="Z27" i="15" s="1"/>
  <c r="O27" i="15"/>
  <c r="S27" i="15" s="1"/>
  <c r="W27" i="15" s="1"/>
  <c r="L61" i="15" s="1"/>
  <c r="P27" i="15"/>
  <c r="T27" i="15" s="1"/>
  <c r="X27" i="15" s="1"/>
  <c r="Q27" i="15"/>
  <c r="U27" i="15" s="1"/>
  <c r="Y27" i="15" s="1"/>
  <c r="N61" i="15" s="1"/>
  <c r="R26" i="15"/>
  <c r="V26" i="15" s="1"/>
  <c r="Z26" i="15" s="1"/>
  <c r="O26" i="15"/>
  <c r="S26" i="15" s="1"/>
  <c r="W26" i="15" s="1"/>
  <c r="P26" i="15"/>
  <c r="T26" i="15" s="1"/>
  <c r="X26" i="15" s="1"/>
  <c r="M60" i="15" s="1"/>
  <c r="Q26" i="15"/>
  <c r="U26" i="15" s="1"/>
  <c r="Y26" i="15" s="1"/>
  <c r="R25" i="15"/>
  <c r="V25" i="15"/>
  <c r="Z25" i="15"/>
  <c r="O25" i="15"/>
  <c r="S25" i="15" s="1"/>
  <c r="W25" i="15" s="1"/>
  <c r="P25" i="15"/>
  <c r="T25" i="15" s="1"/>
  <c r="X25" i="15" s="1"/>
  <c r="Q25" i="15"/>
  <c r="U25" i="15" s="1"/>
  <c r="Y25" i="15" s="1"/>
  <c r="R24" i="15"/>
  <c r="V24" i="15" s="1"/>
  <c r="Z24" i="15" s="1"/>
  <c r="O58" i="15" s="1"/>
  <c r="O24" i="15"/>
  <c r="S24" i="15" s="1"/>
  <c r="W24" i="15" s="1"/>
  <c r="P24" i="15"/>
  <c r="T24" i="15" s="1"/>
  <c r="X24" i="15" s="1"/>
  <c r="M58" i="15" s="1"/>
  <c r="Q24" i="15"/>
  <c r="U24" i="15" s="1"/>
  <c r="Y24" i="15" s="1"/>
  <c r="R23" i="15"/>
  <c r="V23" i="15"/>
  <c r="Z23" i="15" s="1"/>
  <c r="AD23" i="15" s="1"/>
  <c r="O23" i="15"/>
  <c r="S23" i="15" s="1"/>
  <c r="W23" i="15" s="1"/>
  <c r="P23" i="15"/>
  <c r="T23" i="15" s="1"/>
  <c r="X23" i="15" s="1"/>
  <c r="AB23" i="15" s="1"/>
  <c r="Q23" i="15"/>
  <c r="U23" i="15" s="1"/>
  <c r="Y23" i="15" s="1"/>
  <c r="AC23" i="15" s="1"/>
  <c r="R22" i="15"/>
  <c r="V22" i="15" s="1"/>
  <c r="Z22" i="15" s="1"/>
  <c r="AD22" i="15" s="1"/>
  <c r="O22" i="15"/>
  <c r="S22" i="15"/>
  <c r="W22" i="15" s="1"/>
  <c r="P22" i="15"/>
  <c r="T22" i="15" s="1"/>
  <c r="X22" i="15" s="1"/>
  <c r="Q22" i="15"/>
  <c r="U22" i="15" s="1"/>
  <c r="Y22" i="15" s="1"/>
  <c r="N56" i="15" s="1"/>
  <c r="R21" i="15"/>
  <c r="V21" i="15" s="1"/>
  <c r="Z21" i="15" s="1"/>
  <c r="O21" i="15"/>
  <c r="S21" i="15" s="1"/>
  <c r="W21" i="15" s="1"/>
  <c r="AA21" i="15" s="1"/>
  <c r="P21" i="15"/>
  <c r="T21" i="15" s="1"/>
  <c r="X21" i="15" s="1"/>
  <c r="AB21" i="15"/>
  <c r="Q21" i="15"/>
  <c r="U21" i="15" s="1"/>
  <c r="Y21" i="15" s="1"/>
  <c r="R20" i="15"/>
  <c r="V20" i="15" s="1"/>
  <c r="Z20" i="15" s="1"/>
  <c r="O20" i="15"/>
  <c r="S20" i="15" s="1"/>
  <c r="W20" i="15" s="1"/>
  <c r="P20" i="15"/>
  <c r="T20" i="15" s="1"/>
  <c r="X20" i="15" s="1"/>
  <c r="Q20" i="15"/>
  <c r="U20" i="15" s="1"/>
  <c r="Y20" i="15" s="1"/>
  <c r="R11" i="15"/>
  <c r="V11" i="15" s="1"/>
  <c r="Z11" i="15"/>
  <c r="O45" i="15" s="1"/>
  <c r="O11" i="15"/>
  <c r="S11" i="15" s="1"/>
  <c r="W11" i="15" s="1"/>
  <c r="AA11" i="15" s="1"/>
  <c r="P11" i="15"/>
  <c r="T11" i="15" s="1"/>
  <c r="X11" i="15" s="1"/>
  <c r="Q11" i="15"/>
  <c r="U11" i="15" s="1"/>
  <c r="Y11" i="15" s="1"/>
  <c r="N45" i="15" s="1"/>
  <c r="R10" i="15"/>
  <c r="V10" i="15" s="1"/>
  <c r="Z10" i="15" s="1"/>
  <c r="O10" i="15"/>
  <c r="S10" i="15" s="1"/>
  <c r="W10" i="15" s="1"/>
  <c r="P10" i="15"/>
  <c r="T10" i="15" s="1"/>
  <c r="X10" i="15" s="1"/>
  <c r="Q10" i="15"/>
  <c r="U10" i="15" s="1"/>
  <c r="Y10" i="15" s="1"/>
  <c r="AL9" i="14"/>
  <c r="AK9" i="14"/>
  <c r="AJ9" i="14"/>
  <c r="AL8" i="14"/>
  <c r="AK8" i="14"/>
  <c r="AJ8" i="14"/>
  <c r="AL7" i="14"/>
  <c r="AK7" i="14"/>
  <c r="AJ7" i="14"/>
  <c r="AL6" i="14"/>
  <c r="AK6" i="14"/>
  <c r="AJ6" i="14"/>
  <c r="AL5" i="14"/>
  <c r="AK5" i="14"/>
  <c r="AJ5" i="14"/>
  <c r="AL4" i="14"/>
  <c r="AK4" i="14"/>
  <c r="AJ4" i="14"/>
  <c r="AI9" i="14"/>
  <c r="AI8" i="14"/>
  <c r="AI7" i="14"/>
  <c r="AI6" i="14"/>
  <c r="AI5" i="14"/>
  <c r="AI4" i="14"/>
  <c r="R31" i="14"/>
  <c r="V31" i="14" s="1"/>
  <c r="Z31" i="14" s="1"/>
  <c r="AD31" i="14" s="1"/>
  <c r="O31" i="14"/>
  <c r="S31" i="14" s="1"/>
  <c r="W31" i="14" s="1"/>
  <c r="P31" i="14"/>
  <c r="T31" i="14" s="1"/>
  <c r="X31" i="14" s="1"/>
  <c r="AB31" i="14" s="1"/>
  <c r="Q31" i="14"/>
  <c r="U31" i="14" s="1"/>
  <c r="Y31" i="14" s="1"/>
  <c r="R30" i="14"/>
  <c r="V30" i="14"/>
  <c r="Z30" i="14" s="1"/>
  <c r="AD30" i="14" s="1"/>
  <c r="O30" i="14"/>
  <c r="S30" i="14" s="1"/>
  <c r="W30" i="14" s="1"/>
  <c r="P30" i="14"/>
  <c r="T30" i="14" s="1"/>
  <c r="X30" i="14" s="1"/>
  <c r="AB30" i="14" s="1"/>
  <c r="Q30" i="14"/>
  <c r="U30" i="14" s="1"/>
  <c r="Y30" i="14"/>
  <c r="R29" i="14"/>
  <c r="V29" i="14" s="1"/>
  <c r="Z29" i="14" s="1"/>
  <c r="O29" i="14"/>
  <c r="S29" i="14" s="1"/>
  <c r="W29" i="14" s="1"/>
  <c r="P29" i="14"/>
  <c r="T29" i="14" s="1"/>
  <c r="X29" i="14" s="1"/>
  <c r="Q29" i="14"/>
  <c r="U29" i="14" s="1"/>
  <c r="Y29" i="14" s="1"/>
  <c r="R28" i="14"/>
  <c r="V28" i="14" s="1"/>
  <c r="Z28" i="14" s="1"/>
  <c r="O62" i="14" s="1"/>
  <c r="O28" i="14"/>
  <c r="S28" i="14" s="1"/>
  <c r="W28" i="14" s="1"/>
  <c r="P28" i="14"/>
  <c r="T28" i="14" s="1"/>
  <c r="X28" i="14" s="1"/>
  <c r="M62" i="14" s="1"/>
  <c r="Q28" i="14"/>
  <c r="U28" i="14" s="1"/>
  <c r="Y28" i="14" s="1"/>
  <c r="R27" i="14"/>
  <c r="V27" i="14" s="1"/>
  <c r="Z27" i="14" s="1"/>
  <c r="O27" i="14"/>
  <c r="S27" i="14" s="1"/>
  <c r="W27" i="14" s="1"/>
  <c r="AA27" i="14" s="1"/>
  <c r="P27" i="14"/>
  <c r="T27" i="14" s="1"/>
  <c r="X27" i="14" s="1"/>
  <c r="AB27" i="14" s="1"/>
  <c r="Q27" i="14"/>
  <c r="U27" i="14" s="1"/>
  <c r="Y27" i="14" s="1"/>
  <c r="R26" i="14"/>
  <c r="V26" i="14"/>
  <c r="Z26" i="14" s="1"/>
  <c r="O26" i="14"/>
  <c r="S26" i="14" s="1"/>
  <c r="W26" i="14"/>
  <c r="L60" i="14" s="1"/>
  <c r="P26" i="14"/>
  <c r="T26" i="14" s="1"/>
  <c r="X26" i="14" s="1"/>
  <c r="Q26" i="14"/>
  <c r="U26" i="14" s="1"/>
  <c r="Y26" i="14" s="1"/>
  <c r="R25" i="14"/>
  <c r="V25" i="14" s="1"/>
  <c r="Z25" i="14" s="1"/>
  <c r="O25" i="14"/>
  <c r="S25" i="14" s="1"/>
  <c r="W25" i="14" s="1"/>
  <c r="P25" i="14"/>
  <c r="T25" i="14" s="1"/>
  <c r="X25" i="14" s="1"/>
  <c r="Q25" i="14"/>
  <c r="U25" i="14" s="1"/>
  <c r="Y25" i="14" s="1"/>
  <c r="N59" i="14" s="1"/>
  <c r="R24" i="14"/>
  <c r="V24" i="14" s="1"/>
  <c r="Z24" i="14" s="1"/>
  <c r="O24" i="14"/>
  <c r="S24" i="14" s="1"/>
  <c r="W24" i="14" s="1"/>
  <c r="L58" i="14" s="1"/>
  <c r="P24" i="14"/>
  <c r="T24" i="14" s="1"/>
  <c r="X24" i="14" s="1"/>
  <c r="Q24" i="14"/>
  <c r="U24" i="14" s="1"/>
  <c r="Y24" i="14" s="1"/>
  <c r="R23" i="14"/>
  <c r="V23" i="14" s="1"/>
  <c r="Z23" i="14" s="1"/>
  <c r="AD23" i="14" s="1"/>
  <c r="O23" i="14"/>
  <c r="S23" i="14"/>
  <c r="W23" i="14" s="1"/>
  <c r="P23" i="14"/>
  <c r="T23" i="14" s="1"/>
  <c r="X23" i="14" s="1"/>
  <c r="AB23" i="14" s="1"/>
  <c r="Q23" i="14"/>
  <c r="U23" i="14" s="1"/>
  <c r="Y23" i="14" s="1"/>
  <c r="AC23" i="14" s="1"/>
  <c r="R22" i="14"/>
  <c r="V22" i="14" s="1"/>
  <c r="Z22" i="14" s="1"/>
  <c r="AD22" i="14" s="1"/>
  <c r="O22" i="14"/>
  <c r="S22" i="14" s="1"/>
  <c r="W22" i="14"/>
  <c r="P22" i="14"/>
  <c r="T22" i="14" s="1"/>
  <c r="X22" i="14" s="1"/>
  <c r="AB22" i="14" s="1"/>
  <c r="Q22" i="14"/>
  <c r="U22" i="14" s="1"/>
  <c r="Y22" i="14" s="1"/>
  <c r="R21" i="14"/>
  <c r="V21" i="14"/>
  <c r="Z21" i="14"/>
  <c r="O21" i="14"/>
  <c r="S21" i="14" s="1"/>
  <c r="W21" i="14" s="1"/>
  <c r="L55" i="14" s="1"/>
  <c r="P21" i="14"/>
  <c r="T21" i="14" s="1"/>
  <c r="X21" i="14" s="1"/>
  <c r="Q21" i="14"/>
  <c r="U21" i="14" s="1"/>
  <c r="Y21" i="14" s="1"/>
  <c r="N55" i="14" s="1"/>
  <c r="R20" i="14"/>
  <c r="V20" i="14" s="1"/>
  <c r="Z20" i="14" s="1"/>
  <c r="O20" i="14"/>
  <c r="S20" i="14"/>
  <c r="W20" i="14" s="1"/>
  <c r="L54" i="14" s="1"/>
  <c r="P20" i="14"/>
  <c r="T20" i="14" s="1"/>
  <c r="X20" i="14" s="1"/>
  <c r="Q20" i="14"/>
  <c r="U20" i="14" s="1"/>
  <c r="Y20" i="14"/>
  <c r="N54" i="14" s="1"/>
  <c r="R11" i="14"/>
  <c r="V11" i="14" s="1"/>
  <c r="Z11" i="14"/>
  <c r="AD11" i="14"/>
  <c r="O11" i="14"/>
  <c r="S11" i="14"/>
  <c r="W11" i="14" s="1"/>
  <c r="P11" i="14"/>
  <c r="T11" i="14" s="1"/>
  <c r="X11" i="14" s="1"/>
  <c r="AB11" i="14" s="1"/>
  <c r="Q11" i="14"/>
  <c r="U11" i="14"/>
  <c r="Y11" i="14" s="1"/>
  <c r="AC11" i="14" s="1"/>
  <c r="R10" i="14"/>
  <c r="V10" i="14" s="1"/>
  <c r="Z10" i="14" s="1"/>
  <c r="O10" i="14"/>
  <c r="S10" i="14" s="1"/>
  <c r="W10" i="14"/>
  <c r="P10" i="14"/>
  <c r="T10" i="14" s="1"/>
  <c r="X10" i="14" s="1"/>
  <c r="Q10" i="14"/>
  <c r="U10" i="14" s="1"/>
  <c r="Y10" i="14" s="1"/>
  <c r="N44" i="14" s="1"/>
  <c r="AL9" i="13"/>
  <c r="AK9" i="13"/>
  <c r="AJ9" i="13"/>
  <c r="AL8" i="13"/>
  <c r="AK8" i="13"/>
  <c r="AJ8" i="13"/>
  <c r="AL7" i="13"/>
  <c r="AK7" i="13"/>
  <c r="AJ7" i="13"/>
  <c r="AL6" i="13"/>
  <c r="AK6" i="13"/>
  <c r="AJ6" i="13"/>
  <c r="AL5" i="13"/>
  <c r="AK5" i="13"/>
  <c r="AJ5" i="13"/>
  <c r="AL4" i="13"/>
  <c r="AK4" i="13"/>
  <c r="AJ4" i="13"/>
  <c r="AI9" i="13"/>
  <c r="AI8" i="13"/>
  <c r="AI7" i="13"/>
  <c r="AI6" i="13"/>
  <c r="AI5" i="13"/>
  <c r="AI4" i="13"/>
  <c r="R31" i="13"/>
  <c r="V31" i="13" s="1"/>
  <c r="Z31" i="13" s="1"/>
  <c r="O31" i="13"/>
  <c r="S31" i="13" s="1"/>
  <c r="W31" i="13" s="1"/>
  <c r="P31" i="13"/>
  <c r="T31" i="13"/>
  <c r="X31" i="13" s="1"/>
  <c r="Q31" i="13"/>
  <c r="U31" i="13"/>
  <c r="Y31" i="13" s="1"/>
  <c r="R30" i="13"/>
  <c r="V30" i="13"/>
  <c r="Z30" i="13" s="1"/>
  <c r="O64" i="13" s="1"/>
  <c r="O30" i="13"/>
  <c r="S30" i="13" s="1"/>
  <c r="W30" i="13" s="1"/>
  <c r="P30" i="13"/>
  <c r="T30" i="13"/>
  <c r="X30" i="13"/>
  <c r="M64" i="13" s="1"/>
  <c r="Q30" i="13"/>
  <c r="U30" i="13" s="1"/>
  <c r="Y30" i="13" s="1"/>
  <c r="R29" i="13"/>
  <c r="V29" i="13"/>
  <c r="Z29" i="13" s="1"/>
  <c r="O29" i="13"/>
  <c r="S29" i="13" s="1"/>
  <c r="W29" i="13" s="1"/>
  <c r="P29" i="13"/>
  <c r="T29" i="13"/>
  <c r="X29" i="13" s="1"/>
  <c r="Q29" i="13"/>
  <c r="U29" i="13" s="1"/>
  <c r="Y29" i="13" s="1"/>
  <c r="R28" i="13"/>
  <c r="V28" i="13" s="1"/>
  <c r="Z28" i="13" s="1"/>
  <c r="O28" i="13"/>
  <c r="S28" i="13" s="1"/>
  <c r="W28" i="13" s="1"/>
  <c r="P28" i="13"/>
  <c r="T28" i="13" s="1"/>
  <c r="X28" i="13" s="1"/>
  <c r="Q28" i="13"/>
  <c r="U28" i="13" s="1"/>
  <c r="Y28" i="13" s="1"/>
  <c r="R27" i="13"/>
  <c r="V27" i="13" s="1"/>
  <c r="Z27" i="13" s="1"/>
  <c r="O27" i="13"/>
  <c r="S27" i="13"/>
  <c r="W27" i="13" s="1"/>
  <c r="P27" i="13"/>
  <c r="T27" i="13" s="1"/>
  <c r="X27" i="13" s="1"/>
  <c r="Q27" i="13"/>
  <c r="U27" i="13"/>
  <c r="Y27" i="13" s="1"/>
  <c r="R26" i="13"/>
  <c r="V26" i="13"/>
  <c r="Z26" i="13" s="1"/>
  <c r="O26" i="13"/>
  <c r="S26" i="13" s="1"/>
  <c r="W26" i="13" s="1"/>
  <c r="P26" i="13"/>
  <c r="T26" i="13" s="1"/>
  <c r="X26" i="13" s="1"/>
  <c r="Q26" i="13"/>
  <c r="U26" i="13" s="1"/>
  <c r="Y26" i="13" s="1"/>
  <c r="R25" i="13"/>
  <c r="V25" i="13" s="1"/>
  <c r="Z25" i="13" s="1"/>
  <c r="O25" i="13"/>
  <c r="S25" i="13" s="1"/>
  <c r="W25" i="13" s="1"/>
  <c r="P25" i="13"/>
  <c r="T25" i="13" s="1"/>
  <c r="X25" i="13" s="1"/>
  <c r="Q25" i="13"/>
  <c r="U25" i="13" s="1"/>
  <c r="Y25" i="13" s="1"/>
  <c r="R24" i="13"/>
  <c r="V24" i="13"/>
  <c r="Z24" i="13" s="1"/>
  <c r="O24" i="13"/>
  <c r="S24" i="13" s="1"/>
  <c r="W24" i="13" s="1"/>
  <c r="P24" i="13"/>
  <c r="T24" i="13" s="1"/>
  <c r="X24" i="13" s="1"/>
  <c r="AB24" i="13" s="1"/>
  <c r="Q24" i="13"/>
  <c r="U24" i="13" s="1"/>
  <c r="Y24" i="13" s="1"/>
  <c r="R23" i="13"/>
  <c r="V23" i="13" s="1"/>
  <c r="Z23" i="13" s="1"/>
  <c r="O23" i="13"/>
  <c r="S23" i="13" s="1"/>
  <c r="W23" i="13" s="1"/>
  <c r="P23" i="13"/>
  <c r="T23" i="13" s="1"/>
  <c r="X23" i="13" s="1"/>
  <c r="Q23" i="13"/>
  <c r="U23" i="13" s="1"/>
  <c r="Y23" i="13" s="1"/>
  <c r="R22" i="13"/>
  <c r="V22" i="13" s="1"/>
  <c r="Z22" i="13" s="1"/>
  <c r="O22" i="13"/>
  <c r="S22" i="13" s="1"/>
  <c r="W22" i="13" s="1"/>
  <c r="P22" i="13"/>
  <c r="T22" i="13"/>
  <c r="X22" i="13" s="1"/>
  <c r="AB22" i="13" s="1"/>
  <c r="Q22" i="13"/>
  <c r="U22" i="13" s="1"/>
  <c r="Y22" i="13" s="1"/>
  <c r="R21" i="13"/>
  <c r="V21" i="13"/>
  <c r="Z21" i="13"/>
  <c r="O21" i="13"/>
  <c r="S21" i="13" s="1"/>
  <c r="W21" i="13" s="1"/>
  <c r="P21" i="13"/>
  <c r="T21" i="13" s="1"/>
  <c r="X21" i="13" s="1"/>
  <c r="Q21" i="13"/>
  <c r="U21" i="13" s="1"/>
  <c r="Y21" i="13" s="1"/>
  <c r="R20" i="13"/>
  <c r="V20" i="13"/>
  <c r="Z20" i="13" s="1"/>
  <c r="O20" i="13"/>
  <c r="S20" i="13" s="1"/>
  <c r="W20" i="13" s="1"/>
  <c r="P20" i="13"/>
  <c r="T20" i="13"/>
  <c r="X20" i="13" s="1"/>
  <c r="Q20" i="13"/>
  <c r="U20" i="13" s="1"/>
  <c r="Y20" i="13" s="1"/>
  <c r="R11" i="13"/>
  <c r="V11" i="13" s="1"/>
  <c r="Z11" i="13" s="1"/>
  <c r="O11" i="13"/>
  <c r="S11" i="13" s="1"/>
  <c r="W11" i="13" s="1"/>
  <c r="P11" i="13"/>
  <c r="T11" i="13"/>
  <c r="X11" i="13" s="1"/>
  <c r="Q11" i="13"/>
  <c r="U11" i="13"/>
  <c r="Y11" i="13" s="1"/>
  <c r="R10" i="13"/>
  <c r="V10" i="13"/>
  <c r="Z10" i="13" s="1"/>
  <c r="O10" i="13"/>
  <c r="S10" i="13" s="1"/>
  <c r="W10" i="13" s="1"/>
  <c r="P10" i="13"/>
  <c r="T10" i="13" s="1"/>
  <c r="X10" i="13" s="1"/>
  <c r="Q10" i="13"/>
  <c r="U10" i="13" s="1"/>
  <c r="Y10" i="13" s="1"/>
  <c r="AL9" i="12"/>
  <c r="AK9" i="12"/>
  <c r="AJ9" i="12"/>
  <c r="AL8" i="12"/>
  <c r="AK8" i="12"/>
  <c r="AJ8" i="12"/>
  <c r="AL7" i="12"/>
  <c r="AK7" i="12"/>
  <c r="AJ7" i="12"/>
  <c r="AL6" i="12"/>
  <c r="AK6" i="12"/>
  <c r="AJ6" i="12"/>
  <c r="AL5" i="12"/>
  <c r="AK5" i="12"/>
  <c r="AJ5" i="12"/>
  <c r="AL4" i="12"/>
  <c r="AK4" i="12"/>
  <c r="AJ4" i="12"/>
  <c r="AI9" i="12"/>
  <c r="AI8" i="12"/>
  <c r="AI7" i="12"/>
  <c r="AI6" i="12"/>
  <c r="AI5" i="12"/>
  <c r="AI4" i="12"/>
  <c r="R31" i="12"/>
  <c r="V31" i="12" s="1"/>
  <c r="Z31" i="12" s="1"/>
  <c r="O31" i="12"/>
  <c r="S31" i="12" s="1"/>
  <c r="W31" i="12" s="1"/>
  <c r="P31" i="12"/>
  <c r="T31" i="12" s="1"/>
  <c r="X31" i="12" s="1"/>
  <c r="Q31" i="12"/>
  <c r="U31" i="12" s="1"/>
  <c r="Y31" i="12" s="1"/>
  <c r="R30" i="12"/>
  <c r="V30" i="12" s="1"/>
  <c r="Z30" i="12" s="1"/>
  <c r="O30" i="12"/>
  <c r="S30" i="12" s="1"/>
  <c r="W30" i="12" s="1"/>
  <c r="L64" i="12" s="1"/>
  <c r="P30" i="12"/>
  <c r="T30" i="12" s="1"/>
  <c r="X30" i="12" s="1"/>
  <c r="Q30" i="12"/>
  <c r="U30" i="12" s="1"/>
  <c r="Y30" i="12" s="1"/>
  <c r="R29" i="12"/>
  <c r="V29" i="12"/>
  <c r="Z29" i="12" s="1"/>
  <c r="O29" i="12"/>
  <c r="S29" i="12"/>
  <c r="W29" i="12" s="1"/>
  <c r="P29" i="12"/>
  <c r="T29" i="12"/>
  <c r="X29" i="12" s="1"/>
  <c r="Q29" i="12"/>
  <c r="U29" i="12" s="1"/>
  <c r="Y29" i="12" s="1"/>
  <c r="R28" i="12"/>
  <c r="V28" i="12" s="1"/>
  <c r="Z28" i="12" s="1"/>
  <c r="O28" i="12"/>
  <c r="S28" i="12" s="1"/>
  <c r="W28" i="12" s="1"/>
  <c r="P28" i="12"/>
  <c r="T28" i="12"/>
  <c r="X28" i="12" s="1"/>
  <c r="Q28" i="12"/>
  <c r="U28" i="12" s="1"/>
  <c r="Y28" i="12" s="1"/>
  <c r="R27" i="12"/>
  <c r="V27" i="12"/>
  <c r="Z27" i="12" s="1"/>
  <c r="O61" i="12" s="1"/>
  <c r="O27" i="12"/>
  <c r="S27" i="12" s="1"/>
  <c r="W27" i="12" s="1"/>
  <c r="P27" i="12"/>
  <c r="T27" i="12"/>
  <c r="X27" i="12" s="1"/>
  <c r="M61" i="12" s="1"/>
  <c r="Q27" i="12"/>
  <c r="U27" i="12" s="1"/>
  <c r="Y27" i="12" s="1"/>
  <c r="R26" i="12"/>
  <c r="V26" i="12"/>
  <c r="Z26" i="12" s="1"/>
  <c r="O26" i="12"/>
  <c r="S26" i="12" s="1"/>
  <c r="W26" i="12" s="1"/>
  <c r="P26" i="12"/>
  <c r="T26" i="12"/>
  <c r="X26" i="12" s="1"/>
  <c r="Q26" i="12"/>
  <c r="U26" i="12" s="1"/>
  <c r="Y26" i="12" s="1"/>
  <c r="R25" i="12"/>
  <c r="V25" i="12" s="1"/>
  <c r="Z25" i="12" s="1"/>
  <c r="AD25" i="12" s="1"/>
  <c r="O25" i="12"/>
  <c r="S25" i="12" s="1"/>
  <c r="W25" i="12" s="1"/>
  <c r="P25" i="12"/>
  <c r="T25" i="12" s="1"/>
  <c r="X25" i="12" s="1"/>
  <c r="Q25" i="12"/>
  <c r="U25" i="12"/>
  <c r="Y25" i="12" s="1"/>
  <c r="R24" i="12"/>
  <c r="V24" i="12" s="1"/>
  <c r="Z24" i="12" s="1"/>
  <c r="O24" i="12"/>
  <c r="S24" i="12"/>
  <c r="W24" i="12"/>
  <c r="AA24" i="12" s="1"/>
  <c r="P24" i="12"/>
  <c r="T24" i="12" s="1"/>
  <c r="X24" i="12" s="1"/>
  <c r="Q24" i="12"/>
  <c r="U24" i="12"/>
  <c r="Y24" i="12" s="1"/>
  <c r="AC24" i="12" s="1"/>
  <c r="R23" i="12"/>
  <c r="V23" i="12" s="1"/>
  <c r="Z23" i="12" s="1"/>
  <c r="O23" i="12"/>
  <c r="S23" i="12"/>
  <c r="W23" i="12" s="1"/>
  <c r="P23" i="12"/>
  <c r="T23" i="12" s="1"/>
  <c r="X23" i="12" s="1"/>
  <c r="Q23" i="12"/>
  <c r="U23" i="12"/>
  <c r="Y23" i="12" s="1"/>
  <c r="R22" i="12"/>
  <c r="V22" i="12" s="1"/>
  <c r="Z22" i="12" s="1"/>
  <c r="O22" i="12"/>
  <c r="S22" i="12" s="1"/>
  <c r="W22" i="12" s="1"/>
  <c r="L56" i="12" s="1"/>
  <c r="P22" i="12"/>
  <c r="T22" i="12" s="1"/>
  <c r="X22" i="12" s="1"/>
  <c r="Q22" i="12"/>
  <c r="U22" i="12" s="1"/>
  <c r="Y22" i="12" s="1"/>
  <c r="R21" i="12"/>
  <c r="V21" i="12"/>
  <c r="Z21" i="12" s="1"/>
  <c r="O21" i="12"/>
  <c r="S21" i="12" s="1"/>
  <c r="W21" i="12" s="1"/>
  <c r="P21" i="12"/>
  <c r="T21" i="12"/>
  <c r="X21" i="12" s="1"/>
  <c r="Q21" i="12"/>
  <c r="U21" i="12" s="1"/>
  <c r="Y21" i="12" s="1"/>
  <c r="R20" i="12"/>
  <c r="V20" i="12" s="1"/>
  <c r="Z20" i="12" s="1"/>
  <c r="O20" i="12"/>
  <c r="S20" i="12" s="1"/>
  <c r="W20" i="12" s="1"/>
  <c r="P20" i="12"/>
  <c r="T20" i="12" s="1"/>
  <c r="X20" i="12" s="1"/>
  <c r="Q20" i="12"/>
  <c r="U20" i="12"/>
  <c r="Y20" i="12" s="1"/>
  <c r="R11" i="12"/>
  <c r="V11" i="12"/>
  <c r="Z11" i="12" s="1"/>
  <c r="O11" i="12"/>
  <c r="S11" i="12" s="1"/>
  <c r="W11" i="12" s="1"/>
  <c r="P11" i="12"/>
  <c r="T11" i="12"/>
  <c r="X11" i="12" s="1"/>
  <c r="M45" i="12" s="1"/>
  <c r="Q11" i="12"/>
  <c r="U11" i="12" s="1"/>
  <c r="Y11" i="12" s="1"/>
  <c r="R10" i="12"/>
  <c r="V10" i="12" s="1"/>
  <c r="Z10" i="12" s="1"/>
  <c r="O10" i="12"/>
  <c r="S10" i="12" s="1"/>
  <c r="W10" i="12" s="1"/>
  <c r="P10" i="12"/>
  <c r="T10" i="12" s="1"/>
  <c r="X10" i="12" s="1"/>
  <c r="Q10" i="12"/>
  <c r="U10" i="12" s="1"/>
  <c r="Y10" i="12" s="1"/>
  <c r="AL9" i="11"/>
  <c r="AK9" i="11"/>
  <c r="AJ9" i="11"/>
  <c r="AL8" i="11"/>
  <c r="AK8" i="11"/>
  <c r="AJ8" i="11"/>
  <c r="AL7" i="11"/>
  <c r="AK7" i="11"/>
  <c r="AJ7" i="11"/>
  <c r="AL6" i="11"/>
  <c r="AK6" i="11"/>
  <c r="AJ6" i="11"/>
  <c r="AL5" i="11"/>
  <c r="AK5" i="11"/>
  <c r="AJ5" i="11"/>
  <c r="AL4" i="11"/>
  <c r="AK4" i="11"/>
  <c r="AJ4" i="11"/>
  <c r="AI9" i="11"/>
  <c r="AI8" i="11"/>
  <c r="AI7" i="11"/>
  <c r="AI6" i="11"/>
  <c r="AI5" i="11"/>
  <c r="AI4" i="11"/>
  <c r="R31" i="11"/>
  <c r="V31" i="11" s="1"/>
  <c r="Z31" i="11" s="1"/>
  <c r="O65" i="11" s="1"/>
  <c r="O31" i="11"/>
  <c r="S31" i="11" s="1"/>
  <c r="W31" i="11" s="1"/>
  <c r="P31" i="11"/>
  <c r="T31" i="11" s="1"/>
  <c r="X31" i="11" s="1"/>
  <c r="AB31" i="11" s="1"/>
  <c r="Q31" i="11"/>
  <c r="U31" i="11"/>
  <c r="Y31" i="11" s="1"/>
  <c r="R30" i="11"/>
  <c r="V30" i="11" s="1"/>
  <c r="Z30" i="11" s="1"/>
  <c r="AD30" i="11"/>
  <c r="O30" i="11"/>
  <c r="S30" i="11" s="1"/>
  <c r="W30" i="11" s="1"/>
  <c r="AA30" i="11"/>
  <c r="P30" i="11"/>
  <c r="T30" i="11" s="1"/>
  <c r="X30" i="11" s="1"/>
  <c r="Q30" i="11"/>
  <c r="U30" i="11" s="1"/>
  <c r="Y30" i="11" s="1"/>
  <c r="AC30" i="11" s="1"/>
  <c r="R29" i="11"/>
  <c r="V29" i="11" s="1"/>
  <c r="Z29" i="11" s="1"/>
  <c r="O63" i="11" s="1"/>
  <c r="O29" i="11"/>
  <c r="S29" i="11"/>
  <c r="W29" i="11" s="1"/>
  <c r="P29" i="11"/>
  <c r="T29" i="11" s="1"/>
  <c r="X29" i="11" s="1"/>
  <c r="Q29" i="11"/>
  <c r="U29" i="11" s="1"/>
  <c r="Y29" i="11" s="1"/>
  <c r="N63" i="11" s="1"/>
  <c r="AC29" i="11"/>
  <c r="R28" i="11"/>
  <c r="V28" i="11" s="1"/>
  <c r="Z28" i="11" s="1"/>
  <c r="O28" i="11"/>
  <c r="S28" i="11" s="1"/>
  <c r="W28" i="11" s="1"/>
  <c r="L62" i="11" s="1"/>
  <c r="AA28" i="11"/>
  <c r="P28" i="11"/>
  <c r="T28" i="11" s="1"/>
  <c r="X28" i="11" s="1"/>
  <c r="Q28" i="11"/>
  <c r="U28" i="11" s="1"/>
  <c r="Y28" i="11" s="1"/>
  <c r="N62" i="11" s="1"/>
  <c r="R27" i="11"/>
  <c r="V27" i="11" s="1"/>
  <c r="Z27" i="11" s="1"/>
  <c r="O27" i="11"/>
  <c r="S27" i="11" s="1"/>
  <c r="W27" i="11" s="1"/>
  <c r="L61" i="11" s="1"/>
  <c r="P27" i="11"/>
  <c r="T27" i="11" s="1"/>
  <c r="X27" i="11" s="1"/>
  <c r="M61" i="11" s="1"/>
  <c r="Q27" i="11"/>
  <c r="U27" i="11" s="1"/>
  <c r="Y27" i="11" s="1"/>
  <c r="R26" i="11"/>
  <c r="V26" i="11" s="1"/>
  <c r="Z26" i="11" s="1"/>
  <c r="O26" i="11"/>
  <c r="S26" i="11" s="1"/>
  <c r="W26" i="11" s="1"/>
  <c r="AA26" i="11" s="1"/>
  <c r="P26" i="11"/>
  <c r="T26" i="11"/>
  <c r="X26" i="11" s="1"/>
  <c r="Q26" i="11"/>
  <c r="U26" i="11" s="1"/>
  <c r="Y26" i="11" s="1"/>
  <c r="R25" i="11"/>
  <c r="V25" i="11" s="1"/>
  <c r="Z25" i="11" s="1"/>
  <c r="AD25" i="11" s="1"/>
  <c r="O25" i="11"/>
  <c r="S25" i="11" s="1"/>
  <c r="W25" i="11" s="1"/>
  <c r="P25" i="11"/>
  <c r="T25" i="11" s="1"/>
  <c r="X25" i="11" s="1"/>
  <c r="AB25" i="11" s="1"/>
  <c r="Q25" i="11"/>
  <c r="U25" i="11"/>
  <c r="Y25" i="11" s="1"/>
  <c r="R24" i="11"/>
  <c r="V24" i="11"/>
  <c r="Z24" i="11"/>
  <c r="O58" i="11" s="1"/>
  <c r="O24" i="11"/>
  <c r="S24" i="11" s="1"/>
  <c r="W24" i="11" s="1"/>
  <c r="P24" i="11"/>
  <c r="T24" i="11" s="1"/>
  <c r="X24" i="11" s="1"/>
  <c r="AB24" i="11" s="1"/>
  <c r="Q24" i="11"/>
  <c r="U24" i="11" s="1"/>
  <c r="Y24" i="11" s="1"/>
  <c r="AC24" i="11"/>
  <c r="R23" i="11"/>
  <c r="V23" i="11" s="1"/>
  <c r="Z23" i="11" s="1"/>
  <c r="O57" i="11" s="1"/>
  <c r="AD23" i="11"/>
  <c r="O23" i="11"/>
  <c r="S23" i="11" s="1"/>
  <c r="W23" i="11" s="1"/>
  <c r="P23" i="11"/>
  <c r="T23" i="11" s="1"/>
  <c r="X23" i="11" s="1"/>
  <c r="AB23" i="11" s="1"/>
  <c r="Q23" i="11"/>
  <c r="U23" i="11"/>
  <c r="Y23" i="11" s="1"/>
  <c r="N57" i="11" s="1"/>
  <c r="R22" i="11"/>
  <c r="V22" i="11" s="1"/>
  <c r="Z22" i="11" s="1"/>
  <c r="O56" i="11" s="1"/>
  <c r="O22" i="11"/>
  <c r="S22" i="11" s="1"/>
  <c r="W22" i="11" s="1"/>
  <c r="AA22" i="11" s="1"/>
  <c r="P22" i="11"/>
  <c r="T22" i="11" s="1"/>
  <c r="X22" i="11" s="1"/>
  <c r="Q22" i="11"/>
  <c r="U22" i="11" s="1"/>
  <c r="Y22" i="11" s="1"/>
  <c r="AC22" i="11" s="1"/>
  <c r="R21" i="11"/>
  <c r="V21" i="11" s="1"/>
  <c r="Z21" i="11" s="1"/>
  <c r="O21" i="11"/>
  <c r="S21" i="11" s="1"/>
  <c r="W21" i="11" s="1"/>
  <c r="P21" i="11"/>
  <c r="T21" i="11" s="1"/>
  <c r="X21" i="11" s="1"/>
  <c r="Q21" i="11"/>
  <c r="U21" i="11" s="1"/>
  <c r="Y21" i="11" s="1"/>
  <c r="R20" i="11"/>
  <c r="V20" i="11" s="1"/>
  <c r="Z20" i="11" s="1"/>
  <c r="O20" i="11"/>
  <c r="S20" i="11" s="1"/>
  <c r="W20" i="11" s="1"/>
  <c r="P20" i="11"/>
  <c r="T20" i="11" s="1"/>
  <c r="X20" i="11" s="1"/>
  <c r="M54" i="11" s="1"/>
  <c r="Q20" i="11"/>
  <c r="U20" i="11" s="1"/>
  <c r="Y20" i="11" s="1"/>
  <c r="R11" i="11"/>
  <c r="V11" i="11"/>
  <c r="Z11" i="11" s="1"/>
  <c r="O11" i="11"/>
  <c r="S11" i="11" s="1"/>
  <c r="W11" i="11" s="1"/>
  <c r="P11" i="11"/>
  <c r="T11" i="11"/>
  <c r="X11" i="11" s="1"/>
  <c r="M45" i="11" s="1"/>
  <c r="Q11" i="11"/>
  <c r="U11" i="11" s="1"/>
  <c r="Y11" i="11" s="1"/>
  <c r="R10" i="11"/>
  <c r="V10" i="11" s="1"/>
  <c r="Z10" i="11" s="1"/>
  <c r="O10" i="11"/>
  <c r="S10" i="11" s="1"/>
  <c r="W10" i="11" s="1"/>
  <c r="P10" i="11"/>
  <c r="T10" i="11" s="1"/>
  <c r="X10" i="11" s="1"/>
  <c r="M44" i="11" s="1"/>
  <c r="Q10" i="11"/>
  <c r="U10" i="11" s="1"/>
  <c r="Y10" i="11" s="1"/>
  <c r="AL9" i="10"/>
  <c r="AK9" i="10"/>
  <c r="AJ9" i="10"/>
  <c r="AL8" i="10"/>
  <c r="AK8" i="10"/>
  <c r="AJ8" i="10"/>
  <c r="AL7" i="10"/>
  <c r="AK7" i="10"/>
  <c r="AJ7" i="10"/>
  <c r="AL6" i="10"/>
  <c r="AK6" i="10"/>
  <c r="AJ6" i="10"/>
  <c r="AL5" i="10"/>
  <c r="AK5" i="10"/>
  <c r="AJ5" i="10"/>
  <c r="AL4" i="10"/>
  <c r="AK4" i="10"/>
  <c r="AJ4" i="10"/>
  <c r="AI9" i="10"/>
  <c r="AI8" i="10"/>
  <c r="AI7" i="10"/>
  <c r="AI6" i="10"/>
  <c r="AI5" i="10"/>
  <c r="AI4" i="10"/>
  <c r="R31" i="10"/>
  <c r="V31" i="10"/>
  <c r="Z31" i="10" s="1"/>
  <c r="O31" i="10"/>
  <c r="S31" i="10" s="1"/>
  <c r="W31" i="10" s="1"/>
  <c r="P31" i="10"/>
  <c r="T31" i="10" s="1"/>
  <c r="X31" i="10" s="1"/>
  <c r="Q31" i="10"/>
  <c r="U31" i="10" s="1"/>
  <c r="Y31" i="10" s="1"/>
  <c r="R30" i="10"/>
  <c r="V30" i="10" s="1"/>
  <c r="Z30" i="10" s="1"/>
  <c r="O64" i="10" s="1"/>
  <c r="O30" i="10"/>
  <c r="S30" i="10" s="1"/>
  <c r="W30" i="10" s="1"/>
  <c r="P30" i="10"/>
  <c r="T30" i="10" s="1"/>
  <c r="X30" i="10" s="1"/>
  <c r="Q30" i="10"/>
  <c r="U30" i="10"/>
  <c r="Y30" i="10" s="1"/>
  <c r="R29" i="10"/>
  <c r="V29" i="10" s="1"/>
  <c r="Z29" i="10" s="1"/>
  <c r="O29" i="10"/>
  <c r="S29" i="10" s="1"/>
  <c r="W29" i="10" s="1"/>
  <c r="P29" i="10"/>
  <c r="T29" i="10" s="1"/>
  <c r="X29" i="10" s="1"/>
  <c r="Q29" i="10"/>
  <c r="U29" i="10"/>
  <c r="Y29" i="10" s="1"/>
  <c r="R28" i="10"/>
  <c r="V28" i="10" s="1"/>
  <c r="Z28" i="10" s="1"/>
  <c r="O62" i="10" s="1"/>
  <c r="O28" i="10"/>
  <c r="S28" i="10" s="1"/>
  <c r="W28" i="10" s="1"/>
  <c r="P28" i="10"/>
  <c r="T28" i="10"/>
  <c r="X28" i="10"/>
  <c r="AB28" i="10" s="1"/>
  <c r="Q28" i="10"/>
  <c r="U28" i="10"/>
  <c r="Y28" i="10" s="1"/>
  <c r="R27" i="10"/>
  <c r="V27" i="10" s="1"/>
  <c r="Z27" i="10" s="1"/>
  <c r="O27" i="10"/>
  <c r="S27" i="10"/>
  <c r="W27" i="10"/>
  <c r="L61" i="10" s="1"/>
  <c r="P27" i="10"/>
  <c r="T27" i="10"/>
  <c r="X27" i="10" s="1"/>
  <c r="Q27" i="10"/>
  <c r="U27" i="10"/>
  <c r="Y27" i="10" s="1"/>
  <c r="R26" i="10"/>
  <c r="V26" i="10" s="1"/>
  <c r="Z26" i="10" s="1"/>
  <c r="O26" i="10"/>
  <c r="S26" i="10" s="1"/>
  <c r="W26" i="10" s="1"/>
  <c r="P26" i="10"/>
  <c r="T26" i="10" s="1"/>
  <c r="X26" i="10" s="1"/>
  <c r="M60" i="10" s="1"/>
  <c r="Q26" i="10"/>
  <c r="U26" i="10" s="1"/>
  <c r="Y26" i="10" s="1"/>
  <c r="R25" i="10"/>
  <c r="V25" i="10"/>
  <c r="Z25" i="10" s="1"/>
  <c r="O25" i="10"/>
  <c r="S25" i="10" s="1"/>
  <c r="W25" i="10" s="1"/>
  <c r="P25" i="10"/>
  <c r="T25" i="10"/>
  <c r="X25" i="10" s="1"/>
  <c r="Q25" i="10"/>
  <c r="U25" i="10" s="1"/>
  <c r="Y25" i="10" s="1"/>
  <c r="R24" i="10"/>
  <c r="V24" i="10" s="1"/>
  <c r="Z24" i="10" s="1"/>
  <c r="O24" i="10"/>
  <c r="S24" i="10" s="1"/>
  <c r="W24" i="10" s="1"/>
  <c r="P24" i="10"/>
  <c r="T24" i="10" s="1"/>
  <c r="X24" i="10" s="1"/>
  <c r="Q24" i="10"/>
  <c r="U24" i="10"/>
  <c r="Y24" i="10" s="1"/>
  <c r="R23" i="10"/>
  <c r="V23" i="10" s="1"/>
  <c r="Z23" i="10" s="1"/>
  <c r="O23" i="10"/>
  <c r="S23" i="10" s="1"/>
  <c r="W23" i="10"/>
  <c r="L57" i="10" s="1"/>
  <c r="P23" i="10"/>
  <c r="T23" i="10" s="1"/>
  <c r="X23" i="10" s="1"/>
  <c r="Q23" i="10"/>
  <c r="U23" i="10" s="1"/>
  <c r="Y23" i="10"/>
  <c r="N57" i="10" s="1"/>
  <c r="R22" i="10"/>
  <c r="V22" i="10" s="1"/>
  <c r="Z22" i="10"/>
  <c r="O22" i="10"/>
  <c r="S22" i="10" s="1"/>
  <c r="W22" i="10" s="1"/>
  <c r="P22" i="10"/>
  <c r="T22" i="10" s="1"/>
  <c r="X22" i="10"/>
  <c r="AB22" i="10" s="1"/>
  <c r="Q22" i="10"/>
  <c r="U22" i="10" s="1"/>
  <c r="Y22" i="10"/>
  <c r="R21" i="10"/>
  <c r="V21" i="10"/>
  <c r="Z21" i="10" s="1"/>
  <c r="O21" i="10"/>
  <c r="S21" i="10" s="1"/>
  <c r="W21" i="10" s="1"/>
  <c r="AA21" i="10" s="1"/>
  <c r="P21" i="10"/>
  <c r="T21" i="10"/>
  <c r="X21" i="10" s="1"/>
  <c r="Q21" i="10"/>
  <c r="U21" i="10" s="1"/>
  <c r="Y21" i="10" s="1"/>
  <c r="R20" i="10"/>
  <c r="V20" i="10" s="1"/>
  <c r="Z20" i="10" s="1"/>
  <c r="O54" i="10" s="1"/>
  <c r="O20" i="10"/>
  <c r="S20" i="10" s="1"/>
  <c r="W20" i="10" s="1"/>
  <c r="P20" i="10"/>
  <c r="T20" i="10" s="1"/>
  <c r="X20" i="10" s="1"/>
  <c r="Q20" i="10"/>
  <c r="U20" i="10" s="1"/>
  <c r="Y20" i="10" s="1"/>
  <c r="R11" i="10"/>
  <c r="V11" i="10" s="1"/>
  <c r="Z11" i="10" s="1"/>
  <c r="O11" i="10"/>
  <c r="S11" i="10" s="1"/>
  <c r="W11" i="10"/>
  <c r="AA11" i="10" s="1"/>
  <c r="P11" i="10"/>
  <c r="T11" i="10" s="1"/>
  <c r="X11" i="10"/>
  <c r="Q11" i="10"/>
  <c r="U11" i="10" s="1"/>
  <c r="Y11" i="10" s="1"/>
  <c r="AC11" i="10" s="1"/>
  <c r="R10" i="10"/>
  <c r="V10" i="10" s="1"/>
  <c r="Z10" i="10" s="1"/>
  <c r="O10" i="10"/>
  <c r="S10" i="10" s="1"/>
  <c r="W10" i="10" s="1"/>
  <c r="P10" i="10"/>
  <c r="T10" i="10" s="1"/>
  <c r="X10" i="10" s="1"/>
  <c r="Q10" i="10"/>
  <c r="U10" i="10" s="1"/>
  <c r="Y10" i="10" s="1"/>
  <c r="H22" i="18"/>
  <c r="H21" i="18"/>
  <c r="AL9" i="9"/>
  <c r="AK9" i="9"/>
  <c r="AJ9" i="9"/>
  <c r="AL8" i="9"/>
  <c r="AK8" i="9"/>
  <c r="AJ8" i="9"/>
  <c r="AL7" i="9"/>
  <c r="AK7" i="9"/>
  <c r="AJ7" i="9"/>
  <c r="AL6" i="9"/>
  <c r="AK6" i="9"/>
  <c r="AJ6" i="9"/>
  <c r="AL5" i="9"/>
  <c r="AK5" i="9"/>
  <c r="AJ5" i="9"/>
  <c r="AL4" i="9"/>
  <c r="AK4" i="9"/>
  <c r="AJ4" i="9"/>
  <c r="AI9" i="9"/>
  <c r="AI8" i="9"/>
  <c r="AI7" i="9"/>
  <c r="AI6" i="9"/>
  <c r="AI5" i="9"/>
  <c r="AI4" i="9"/>
  <c r="AL9" i="7"/>
  <c r="AK9" i="7"/>
  <c r="AJ9" i="7"/>
  <c r="AL8" i="7"/>
  <c r="AK8" i="7"/>
  <c r="AJ8" i="7"/>
  <c r="AL7" i="7"/>
  <c r="AK7" i="7"/>
  <c r="AJ7" i="7"/>
  <c r="AL6" i="7"/>
  <c r="AK6" i="7"/>
  <c r="AJ6" i="7"/>
  <c r="AL5" i="7"/>
  <c r="AK5" i="7"/>
  <c r="AJ5" i="7"/>
  <c r="AL4" i="7"/>
  <c r="AK4" i="7"/>
  <c r="AJ4" i="7"/>
  <c r="AI9" i="7"/>
  <c r="AI8" i="7"/>
  <c r="AI7" i="7"/>
  <c r="AI6" i="7"/>
  <c r="AI5" i="7"/>
  <c r="AI4" i="7"/>
  <c r="AU9" i="8"/>
  <c r="AT9" i="8"/>
  <c r="AS9" i="8"/>
  <c r="AR9" i="8"/>
  <c r="AU8" i="8"/>
  <c r="AT8" i="8"/>
  <c r="AS8" i="8"/>
  <c r="AR8" i="8"/>
  <c r="AU7" i="8"/>
  <c r="AT7" i="8"/>
  <c r="AS7" i="8"/>
  <c r="AR7" i="8"/>
  <c r="AU6" i="8"/>
  <c r="AT6" i="8"/>
  <c r="AS6" i="8"/>
  <c r="AR6" i="8"/>
  <c r="AU5" i="8"/>
  <c r="AT5" i="8"/>
  <c r="AS5" i="8"/>
  <c r="AR5" i="8"/>
  <c r="AU4" i="8"/>
  <c r="AT4" i="8"/>
  <c r="AS4" i="8"/>
  <c r="AR4" i="8"/>
  <c r="AQ9" i="8"/>
  <c r="AQ8" i="8"/>
  <c r="AQ7" i="8"/>
  <c r="AQ6" i="8"/>
  <c r="AQ5" i="8"/>
  <c r="AQ4" i="8"/>
  <c r="AL9" i="6"/>
  <c r="AK9" i="6"/>
  <c r="AJ9" i="6"/>
  <c r="AL8" i="6"/>
  <c r="AK8" i="6"/>
  <c r="AJ8" i="6"/>
  <c r="AL7" i="6"/>
  <c r="AK7" i="6"/>
  <c r="AJ7" i="6"/>
  <c r="AI9" i="6"/>
  <c r="AI8" i="6"/>
  <c r="AI7" i="6"/>
  <c r="AL9" i="5"/>
  <c r="AK9" i="5"/>
  <c r="AJ9" i="5"/>
  <c r="AL8" i="5"/>
  <c r="AK8" i="5"/>
  <c r="AJ8" i="5"/>
  <c r="AL7" i="5"/>
  <c r="AK7" i="5"/>
  <c r="AJ7" i="5"/>
  <c r="AL6" i="5"/>
  <c r="AK6" i="5"/>
  <c r="AJ6" i="5"/>
  <c r="AL5" i="5"/>
  <c r="AK5" i="5"/>
  <c r="AJ5" i="5"/>
  <c r="AL4" i="5"/>
  <c r="AK4" i="5"/>
  <c r="AJ4" i="5"/>
  <c r="AI9" i="5"/>
  <c r="AI8" i="5"/>
  <c r="AI7" i="5"/>
  <c r="AI6" i="5"/>
  <c r="AI5" i="5"/>
  <c r="AI4" i="5"/>
  <c r="AL9" i="4"/>
  <c r="AK9" i="4"/>
  <c r="AJ9" i="4"/>
  <c r="AL8" i="4"/>
  <c r="AK8" i="4"/>
  <c r="AJ8" i="4"/>
  <c r="AL7" i="4"/>
  <c r="AK7" i="4"/>
  <c r="AJ7" i="4"/>
  <c r="AL6" i="4"/>
  <c r="AK6" i="4"/>
  <c r="AJ6" i="4"/>
  <c r="AL5" i="4"/>
  <c r="AK5" i="4"/>
  <c r="AJ5" i="4"/>
  <c r="AL4" i="4"/>
  <c r="AK4" i="4"/>
  <c r="AJ4" i="4"/>
  <c r="AI9" i="4"/>
  <c r="AI8" i="4"/>
  <c r="AI7" i="4"/>
  <c r="AI6" i="4"/>
  <c r="AI5" i="4"/>
  <c r="AI4" i="4"/>
  <c r="AL9" i="3"/>
  <c r="AK9" i="3"/>
  <c r="AJ9" i="3"/>
  <c r="AL8" i="3"/>
  <c r="AK8" i="3"/>
  <c r="AJ8" i="3"/>
  <c r="AL7" i="3"/>
  <c r="AK7" i="3"/>
  <c r="AJ7" i="3"/>
  <c r="AL6" i="3"/>
  <c r="AK6" i="3"/>
  <c r="AJ6" i="3"/>
  <c r="AL5" i="3"/>
  <c r="AK5" i="3"/>
  <c r="AJ5" i="3"/>
  <c r="AL4" i="3"/>
  <c r="AK4" i="3"/>
  <c r="AJ4" i="3"/>
  <c r="AI9" i="3"/>
  <c r="AI8" i="3"/>
  <c r="AI7" i="3"/>
  <c r="AI6" i="3"/>
  <c r="AI5" i="3"/>
  <c r="AI4" i="3"/>
  <c r="AL9" i="2"/>
  <c r="AM5" i="1"/>
  <c r="AL5" i="1"/>
  <c r="AK5" i="1"/>
  <c r="AJ5" i="1"/>
  <c r="AL8" i="2"/>
  <c r="AL7" i="2"/>
  <c r="AL6" i="2"/>
  <c r="AL5" i="2"/>
  <c r="AL4" i="2"/>
  <c r="AK9" i="2"/>
  <c r="AK8" i="2"/>
  <c r="AK7" i="2"/>
  <c r="AK6" i="2"/>
  <c r="AK5" i="2"/>
  <c r="AK4" i="2"/>
  <c r="AJ9" i="2"/>
  <c r="AJ8" i="2"/>
  <c r="AJ7" i="2"/>
  <c r="AJ6" i="2"/>
  <c r="AJ5" i="2"/>
  <c r="AJ4" i="2"/>
  <c r="AI9" i="2"/>
  <c r="AI8" i="2"/>
  <c r="AI7" i="2"/>
  <c r="AI6" i="2"/>
  <c r="AI4" i="2"/>
  <c r="AI5" i="2"/>
  <c r="P4" i="1"/>
  <c r="T4" i="1" s="1"/>
  <c r="X4" i="1" s="1"/>
  <c r="Q4" i="1"/>
  <c r="AE4" i="1"/>
  <c r="G3" i="18"/>
  <c r="H3" i="18" s="1"/>
  <c r="R31" i="9"/>
  <c r="V31" i="9" s="1"/>
  <c r="Z31" i="9" s="1"/>
  <c r="AD31" i="9" s="1"/>
  <c r="O31" i="9"/>
  <c r="S31" i="9" s="1"/>
  <c r="W31" i="9" s="1"/>
  <c r="P31" i="9"/>
  <c r="T31" i="9"/>
  <c r="X31" i="9" s="1"/>
  <c r="Q31" i="9"/>
  <c r="U31" i="9" s="1"/>
  <c r="Y31" i="9" s="1"/>
  <c r="R30" i="9"/>
  <c r="V30" i="9"/>
  <c r="Z30" i="9" s="1"/>
  <c r="O30" i="9"/>
  <c r="S30" i="9"/>
  <c r="W30" i="9" s="1"/>
  <c r="AA30" i="9" s="1"/>
  <c r="P30" i="9"/>
  <c r="T30" i="9"/>
  <c r="X30" i="9" s="1"/>
  <c r="Q30" i="9"/>
  <c r="U30" i="9"/>
  <c r="Y30" i="9" s="1"/>
  <c r="AC30" i="9" s="1"/>
  <c r="R29" i="9"/>
  <c r="V29" i="9" s="1"/>
  <c r="Z29" i="9" s="1"/>
  <c r="O29" i="9"/>
  <c r="S29" i="9" s="1"/>
  <c r="W29" i="9" s="1"/>
  <c r="P29" i="9"/>
  <c r="T29" i="9" s="1"/>
  <c r="X29" i="9" s="1"/>
  <c r="AB29" i="9" s="1"/>
  <c r="Q29" i="9"/>
  <c r="U29" i="9"/>
  <c r="Y29" i="9" s="1"/>
  <c r="R28" i="9"/>
  <c r="V28" i="9"/>
  <c r="Z28" i="9" s="1"/>
  <c r="O28" i="9"/>
  <c r="S28" i="9"/>
  <c r="W28" i="9" s="1"/>
  <c r="AA28" i="9" s="1"/>
  <c r="P28" i="9"/>
  <c r="T28" i="9" s="1"/>
  <c r="X28" i="9" s="1"/>
  <c r="Q28" i="9"/>
  <c r="U28" i="9" s="1"/>
  <c r="Y28" i="9" s="1"/>
  <c r="R27" i="9"/>
  <c r="V27" i="9" s="1"/>
  <c r="Z27" i="9" s="1"/>
  <c r="O27" i="9"/>
  <c r="S27" i="9"/>
  <c r="W27" i="9" s="1"/>
  <c r="P27" i="9"/>
  <c r="T27" i="9"/>
  <c r="X27" i="9" s="1"/>
  <c r="Q27" i="9"/>
  <c r="U27" i="9"/>
  <c r="Y27" i="9" s="1"/>
  <c r="R26" i="9"/>
  <c r="V26" i="9" s="1"/>
  <c r="Z26" i="9" s="1"/>
  <c r="O26" i="9"/>
  <c r="S26" i="9" s="1"/>
  <c r="W26" i="9" s="1"/>
  <c r="P26" i="9"/>
  <c r="T26" i="9" s="1"/>
  <c r="X26" i="9" s="1"/>
  <c r="Q26" i="9"/>
  <c r="U26" i="9" s="1"/>
  <c r="Y26" i="9" s="1"/>
  <c r="R25" i="9"/>
  <c r="V25" i="9" s="1"/>
  <c r="Z25" i="9" s="1"/>
  <c r="AD25" i="9" s="1"/>
  <c r="O25" i="9"/>
  <c r="S25" i="9" s="1"/>
  <c r="W25" i="9" s="1"/>
  <c r="P25" i="9"/>
  <c r="T25" i="9" s="1"/>
  <c r="X25" i="9" s="1"/>
  <c r="Q25" i="9"/>
  <c r="U25" i="9" s="1"/>
  <c r="Y25" i="9" s="1"/>
  <c r="R24" i="9"/>
  <c r="V24" i="9" s="1"/>
  <c r="Z24" i="9" s="1"/>
  <c r="O24" i="9"/>
  <c r="S24" i="9" s="1"/>
  <c r="W24" i="9" s="1"/>
  <c r="P24" i="9"/>
  <c r="T24" i="9"/>
  <c r="X24" i="9" s="1"/>
  <c r="Q24" i="9"/>
  <c r="U24" i="9"/>
  <c r="Y24" i="9" s="1"/>
  <c r="R23" i="9"/>
  <c r="V23" i="9"/>
  <c r="Z23" i="9" s="1"/>
  <c r="O57" i="9" s="1"/>
  <c r="O23" i="9"/>
  <c r="S23" i="9" s="1"/>
  <c r="W23" i="9" s="1"/>
  <c r="P23" i="9"/>
  <c r="T23" i="9" s="1"/>
  <c r="X23" i="9" s="1"/>
  <c r="Q23" i="9"/>
  <c r="U23" i="9" s="1"/>
  <c r="Y23" i="9" s="1"/>
  <c r="R22" i="9"/>
  <c r="V22" i="9" s="1"/>
  <c r="Z22" i="9" s="1"/>
  <c r="O22" i="9"/>
  <c r="S22" i="9" s="1"/>
  <c r="W22" i="9" s="1"/>
  <c r="P22" i="9"/>
  <c r="T22" i="9" s="1"/>
  <c r="X22" i="9" s="1"/>
  <c r="Q22" i="9"/>
  <c r="U22" i="9" s="1"/>
  <c r="Y22" i="9" s="1"/>
  <c r="R21" i="9"/>
  <c r="V21" i="9" s="1"/>
  <c r="Z21" i="9" s="1"/>
  <c r="O21" i="9"/>
  <c r="S21" i="9"/>
  <c r="W21" i="9" s="1"/>
  <c r="P21" i="9"/>
  <c r="T21" i="9" s="1"/>
  <c r="X21" i="9" s="1"/>
  <c r="Q21" i="9"/>
  <c r="U21" i="9" s="1"/>
  <c r="Y21" i="9" s="1"/>
  <c r="R20" i="9"/>
  <c r="V20" i="9" s="1"/>
  <c r="Z20" i="9" s="1"/>
  <c r="O20" i="9"/>
  <c r="S20" i="9" s="1"/>
  <c r="W20" i="9" s="1"/>
  <c r="P20" i="9"/>
  <c r="T20" i="9"/>
  <c r="X20" i="9" s="1"/>
  <c r="Q20" i="9"/>
  <c r="U20" i="9"/>
  <c r="Y20" i="9" s="1"/>
  <c r="R11" i="9"/>
  <c r="V11" i="9"/>
  <c r="Z11" i="9" s="1"/>
  <c r="AD11" i="9" s="1"/>
  <c r="O11" i="9"/>
  <c r="S11" i="9" s="1"/>
  <c r="W11" i="9" s="1"/>
  <c r="P11" i="9"/>
  <c r="T11" i="9" s="1"/>
  <c r="X11" i="9" s="1"/>
  <c r="Q11" i="9"/>
  <c r="U11" i="9" s="1"/>
  <c r="Y11" i="9" s="1"/>
  <c r="R10" i="9"/>
  <c r="V10" i="9" s="1"/>
  <c r="Z10" i="9" s="1"/>
  <c r="O10" i="9"/>
  <c r="S10" i="9"/>
  <c r="W10" i="9" s="1"/>
  <c r="P10" i="9"/>
  <c r="T10" i="9"/>
  <c r="X10" i="9" s="1"/>
  <c r="Q10" i="9"/>
  <c r="U10" i="9" s="1"/>
  <c r="Y10" i="9" s="1"/>
  <c r="R31" i="7"/>
  <c r="V31" i="7" s="1"/>
  <c r="Z31" i="7" s="1"/>
  <c r="O65" i="7" s="1"/>
  <c r="O31" i="7"/>
  <c r="S31" i="7"/>
  <c r="W31" i="7" s="1"/>
  <c r="P31" i="7"/>
  <c r="T31" i="7" s="1"/>
  <c r="X31" i="7" s="1"/>
  <c r="Q31" i="7"/>
  <c r="U31" i="7" s="1"/>
  <c r="Y31" i="7" s="1"/>
  <c r="R30" i="7"/>
  <c r="V30" i="7" s="1"/>
  <c r="Z30" i="7"/>
  <c r="O30" i="7"/>
  <c r="S30" i="7" s="1"/>
  <c r="W30" i="7" s="1"/>
  <c r="AA30" i="7" s="1"/>
  <c r="P30" i="7"/>
  <c r="T30" i="7" s="1"/>
  <c r="X30" i="7" s="1"/>
  <c r="Q30" i="7"/>
  <c r="U30" i="7" s="1"/>
  <c r="Y30" i="7" s="1"/>
  <c r="AC30" i="7" s="1"/>
  <c r="R29" i="7"/>
  <c r="V29" i="7" s="1"/>
  <c r="Z29" i="7" s="1"/>
  <c r="O29" i="7"/>
  <c r="S29" i="7" s="1"/>
  <c r="W29" i="7" s="1"/>
  <c r="P29" i="7"/>
  <c r="T29" i="7" s="1"/>
  <c r="X29" i="7" s="1"/>
  <c r="M63" i="7" s="1"/>
  <c r="Q29" i="7"/>
  <c r="U29" i="7" s="1"/>
  <c r="Y29" i="7" s="1"/>
  <c r="R28" i="7"/>
  <c r="V28" i="7" s="1"/>
  <c r="Z28" i="7" s="1"/>
  <c r="O28" i="7"/>
  <c r="S28" i="7" s="1"/>
  <c r="W28" i="7" s="1"/>
  <c r="AA28" i="7" s="1"/>
  <c r="P28" i="7"/>
  <c r="T28" i="7"/>
  <c r="X28" i="7" s="1"/>
  <c r="Q28" i="7"/>
  <c r="U28" i="7" s="1"/>
  <c r="Y28" i="7" s="1"/>
  <c r="AC28" i="7" s="1"/>
  <c r="R27" i="7"/>
  <c r="V27" i="7" s="1"/>
  <c r="Z27" i="7" s="1"/>
  <c r="AD27" i="7" s="1"/>
  <c r="O27" i="7"/>
  <c r="S27" i="7" s="1"/>
  <c r="W27" i="7" s="1"/>
  <c r="P27" i="7"/>
  <c r="T27" i="7" s="1"/>
  <c r="X27" i="7" s="1"/>
  <c r="AB27" i="7" s="1"/>
  <c r="Q27" i="7"/>
  <c r="U27" i="7"/>
  <c r="Y27" i="7" s="1"/>
  <c r="R26" i="7"/>
  <c r="V26" i="7" s="1"/>
  <c r="Z26" i="7" s="1"/>
  <c r="O26" i="7"/>
  <c r="S26" i="7" s="1"/>
  <c r="W26" i="7" s="1"/>
  <c r="P26" i="7"/>
  <c r="T26" i="7" s="1"/>
  <c r="X26" i="7" s="1"/>
  <c r="Q26" i="7"/>
  <c r="U26" i="7" s="1"/>
  <c r="Y26" i="7" s="1"/>
  <c r="R25" i="7"/>
  <c r="V25" i="7"/>
  <c r="Z25" i="7" s="1"/>
  <c r="O25" i="7"/>
  <c r="S25" i="7" s="1"/>
  <c r="W25" i="7" s="1"/>
  <c r="L59" i="7" s="1"/>
  <c r="P25" i="7"/>
  <c r="T25" i="7"/>
  <c r="X25" i="7"/>
  <c r="M59" i="7" s="1"/>
  <c r="Q25" i="7"/>
  <c r="U25" i="7"/>
  <c r="Y25" i="7" s="1"/>
  <c r="N59" i="7" s="1"/>
  <c r="R24" i="7"/>
  <c r="V24" i="7"/>
  <c r="Z24" i="7"/>
  <c r="O58" i="7" s="1"/>
  <c r="AD24" i="7"/>
  <c r="O24" i="7"/>
  <c r="S24" i="7" s="1"/>
  <c r="W24" i="7" s="1"/>
  <c r="P24" i="7"/>
  <c r="T24" i="7" s="1"/>
  <c r="X24" i="7" s="1"/>
  <c r="Q24" i="7"/>
  <c r="U24" i="7"/>
  <c r="Y24" i="7" s="1"/>
  <c r="R23" i="7"/>
  <c r="V23" i="7" s="1"/>
  <c r="Z23" i="7" s="1"/>
  <c r="O23" i="7"/>
  <c r="S23" i="7" s="1"/>
  <c r="W23" i="7" s="1"/>
  <c r="AA23" i="7" s="1"/>
  <c r="P23" i="7"/>
  <c r="T23" i="7"/>
  <c r="X23" i="7" s="1"/>
  <c r="Q23" i="7"/>
  <c r="U23" i="7" s="1"/>
  <c r="Y23" i="7" s="1"/>
  <c r="AC23" i="7" s="1"/>
  <c r="R22" i="7"/>
  <c r="V22" i="7"/>
  <c r="Z22" i="7"/>
  <c r="O56" i="7" s="1"/>
  <c r="AD22" i="7"/>
  <c r="O22" i="7"/>
  <c r="S22" i="7" s="1"/>
  <c r="W22" i="7" s="1"/>
  <c r="P22" i="7"/>
  <c r="T22" i="7" s="1"/>
  <c r="X22" i="7" s="1"/>
  <c r="Q22" i="7"/>
  <c r="U22" i="7"/>
  <c r="Y22" i="7" s="1"/>
  <c r="R21" i="7"/>
  <c r="V21" i="7" s="1"/>
  <c r="Z21" i="7" s="1"/>
  <c r="O21" i="7"/>
  <c r="S21" i="7" s="1"/>
  <c r="W21" i="7" s="1"/>
  <c r="P21" i="7"/>
  <c r="T21" i="7"/>
  <c r="X21" i="7" s="1"/>
  <c r="Q21" i="7"/>
  <c r="U21" i="7" s="1"/>
  <c r="Y21" i="7" s="1"/>
  <c r="R20" i="7"/>
  <c r="V20" i="7"/>
  <c r="Z20" i="7"/>
  <c r="AD20" i="7"/>
  <c r="O20" i="7"/>
  <c r="S20" i="7" s="1"/>
  <c r="W20" i="7" s="1"/>
  <c r="P20" i="7"/>
  <c r="T20" i="7" s="1"/>
  <c r="X20" i="7" s="1"/>
  <c r="AB20" i="7" s="1"/>
  <c r="Q20" i="7"/>
  <c r="U20" i="7"/>
  <c r="Y20" i="7" s="1"/>
  <c r="R19" i="7"/>
  <c r="V19" i="7" s="1"/>
  <c r="Z19" i="7" s="1"/>
  <c r="O19" i="7"/>
  <c r="S19" i="7" s="1"/>
  <c r="W19" i="7" s="1"/>
  <c r="AA19" i="7" s="1"/>
  <c r="P19" i="7"/>
  <c r="T19" i="7" s="1"/>
  <c r="X19" i="7" s="1"/>
  <c r="Q19" i="7"/>
  <c r="U19" i="7" s="1"/>
  <c r="Y19" i="7" s="1"/>
  <c r="R18" i="7"/>
  <c r="V18" i="7" s="1"/>
  <c r="Z18" i="7" s="1"/>
  <c r="O18" i="7"/>
  <c r="S18" i="7" s="1"/>
  <c r="W18" i="7" s="1"/>
  <c r="P18" i="7"/>
  <c r="T18" i="7" s="1"/>
  <c r="X18" i="7" s="1"/>
  <c r="Q18" i="7"/>
  <c r="U18" i="7" s="1"/>
  <c r="Y18" i="7" s="1"/>
  <c r="R17" i="7"/>
  <c r="V17" i="7" s="1"/>
  <c r="Z17" i="7" s="1"/>
  <c r="O51" i="7" s="1"/>
  <c r="O17" i="7"/>
  <c r="S17" i="7" s="1"/>
  <c r="W17" i="7" s="1"/>
  <c r="P17" i="7"/>
  <c r="T17" i="7" s="1"/>
  <c r="X17" i="7" s="1"/>
  <c r="Q17" i="7"/>
  <c r="U17" i="7" s="1"/>
  <c r="Y17" i="7" s="1"/>
  <c r="R16" i="7"/>
  <c r="V16" i="7" s="1"/>
  <c r="Z16" i="7" s="1"/>
  <c r="O16" i="7"/>
  <c r="S16" i="7"/>
  <c r="W16" i="7" s="1"/>
  <c r="P16" i="7"/>
  <c r="T16" i="7" s="1"/>
  <c r="X16" i="7" s="1"/>
  <c r="Q16" i="7"/>
  <c r="U16" i="7"/>
  <c r="Y16" i="7" s="1"/>
  <c r="R15" i="7"/>
  <c r="V15" i="7" s="1"/>
  <c r="Z15" i="7" s="1"/>
  <c r="O15" i="7"/>
  <c r="S15" i="7" s="1"/>
  <c r="W15" i="7" s="1"/>
  <c r="P15" i="7"/>
  <c r="T15" i="7" s="1"/>
  <c r="X15" i="7" s="1"/>
  <c r="Q15" i="7"/>
  <c r="U15" i="7" s="1"/>
  <c r="Y15" i="7" s="1"/>
  <c r="R14" i="7"/>
  <c r="V14" i="7" s="1"/>
  <c r="Z14" i="7" s="1"/>
  <c r="O14" i="7"/>
  <c r="S14" i="7"/>
  <c r="W14" i="7"/>
  <c r="AA14" i="7" s="1"/>
  <c r="P14" i="7"/>
  <c r="T14" i="7"/>
  <c r="X14" i="7" s="1"/>
  <c r="Q14" i="7"/>
  <c r="U14" i="7" s="1"/>
  <c r="Y14" i="7" s="1"/>
  <c r="R11" i="7"/>
  <c r="V11" i="7" s="1"/>
  <c r="Z11" i="7" s="1"/>
  <c r="O11" i="7"/>
  <c r="S11" i="7" s="1"/>
  <c r="W11" i="7" s="1"/>
  <c r="P11" i="7"/>
  <c r="T11" i="7"/>
  <c r="X11" i="7"/>
  <c r="M45" i="7" s="1"/>
  <c r="AB11" i="7"/>
  <c r="Q11" i="7"/>
  <c r="U11" i="7" s="1"/>
  <c r="Y11" i="7" s="1"/>
  <c r="R10" i="7"/>
  <c r="V10" i="7" s="1"/>
  <c r="Z10" i="7" s="1"/>
  <c r="O10" i="7"/>
  <c r="S10" i="7" s="1"/>
  <c r="W10" i="7" s="1"/>
  <c r="AA10" i="7" s="1"/>
  <c r="P10" i="7"/>
  <c r="T10" i="7" s="1"/>
  <c r="X10" i="7" s="1"/>
  <c r="Q10" i="7"/>
  <c r="U10" i="7" s="1"/>
  <c r="Y10" i="7" s="1"/>
  <c r="AC10" i="7" s="1"/>
  <c r="AG9" i="8"/>
  <c r="AD9" i="8"/>
  <c r="P43" i="8" s="1"/>
  <c r="AG8" i="8"/>
  <c r="AC8" i="8"/>
  <c r="O42" i="8" s="1"/>
  <c r="AD8" i="8"/>
  <c r="P42" i="8" s="1"/>
  <c r="AE8" i="8"/>
  <c r="AG7" i="8"/>
  <c r="AC7" i="8"/>
  <c r="O41" i="8" s="1"/>
  <c r="AD7" i="8"/>
  <c r="P41" i="8" s="1"/>
  <c r="AI7" i="8"/>
  <c r="AE7" i="8"/>
  <c r="Q41" i="8" s="1"/>
  <c r="AG6" i="8"/>
  <c r="AC6" i="8"/>
  <c r="AD6" i="8"/>
  <c r="P40" i="8" s="1"/>
  <c r="AI6" i="8"/>
  <c r="AE6" i="8"/>
  <c r="Q40" i="8" s="1"/>
  <c r="AG5" i="8"/>
  <c r="AC5" i="8"/>
  <c r="O39" i="8" s="1"/>
  <c r="AD5" i="8"/>
  <c r="P39" i="8" s="1"/>
  <c r="AE5" i="8"/>
  <c r="Q39" i="8" s="1"/>
  <c r="AB4" i="8"/>
  <c r="N38" i="8" s="1"/>
  <c r="AC4" i="8"/>
  <c r="O38" i="8" s="1"/>
  <c r="AD4" i="8"/>
  <c r="P38" i="8" s="1"/>
  <c r="AE4" i="8"/>
  <c r="Q38" i="8" s="1"/>
  <c r="AF4" i="8"/>
  <c r="AK4" i="8" s="1"/>
  <c r="AB31" i="8"/>
  <c r="N65" i="8" s="1"/>
  <c r="AG31" i="8"/>
  <c r="AC31" i="8"/>
  <c r="AD31" i="8"/>
  <c r="P65" i="8" s="1"/>
  <c r="AI31" i="8"/>
  <c r="AF30" i="8"/>
  <c r="AK30" i="8" s="1"/>
  <c r="AB30" i="8"/>
  <c r="AG30" i="8" s="1"/>
  <c r="AC30" i="8"/>
  <c r="AD30" i="8"/>
  <c r="P64" i="8" s="1"/>
  <c r="AC29" i="8"/>
  <c r="AD29" i="8"/>
  <c r="AI29" i="8" s="1"/>
  <c r="AE29" i="8"/>
  <c r="Q63" i="8" s="1"/>
  <c r="AJ29" i="8"/>
  <c r="AB28" i="8"/>
  <c r="AG28" i="8" s="1"/>
  <c r="AC28" i="8"/>
  <c r="O62" i="8" s="1"/>
  <c r="Y77" i="8" s="1"/>
  <c r="AD28" i="8"/>
  <c r="AE28" i="8"/>
  <c r="AJ28" i="8"/>
  <c r="AB27" i="8"/>
  <c r="AG27" i="8" s="1"/>
  <c r="AC27" i="8"/>
  <c r="O61" i="8" s="1"/>
  <c r="Y76" i="8" s="1"/>
  <c r="AH27" i="8"/>
  <c r="AE27" i="8"/>
  <c r="AJ27" i="8" s="1"/>
  <c r="AF26" i="8"/>
  <c r="AC26" i="8"/>
  <c r="O60" i="8" s="1"/>
  <c r="Y75" i="8" s="1"/>
  <c r="Z75" i="8" s="1"/>
  <c r="AH26" i="8"/>
  <c r="AD26" i="8"/>
  <c r="P60" i="8" s="1"/>
  <c r="Y90" i="8" s="1"/>
  <c r="AC25" i="8"/>
  <c r="AH25" i="8" s="1"/>
  <c r="AD25" i="8"/>
  <c r="AI25" i="8" s="1"/>
  <c r="AE25" i="8"/>
  <c r="AF24" i="8"/>
  <c r="AB24" i="8"/>
  <c r="AC24" i="8"/>
  <c r="O58" i="8" s="1"/>
  <c r="U76" i="8" s="1"/>
  <c r="AH24" i="8"/>
  <c r="AD24" i="8"/>
  <c r="P58" i="8" s="1"/>
  <c r="U91" i="8" s="1"/>
  <c r="AI24" i="8"/>
  <c r="AE24" i="8"/>
  <c r="Q58" i="8" s="1"/>
  <c r="U81" i="8" s="1"/>
  <c r="AJ24" i="8"/>
  <c r="AC23" i="8"/>
  <c r="O57" i="8" s="1"/>
  <c r="U75" i="8" s="1"/>
  <c r="V75" i="8" s="1"/>
  <c r="AD23" i="8"/>
  <c r="AI23" i="8"/>
  <c r="AE23" i="8"/>
  <c r="AJ23" i="8" s="1"/>
  <c r="AF22" i="8"/>
  <c r="AK22" i="8" s="1"/>
  <c r="AC22" i="8"/>
  <c r="AD22" i="8"/>
  <c r="P56" i="8" s="1"/>
  <c r="AC60" i="8" s="1"/>
  <c r="AE22" i="8"/>
  <c r="Q56" i="8" s="1"/>
  <c r="AC50" i="8" s="1"/>
  <c r="AJ22" i="8"/>
  <c r="AF21" i="8"/>
  <c r="AK21" i="8"/>
  <c r="AB21" i="8"/>
  <c r="AG21" i="8" s="1"/>
  <c r="AC21" i="8"/>
  <c r="AF20" i="8"/>
  <c r="R54" i="8" s="1"/>
  <c r="AK20" i="8"/>
  <c r="AB20" i="8"/>
  <c r="N54" i="8" s="1"/>
  <c r="AC20" i="8"/>
  <c r="O54" i="8" s="1"/>
  <c r="AD20" i="8"/>
  <c r="AE20" i="8"/>
  <c r="Q54" i="8" s="1"/>
  <c r="AF19" i="8"/>
  <c r="R53" i="8" s="1"/>
  <c r="AB19" i="8"/>
  <c r="N53" i="8" s="1"/>
  <c r="AG19" i="8"/>
  <c r="AC19" i="8"/>
  <c r="AH19" i="8"/>
  <c r="AE19" i="8"/>
  <c r="Q53" i="8" s="1"/>
  <c r="Y50" i="8" s="1"/>
  <c r="AF18" i="8"/>
  <c r="AB18" i="8"/>
  <c r="AG18" i="8"/>
  <c r="AC18" i="8"/>
  <c r="AH18" i="8"/>
  <c r="AD18" i="8"/>
  <c r="AE18" i="8"/>
  <c r="AB17" i="8"/>
  <c r="AG17" i="8" s="1"/>
  <c r="AC17" i="8"/>
  <c r="O51" i="8" s="1"/>
  <c r="AD17" i="8"/>
  <c r="AI17" i="8" s="1"/>
  <c r="AE17" i="8"/>
  <c r="AJ17" i="8" s="1"/>
  <c r="AF16" i="8"/>
  <c r="AB16" i="8"/>
  <c r="AC16" i="8"/>
  <c r="O50" i="8" s="1"/>
  <c r="AE16" i="8"/>
  <c r="Q50" i="8" s="1"/>
  <c r="U50" i="8" s="1"/>
  <c r="AF15" i="8"/>
  <c r="R49" i="8" s="1"/>
  <c r="AC15" i="8"/>
  <c r="O49" i="8" s="1"/>
  <c r="AD15" i="8"/>
  <c r="AI15" i="8" s="1"/>
  <c r="AE15" i="8"/>
  <c r="Q49" i="8" s="1"/>
  <c r="U49" i="8" s="1"/>
  <c r="AF14" i="8"/>
  <c r="R48" i="8" s="1"/>
  <c r="AB14" i="8"/>
  <c r="AG14" i="8" s="1"/>
  <c r="AC14" i="8"/>
  <c r="AE14" i="8"/>
  <c r="AJ14" i="8"/>
  <c r="AF11" i="8"/>
  <c r="R45" i="8" s="1"/>
  <c r="AK11" i="8"/>
  <c r="AB11" i="8"/>
  <c r="AG11" i="8"/>
  <c r="AC11" i="8"/>
  <c r="AH11" i="8"/>
  <c r="AD11" i="8"/>
  <c r="AI11" i="8" s="1"/>
  <c r="AB10" i="8"/>
  <c r="N44" i="8" s="1"/>
  <c r="AC10" i="8"/>
  <c r="O44" i="8" s="1"/>
  <c r="AD10" i="8"/>
  <c r="O9" i="6"/>
  <c r="S9" i="6" s="1"/>
  <c r="W9" i="6" s="1"/>
  <c r="P9" i="6"/>
  <c r="T9" i="6" s="1"/>
  <c r="X9" i="6" s="1"/>
  <c r="Q9" i="6"/>
  <c r="U9" i="6" s="1"/>
  <c r="Y9" i="6" s="1"/>
  <c r="R9" i="6"/>
  <c r="V9" i="6"/>
  <c r="Z9" i="6" s="1"/>
  <c r="O8" i="6"/>
  <c r="S8" i="6" s="1"/>
  <c r="W8" i="6" s="1"/>
  <c r="P8" i="6"/>
  <c r="T8" i="6"/>
  <c r="X8" i="6" s="1"/>
  <c r="Q8" i="6"/>
  <c r="U8" i="6" s="1"/>
  <c r="Y8" i="6" s="1"/>
  <c r="R8" i="6"/>
  <c r="V8" i="6" s="1"/>
  <c r="Z8" i="6" s="1"/>
  <c r="O7" i="6"/>
  <c r="S7" i="6" s="1"/>
  <c r="W7" i="6" s="1"/>
  <c r="AA7" i="6" s="1"/>
  <c r="P7" i="6"/>
  <c r="T7" i="6" s="1"/>
  <c r="X7" i="6" s="1"/>
  <c r="Q7" i="6"/>
  <c r="U7" i="6" s="1"/>
  <c r="Y7" i="6" s="1"/>
  <c r="R7" i="6"/>
  <c r="V7" i="6"/>
  <c r="Z7" i="6" s="1"/>
  <c r="R31" i="6"/>
  <c r="V31" i="6" s="1"/>
  <c r="Z31" i="6" s="1"/>
  <c r="O31" i="6"/>
  <c r="S31" i="6" s="1"/>
  <c r="W31" i="6" s="1"/>
  <c r="P31" i="6"/>
  <c r="T31" i="6" s="1"/>
  <c r="X31" i="6" s="1"/>
  <c r="Q31" i="6"/>
  <c r="U31" i="6"/>
  <c r="Y31" i="6" s="1"/>
  <c r="R30" i="6"/>
  <c r="V30" i="6" s="1"/>
  <c r="Z30" i="6" s="1"/>
  <c r="O30" i="6"/>
  <c r="S30" i="6" s="1"/>
  <c r="W30" i="6" s="1"/>
  <c r="P30" i="6"/>
  <c r="T30" i="6"/>
  <c r="X30" i="6" s="1"/>
  <c r="M64" i="6" s="1"/>
  <c r="Q30" i="6"/>
  <c r="U30" i="6" s="1"/>
  <c r="Y30" i="6" s="1"/>
  <c r="AC30" i="6" s="1"/>
  <c r="R29" i="6"/>
  <c r="V29" i="6" s="1"/>
  <c r="Z29" i="6" s="1"/>
  <c r="O29" i="6"/>
  <c r="S29" i="6"/>
  <c r="W29" i="6"/>
  <c r="AA29" i="6" s="1"/>
  <c r="P29" i="6"/>
  <c r="T29" i="6" s="1"/>
  <c r="X29" i="6" s="1"/>
  <c r="Q29" i="6"/>
  <c r="U29" i="6" s="1"/>
  <c r="Y29" i="6" s="1"/>
  <c r="AC29" i="6" s="1"/>
  <c r="R28" i="6"/>
  <c r="V28" i="6" s="1"/>
  <c r="Z28" i="6" s="1"/>
  <c r="O28" i="6"/>
  <c r="S28" i="6" s="1"/>
  <c r="W28" i="6" s="1"/>
  <c r="P28" i="6"/>
  <c r="T28" i="6" s="1"/>
  <c r="X28" i="6" s="1"/>
  <c r="Q28" i="6"/>
  <c r="U28" i="6" s="1"/>
  <c r="Y28" i="6" s="1"/>
  <c r="R27" i="6"/>
  <c r="V27" i="6" s="1"/>
  <c r="Z27" i="6" s="1"/>
  <c r="O27" i="6"/>
  <c r="S27" i="6"/>
  <c r="W27" i="6" s="1"/>
  <c r="P27" i="6"/>
  <c r="T27" i="6" s="1"/>
  <c r="X27" i="6" s="1"/>
  <c r="Q27" i="6"/>
  <c r="U27" i="6"/>
  <c r="Y27" i="6" s="1"/>
  <c r="R26" i="6"/>
  <c r="V26" i="6" s="1"/>
  <c r="Z26" i="6" s="1"/>
  <c r="AD26" i="6" s="1"/>
  <c r="O26" i="6"/>
  <c r="S26" i="6" s="1"/>
  <c r="W26" i="6" s="1"/>
  <c r="P26" i="6"/>
  <c r="T26" i="6"/>
  <c r="X26" i="6" s="1"/>
  <c r="AB26" i="6" s="1"/>
  <c r="Q26" i="6"/>
  <c r="U26" i="6" s="1"/>
  <c r="Y26" i="6" s="1"/>
  <c r="R25" i="6"/>
  <c r="V25" i="6" s="1"/>
  <c r="Z25" i="6" s="1"/>
  <c r="O25" i="6"/>
  <c r="S25" i="6"/>
  <c r="W25" i="6" s="1"/>
  <c r="P25" i="6"/>
  <c r="T25" i="6" s="1"/>
  <c r="X25" i="6" s="1"/>
  <c r="Q25" i="6"/>
  <c r="U25" i="6"/>
  <c r="Y25" i="6"/>
  <c r="N59" i="6" s="1"/>
  <c r="R24" i="6"/>
  <c r="V24" i="6" s="1"/>
  <c r="Z24" i="6" s="1"/>
  <c r="O58" i="6" s="1"/>
  <c r="O24" i="6"/>
  <c r="S24" i="6" s="1"/>
  <c r="W24" i="6" s="1"/>
  <c r="P24" i="6"/>
  <c r="T24" i="6"/>
  <c r="X24" i="6"/>
  <c r="AB24" i="6" s="1"/>
  <c r="Q24" i="6"/>
  <c r="U24" i="6" s="1"/>
  <c r="Y24" i="6" s="1"/>
  <c r="R23" i="6"/>
  <c r="V23" i="6" s="1"/>
  <c r="Z23" i="6" s="1"/>
  <c r="O23" i="6"/>
  <c r="S23" i="6"/>
  <c r="W23" i="6" s="1"/>
  <c r="L57" i="6" s="1"/>
  <c r="P23" i="6"/>
  <c r="T23" i="6" s="1"/>
  <c r="X23" i="6" s="1"/>
  <c r="Q23" i="6"/>
  <c r="U23" i="6" s="1"/>
  <c r="Y23" i="6" s="1"/>
  <c r="R11" i="6"/>
  <c r="V11" i="6"/>
  <c r="Z11" i="6" s="1"/>
  <c r="O11" i="6"/>
  <c r="S11" i="6" s="1"/>
  <c r="W11" i="6" s="1"/>
  <c r="P11" i="6"/>
  <c r="T11" i="6" s="1"/>
  <c r="X11" i="6" s="1"/>
  <c r="Q11" i="6"/>
  <c r="U11" i="6" s="1"/>
  <c r="Y11" i="6" s="1"/>
  <c r="R10" i="6"/>
  <c r="V10" i="6" s="1"/>
  <c r="Z10" i="6" s="1"/>
  <c r="O10" i="6"/>
  <c r="S10" i="6" s="1"/>
  <c r="W10" i="6" s="1"/>
  <c r="P10" i="6"/>
  <c r="T10" i="6" s="1"/>
  <c r="X10" i="6" s="1"/>
  <c r="Q10" i="6"/>
  <c r="U10" i="6"/>
  <c r="Y10" i="6" s="1"/>
  <c r="AC10" i="6" s="1"/>
  <c r="R31" i="5"/>
  <c r="V31" i="5" s="1"/>
  <c r="Z31" i="5" s="1"/>
  <c r="O31" i="5"/>
  <c r="S31" i="5" s="1"/>
  <c r="W31" i="5" s="1"/>
  <c r="P31" i="5"/>
  <c r="T31" i="5" s="1"/>
  <c r="X31" i="5" s="1"/>
  <c r="Q31" i="5"/>
  <c r="U31" i="5" s="1"/>
  <c r="Y31" i="5" s="1"/>
  <c r="N65" i="5" s="1"/>
  <c r="R30" i="5"/>
  <c r="V30" i="5"/>
  <c r="Z30" i="5" s="1"/>
  <c r="O64" i="5" s="1"/>
  <c r="O30" i="5"/>
  <c r="S30" i="5" s="1"/>
  <c r="W30" i="5" s="1"/>
  <c r="P30" i="5"/>
  <c r="T30" i="5" s="1"/>
  <c r="X30" i="5" s="1"/>
  <c r="Q30" i="5"/>
  <c r="U30" i="5" s="1"/>
  <c r="Y30" i="5" s="1"/>
  <c r="R29" i="5"/>
  <c r="V29" i="5" s="1"/>
  <c r="Z29" i="5" s="1"/>
  <c r="O29" i="5"/>
  <c r="S29" i="5"/>
  <c r="W29" i="5"/>
  <c r="AA29" i="5" s="1"/>
  <c r="P29" i="5"/>
  <c r="T29" i="5" s="1"/>
  <c r="X29" i="5" s="1"/>
  <c r="Q29" i="5"/>
  <c r="U29" i="5" s="1"/>
  <c r="Y29" i="5" s="1"/>
  <c r="R28" i="5"/>
  <c r="V28" i="5"/>
  <c r="Z28" i="5"/>
  <c r="O28" i="5"/>
  <c r="S28" i="5" s="1"/>
  <c r="W28" i="5" s="1"/>
  <c r="P28" i="5"/>
  <c r="T28" i="5"/>
  <c r="X28" i="5" s="1"/>
  <c r="AB28" i="5" s="1"/>
  <c r="Q28" i="5"/>
  <c r="U28" i="5" s="1"/>
  <c r="Y28" i="5" s="1"/>
  <c r="R27" i="5"/>
  <c r="V27" i="5" s="1"/>
  <c r="Z27" i="5" s="1"/>
  <c r="O27" i="5"/>
  <c r="S27" i="5" s="1"/>
  <c r="W27" i="5" s="1"/>
  <c r="P27" i="5"/>
  <c r="T27" i="5" s="1"/>
  <c r="X27" i="5" s="1"/>
  <c r="Q27" i="5"/>
  <c r="U27" i="5" s="1"/>
  <c r="Y27" i="5" s="1"/>
  <c r="R26" i="5"/>
  <c r="V26" i="5"/>
  <c r="Z26" i="5"/>
  <c r="O60" i="5" s="1"/>
  <c r="O26" i="5"/>
  <c r="S26" i="5" s="1"/>
  <c r="W26" i="5" s="1"/>
  <c r="P26" i="5"/>
  <c r="T26" i="5"/>
  <c r="X26" i="5"/>
  <c r="M60" i="5" s="1"/>
  <c r="Q26" i="5"/>
  <c r="U26" i="5" s="1"/>
  <c r="Y26" i="5" s="1"/>
  <c r="R25" i="5"/>
  <c r="V25" i="5" s="1"/>
  <c r="Z25" i="5" s="1"/>
  <c r="O25" i="5"/>
  <c r="S25" i="5" s="1"/>
  <c r="W25" i="5" s="1"/>
  <c r="L59" i="5" s="1"/>
  <c r="P25" i="5"/>
  <c r="T25" i="5" s="1"/>
  <c r="X25" i="5" s="1"/>
  <c r="Q25" i="5"/>
  <c r="U25" i="5"/>
  <c r="Y25" i="5" s="1"/>
  <c r="N59" i="5" s="1"/>
  <c r="R24" i="5"/>
  <c r="V24" i="5"/>
  <c r="Z24" i="5" s="1"/>
  <c r="AD24" i="5" s="1"/>
  <c r="O24" i="5"/>
  <c r="S24" i="5" s="1"/>
  <c r="W24" i="5" s="1"/>
  <c r="P24" i="5"/>
  <c r="T24" i="5"/>
  <c r="X24" i="5" s="1"/>
  <c r="Q24" i="5"/>
  <c r="U24" i="5" s="1"/>
  <c r="Y24" i="5" s="1"/>
  <c r="R23" i="5"/>
  <c r="V23" i="5" s="1"/>
  <c r="Z23" i="5" s="1"/>
  <c r="O23" i="5"/>
  <c r="S23" i="5" s="1"/>
  <c r="W23" i="5" s="1"/>
  <c r="P23" i="5"/>
  <c r="T23" i="5" s="1"/>
  <c r="X23" i="5" s="1"/>
  <c r="Q23" i="5"/>
  <c r="U23" i="5" s="1"/>
  <c r="Y23" i="5" s="1"/>
  <c r="R22" i="5"/>
  <c r="V22" i="5" s="1"/>
  <c r="Z22" i="5" s="1"/>
  <c r="AD22" i="5" s="1"/>
  <c r="O22" i="5"/>
  <c r="S22" i="5" s="1"/>
  <c r="W22" i="5" s="1"/>
  <c r="P22" i="5"/>
  <c r="T22" i="5" s="1"/>
  <c r="X22" i="5" s="1"/>
  <c r="Q22" i="5"/>
  <c r="U22" i="5" s="1"/>
  <c r="Y22" i="5" s="1"/>
  <c r="R21" i="5"/>
  <c r="V21" i="5" s="1"/>
  <c r="Z21" i="5" s="1"/>
  <c r="O21" i="5"/>
  <c r="S21" i="5"/>
  <c r="W21" i="5" s="1"/>
  <c r="AA21" i="5" s="1"/>
  <c r="P21" i="5"/>
  <c r="T21" i="5" s="1"/>
  <c r="X21" i="5" s="1"/>
  <c r="Q21" i="5"/>
  <c r="U21" i="5" s="1"/>
  <c r="Y21" i="5" s="1"/>
  <c r="AC21" i="5" s="1"/>
  <c r="R20" i="5"/>
  <c r="V20" i="5" s="1"/>
  <c r="Z20" i="5" s="1"/>
  <c r="AD20" i="5" s="1"/>
  <c r="O20" i="5"/>
  <c r="S20" i="5" s="1"/>
  <c r="W20" i="5" s="1"/>
  <c r="P20" i="5"/>
  <c r="T20" i="5" s="1"/>
  <c r="X20" i="5" s="1"/>
  <c r="AB20" i="5" s="1"/>
  <c r="Q20" i="5"/>
  <c r="U20" i="5" s="1"/>
  <c r="Y20" i="5" s="1"/>
  <c r="R11" i="5"/>
  <c r="V11" i="5" s="1"/>
  <c r="Z11" i="5" s="1"/>
  <c r="O11" i="5"/>
  <c r="S11" i="5"/>
  <c r="W11" i="5" s="1"/>
  <c r="AA11" i="5" s="1"/>
  <c r="P11" i="5"/>
  <c r="T11" i="5" s="1"/>
  <c r="X11" i="5" s="1"/>
  <c r="Q11" i="5"/>
  <c r="U11" i="5" s="1"/>
  <c r="Y11" i="5" s="1"/>
  <c r="R10" i="5"/>
  <c r="V10" i="5"/>
  <c r="Z10" i="5" s="1"/>
  <c r="O10" i="5"/>
  <c r="S10" i="5" s="1"/>
  <c r="W10" i="5" s="1"/>
  <c r="P10" i="5"/>
  <c r="T10" i="5" s="1"/>
  <c r="X10" i="5" s="1"/>
  <c r="Q10" i="5"/>
  <c r="U10" i="5" s="1"/>
  <c r="Y10" i="5" s="1"/>
  <c r="R31" i="4"/>
  <c r="V31" i="4" s="1"/>
  <c r="Z31" i="4" s="1"/>
  <c r="Q31" i="4"/>
  <c r="U31" i="4" s="1"/>
  <c r="Y31" i="4" s="1"/>
  <c r="P31" i="4"/>
  <c r="T31" i="4" s="1"/>
  <c r="X31" i="4" s="1"/>
  <c r="O31" i="4"/>
  <c r="S31" i="4" s="1"/>
  <c r="W31" i="4" s="1"/>
  <c r="R30" i="4"/>
  <c r="V30" i="4"/>
  <c r="Z30" i="4" s="1"/>
  <c r="Q30" i="4"/>
  <c r="U30" i="4" s="1"/>
  <c r="Y30" i="4" s="1"/>
  <c r="N64" i="4" s="1"/>
  <c r="P30" i="4"/>
  <c r="T30" i="4" s="1"/>
  <c r="X30" i="4" s="1"/>
  <c r="O30" i="4"/>
  <c r="S30" i="4"/>
  <c r="W30" i="4" s="1"/>
  <c r="R29" i="4"/>
  <c r="V29" i="4"/>
  <c r="Z29" i="4" s="1"/>
  <c r="Q29" i="4"/>
  <c r="U29" i="4"/>
  <c r="Y29" i="4" s="1"/>
  <c r="P29" i="4"/>
  <c r="T29" i="4" s="1"/>
  <c r="X29" i="4" s="1"/>
  <c r="O29" i="4"/>
  <c r="S29" i="4" s="1"/>
  <c r="W29" i="4" s="1"/>
  <c r="AA29" i="4" s="1"/>
  <c r="R28" i="4"/>
  <c r="V28" i="4" s="1"/>
  <c r="Z28" i="4" s="1"/>
  <c r="Q28" i="4"/>
  <c r="U28" i="4" s="1"/>
  <c r="Y28" i="4" s="1"/>
  <c r="P28" i="4"/>
  <c r="T28" i="4" s="1"/>
  <c r="X28" i="4" s="1"/>
  <c r="O28" i="4"/>
  <c r="S28" i="4" s="1"/>
  <c r="W28" i="4" s="1"/>
  <c r="R27" i="4"/>
  <c r="V27" i="4"/>
  <c r="Z27" i="4" s="1"/>
  <c r="Q27" i="4"/>
  <c r="U27" i="4"/>
  <c r="Y27" i="4" s="1"/>
  <c r="P27" i="4"/>
  <c r="T27" i="4" s="1"/>
  <c r="X27" i="4" s="1"/>
  <c r="O27" i="4"/>
  <c r="S27" i="4"/>
  <c r="W27" i="4" s="1"/>
  <c r="R26" i="4"/>
  <c r="V26" i="4" s="1"/>
  <c r="Z26" i="4" s="1"/>
  <c r="Q26" i="4"/>
  <c r="U26" i="4" s="1"/>
  <c r="Y26" i="4" s="1"/>
  <c r="P26" i="4"/>
  <c r="T26" i="4" s="1"/>
  <c r="X26" i="4" s="1"/>
  <c r="O26" i="4"/>
  <c r="S26" i="4" s="1"/>
  <c r="W26" i="4" s="1"/>
  <c r="R25" i="4"/>
  <c r="V25" i="4"/>
  <c r="Z25" i="4" s="1"/>
  <c r="Q25" i="4"/>
  <c r="U25" i="4" s="1"/>
  <c r="Y25" i="4" s="1"/>
  <c r="P25" i="4"/>
  <c r="T25" i="4" s="1"/>
  <c r="X25" i="4" s="1"/>
  <c r="O25" i="4"/>
  <c r="S25" i="4" s="1"/>
  <c r="W25" i="4" s="1"/>
  <c r="R24" i="4"/>
  <c r="V24" i="4" s="1"/>
  <c r="Z24" i="4" s="1"/>
  <c r="Q24" i="4"/>
  <c r="U24" i="4"/>
  <c r="Y24" i="4" s="1"/>
  <c r="P24" i="4"/>
  <c r="T24" i="4" s="1"/>
  <c r="X24" i="4" s="1"/>
  <c r="O24" i="4"/>
  <c r="S24" i="4"/>
  <c r="W24" i="4" s="1"/>
  <c r="R23" i="4"/>
  <c r="V23" i="4"/>
  <c r="Z23" i="4" s="1"/>
  <c r="Q23" i="4"/>
  <c r="U23" i="4"/>
  <c r="Y23" i="4" s="1"/>
  <c r="P23" i="4"/>
  <c r="T23" i="4" s="1"/>
  <c r="X23" i="4" s="1"/>
  <c r="O23" i="4"/>
  <c r="S23" i="4" s="1"/>
  <c r="W23" i="4" s="1"/>
  <c r="L57" i="4" s="1"/>
  <c r="R22" i="4"/>
  <c r="V22" i="4" s="1"/>
  <c r="Z22" i="4" s="1"/>
  <c r="Q22" i="4"/>
  <c r="U22" i="4" s="1"/>
  <c r="Y22" i="4" s="1"/>
  <c r="P22" i="4"/>
  <c r="T22" i="4" s="1"/>
  <c r="X22" i="4" s="1"/>
  <c r="O22" i="4"/>
  <c r="S22" i="4"/>
  <c r="W22" i="4" s="1"/>
  <c r="R21" i="4"/>
  <c r="V21" i="4" s="1"/>
  <c r="Z21" i="4" s="1"/>
  <c r="Q21" i="4"/>
  <c r="U21" i="4" s="1"/>
  <c r="Y21" i="4" s="1"/>
  <c r="P21" i="4"/>
  <c r="T21" i="4" s="1"/>
  <c r="X21" i="4" s="1"/>
  <c r="O21" i="4"/>
  <c r="S21" i="4" s="1"/>
  <c r="W21" i="4" s="1"/>
  <c r="R20" i="4"/>
  <c r="V20" i="4"/>
  <c r="Z20" i="4" s="1"/>
  <c r="Q20" i="4"/>
  <c r="U20" i="4" s="1"/>
  <c r="Y20" i="4" s="1"/>
  <c r="P20" i="4"/>
  <c r="T20" i="4" s="1"/>
  <c r="X20" i="4" s="1"/>
  <c r="O20" i="4"/>
  <c r="S20" i="4"/>
  <c r="W20" i="4" s="1"/>
  <c r="R11" i="4"/>
  <c r="V11" i="4" s="1"/>
  <c r="Z11" i="4" s="1"/>
  <c r="Q11" i="4"/>
  <c r="U11" i="4" s="1"/>
  <c r="Y11" i="4" s="1"/>
  <c r="P11" i="4"/>
  <c r="T11" i="4" s="1"/>
  <c r="X11" i="4" s="1"/>
  <c r="O11" i="4"/>
  <c r="S11" i="4" s="1"/>
  <c r="W11" i="4" s="1"/>
  <c r="AA11" i="4" s="1"/>
  <c r="R10" i="4"/>
  <c r="V10" i="4" s="1"/>
  <c r="Z10" i="4" s="1"/>
  <c r="Q10" i="4"/>
  <c r="U10" i="4" s="1"/>
  <c r="Y10" i="4" s="1"/>
  <c r="P10" i="4"/>
  <c r="T10" i="4" s="1"/>
  <c r="X10" i="4" s="1"/>
  <c r="O10" i="4"/>
  <c r="S10" i="4" s="1"/>
  <c r="W10" i="4" s="1"/>
  <c r="R31" i="3"/>
  <c r="V31" i="3" s="1"/>
  <c r="Z31" i="3" s="1"/>
  <c r="O65" i="3" s="1"/>
  <c r="Q31" i="3"/>
  <c r="U31" i="3" s="1"/>
  <c r="Y31" i="3" s="1"/>
  <c r="N65" i="3" s="1"/>
  <c r="P31" i="3"/>
  <c r="T31" i="3" s="1"/>
  <c r="X31" i="3" s="1"/>
  <c r="O31" i="3"/>
  <c r="S31" i="3"/>
  <c r="W31" i="3" s="1"/>
  <c r="R30" i="3"/>
  <c r="V30" i="3"/>
  <c r="Z30" i="3" s="1"/>
  <c r="Q30" i="3"/>
  <c r="U30" i="3" s="1"/>
  <c r="Y30" i="3" s="1"/>
  <c r="P30" i="3"/>
  <c r="T30" i="3" s="1"/>
  <c r="X30" i="3" s="1"/>
  <c r="O30" i="3"/>
  <c r="S30" i="3" s="1"/>
  <c r="W30" i="3" s="1"/>
  <c r="R29" i="3"/>
  <c r="V29" i="3" s="1"/>
  <c r="Z29" i="3" s="1"/>
  <c r="Q29" i="3"/>
  <c r="U29" i="3" s="1"/>
  <c r="Y29" i="3" s="1"/>
  <c r="N63" i="3" s="1"/>
  <c r="P29" i="3"/>
  <c r="T29" i="3" s="1"/>
  <c r="X29" i="3" s="1"/>
  <c r="O29" i="3"/>
  <c r="S29" i="3" s="1"/>
  <c r="W29" i="3" s="1"/>
  <c r="R28" i="3"/>
  <c r="V28" i="3" s="1"/>
  <c r="Z28" i="3" s="1"/>
  <c r="AD28" i="3" s="1"/>
  <c r="Q28" i="3"/>
  <c r="U28" i="3" s="1"/>
  <c r="Y28" i="3" s="1"/>
  <c r="P28" i="3"/>
  <c r="T28" i="3" s="1"/>
  <c r="X28" i="3" s="1"/>
  <c r="O28" i="3"/>
  <c r="S28" i="3"/>
  <c r="W28" i="3" s="1"/>
  <c r="R27" i="3"/>
  <c r="V27" i="3" s="1"/>
  <c r="Z27" i="3" s="1"/>
  <c r="AD27" i="3" s="1"/>
  <c r="Q27" i="3"/>
  <c r="U27" i="3"/>
  <c r="Y27" i="3"/>
  <c r="P27" i="3"/>
  <c r="T27" i="3"/>
  <c r="X27" i="3" s="1"/>
  <c r="O27" i="3"/>
  <c r="S27" i="3" s="1"/>
  <c r="W27" i="3" s="1"/>
  <c r="R26" i="3"/>
  <c r="V26" i="3"/>
  <c r="Z26" i="3" s="1"/>
  <c r="Q26" i="3"/>
  <c r="U26" i="3" s="1"/>
  <c r="Y26" i="3" s="1"/>
  <c r="P26" i="3"/>
  <c r="T26" i="3" s="1"/>
  <c r="X26" i="3" s="1"/>
  <c r="O26" i="3"/>
  <c r="S26" i="3" s="1"/>
  <c r="W26" i="3" s="1"/>
  <c r="R25" i="3"/>
  <c r="V25" i="3" s="1"/>
  <c r="Z25" i="3" s="1"/>
  <c r="Q25" i="3"/>
  <c r="U25" i="3"/>
  <c r="Y25" i="3" s="1"/>
  <c r="P25" i="3"/>
  <c r="T25" i="3" s="1"/>
  <c r="X25" i="3" s="1"/>
  <c r="O25" i="3"/>
  <c r="S25" i="3"/>
  <c r="W25" i="3" s="1"/>
  <c r="R24" i="3"/>
  <c r="V24" i="3"/>
  <c r="Z24" i="3" s="1"/>
  <c r="O58" i="3" s="1"/>
  <c r="Q24" i="3"/>
  <c r="U24" i="3" s="1"/>
  <c r="Y24" i="3" s="1"/>
  <c r="P24" i="3"/>
  <c r="T24" i="3" s="1"/>
  <c r="X24" i="3" s="1"/>
  <c r="O24" i="3"/>
  <c r="S24" i="3" s="1"/>
  <c r="W24" i="3" s="1"/>
  <c r="R23" i="3"/>
  <c r="V23" i="3" s="1"/>
  <c r="Z23" i="3"/>
  <c r="Q23" i="3"/>
  <c r="U23" i="3" s="1"/>
  <c r="Y23" i="3" s="1"/>
  <c r="P23" i="3"/>
  <c r="T23" i="3" s="1"/>
  <c r="X23" i="3" s="1"/>
  <c r="O23" i="3"/>
  <c r="S23" i="3" s="1"/>
  <c r="W23" i="3" s="1"/>
  <c r="R22" i="3"/>
  <c r="V22" i="3"/>
  <c r="Z22" i="3"/>
  <c r="O56" i="3" s="1"/>
  <c r="Q22" i="3"/>
  <c r="U22" i="3" s="1"/>
  <c r="Y22" i="3" s="1"/>
  <c r="P22" i="3"/>
  <c r="T22" i="3" s="1"/>
  <c r="X22" i="3" s="1"/>
  <c r="M56" i="3" s="1"/>
  <c r="O22" i="3"/>
  <c r="S22" i="3" s="1"/>
  <c r="W22" i="3" s="1"/>
  <c r="R21" i="3"/>
  <c r="V21" i="3" s="1"/>
  <c r="Z21" i="3" s="1"/>
  <c r="AD21" i="3" s="1"/>
  <c r="Q21" i="3"/>
  <c r="U21" i="3"/>
  <c r="Y21" i="3"/>
  <c r="P21" i="3"/>
  <c r="T21" i="3"/>
  <c r="X21" i="3" s="1"/>
  <c r="O21" i="3"/>
  <c r="S21" i="3"/>
  <c r="W21" i="3" s="1"/>
  <c r="R20" i="3"/>
  <c r="V20" i="3"/>
  <c r="Z20" i="3"/>
  <c r="AD20" i="3" s="1"/>
  <c r="Q20" i="3"/>
  <c r="U20" i="3" s="1"/>
  <c r="Y20" i="3" s="1"/>
  <c r="P20" i="3"/>
  <c r="T20" i="3" s="1"/>
  <c r="X20" i="3" s="1"/>
  <c r="AB20" i="3" s="1"/>
  <c r="O20" i="3"/>
  <c r="S20" i="3" s="1"/>
  <c r="W20" i="3" s="1"/>
  <c r="R11" i="3"/>
  <c r="V11" i="3" s="1"/>
  <c r="Z11" i="3" s="1"/>
  <c r="Q11" i="3"/>
  <c r="U11" i="3"/>
  <c r="Y11" i="3"/>
  <c r="P11" i="3"/>
  <c r="T11" i="3"/>
  <c r="X11" i="3" s="1"/>
  <c r="O11" i="3"/>
  <c r="S11" i="3"/>
  <c r="W11" i="3" s="1"/>
  <c r="AA11" i="3" s="1"/>
  <c r="R10" i="3"/>
  <c r="V10" i="3"/>
  <c r="Z10" i="3" s="1"/>
  <c r="AD10" i="3" s="1"/>
  <c r="Q10" i="3"/>
  <c r="U10" i="3"/>
  <c r="Y10" i="3" s="1"/>
  <c r="P10" i="3"/>
  <c r="T10" i="3" s="1"/>
  <c r="X10" i="3" s="1"/>
  <c r="M44" i="3" s="1"/>
  <c r="O10" i="3"/>
  <c r="S10" i="3" s="1"/>
  <c r="W10" i="3" s="1"/>
  <c r="AC27" i="2"/>
  <c r="AA26" i="2"/>
  <c r="AD24" i="2"/>
  <c r="AD17" i="2"/>
  <c r="Z31" i="2"/>
  <c r="Y31" i="2"/>
  <c r="Z28" i="2"/>
  <c r="W28" i="2"/>
  <c r="X27" i="2"/>
  <c r="W26" i="2"/>
  <c r="L61" i="2" s="1"/>
  <c r="X25" i="2"/>
  <c r="Z23" i="2"/>
  <c r="W22" i="2"/>
  <c r="Z20" i="2"/>
  <c r="X11" i="2"/>
  <c r="V31" i="2"/>
  <c r="U31" i="2"/>
  <c r="T30" i="2"/>
  <c r="X30" i="2" s="1"/>
  <c r="S30" i="2"/>
  <c r="W30" i="2" s="1"/>
  <c r="V29" i="2"/>
  <c r="Z29" i="2" s="1"/>
  <c r="T28" i="2"/>
  <c r="X28" i="2" s="1"/>
  <c r="S28" i="2"/>
  <c r="U27" i="2"/>
  <c r="Y27" i="2" s="1"/>
  <c r="T26" i="2"/>
  <c r="X26" i="2" s="1"/>
  <c r="S26" i="2"/>
  <c r="U25" i="2"/>
  <c r="Y25" i="2" s="1"/>
  <c r="T24" i="2"/>
  <c r="X24" i="2" s="1"/>
  <c r="S24" i="2"/>
  <c r="W24" i="2" s="1"/>
  <c r="V23" i="2"/>
  <c r="U23" i="2"/>
  <c r="Y23" i="2" s="1"/>
  <c r="T22" i="2"/>
  <c r="X22" i="2" s="1"/>
  <c r="S22" i="2"/>
  <c r="T20" i="2"/>
  <c r="X20" i="2" s="1"/>
  <c r="S20" i="2"/>
  <c r="W20" i="2" s="1"/>
  <c r="V10" i="2"/>
  <c r="Z10" i="2" s="1"/>
  <c r="R31" i="2"/>
  <c r="Q31" i="2"/>
  <c r="P31" i="2"/>
  <c r="T31" i="2" s="1"/>
  <c r="X31" i="2" s="1"/>
  <c r="M66" i="2" s="1"/>
  <c r="O31" i="2"/>
  <c r="S31" i="2" s="1"/>
  <c r="W31" i="2" s="1"/>
  <c r="R30" i="2"/>
  <c r="V30" i="2" s="1"/>
  <c r="Z30" i="2" s="1"/>
  <c r="O65" i="2" s="1"/>
  <c r="Q30" i="2"/>
  <c r="U30" i="2" s="1"/>
  <c r="Y30" i="2" s="1"/>
  <c r="P30" i="2"/>
  <c r="O30" i="2"/>
  <c r="R29" i="2"/>
  <c r="Q29" i="2"/>
  <c r="U29" i="2" s="1"/>
  <c r="Y29" i="2" s="1"/>
  <c r="AC29" i="2" s="1"/>
  <c r="P29" i="2"/>
  <c r="T29" i="2" s="1"/>
  <c r="X29" i="2" s="1"/>
  <c r="O29" i="2"/>
  <c r="S29" i="2" s="1"/>
  <c r="W29" i="2" s="1"/>
  <c r="R28" i="2"/>
  <c r="V28" i="2" s="1"/>
  <c r="Q28" i="2"/>
  <c r="U28" i="2" s="1"/>
  <c r="Y28" i="2" s="1"/>
  <c r="P28" i="2"/>
  <c r="O28" i="2"/>
  <c r="R27" i="2"/>
  <c r="V27" i="2" s="1"/>
  <c r="Z27" i="2" s="1"/>
  <c r="Q27" i="2"/>
  <c r="P27" i="2"/>
  <c r="T27" i="2" s="1"/>
  <c r="O27" i="2"/>
  <c r="S27" i="2" s="1"/>
  <c r="W27" i="2" s="1"/>
  <c r="R26" i="2"/>
  <c r="V26" i="2" s="1"/>
  <c r="Z26" i="2" s="1"/>
  <c r="Q26" i="2"/>
  <c r="U26" i="2" s="1"/>
  <c r="Y26" i="2" s="1"/>
  <c r="P26" i="2"/>
  <c r="O26" i="2"/>
  <c r="R25" i="2"/>
  <c r="V25" i="2" s="1"/>
  <c r="Z25" i="2" s="1"/>
  <c r="Q25" i="2"/>
  <c r="P25" i="2"/>
  <c r="T25" i="2" s="1"/>
  <c r="O25" i="2"/>
  <c r="S25" i="2" s="1"/>
  <c r="W25" i="2" s="1"/>
  <c r="R24" i="2"/>
  <c r="V24" i="2" s="1"/>
  <c r="Z24" i="2" s="1"/>
  <c r="Q24" i="2"/>
  <c r="U24" i="2" s="1"/>
  <c r="Y24" i="2" s="1"/>
  <c r="P24" i="2"/>
  <c r="O24" i="2"/>
  <c r="R23" i="2"/>
  <c r="Q23" i="2"/>
  <c r="P23" i="2"/>
  <c r="T23" i="2" s="1"/>
  <c r="X23" i="2" s="1"/>
  <c r="M58" i="2" s="1"/>
  <c r="O23" i="2"/>
  <c r="S23" i="2" s="1"/>
  <c r="W23" i="2" s="1"/>
  <c r="R22" i="2"/>
  <c r="V22" i="2" s="1"/>
  <c r="Z22" i="2" s="1"/>
  <c r="Q22" i="2"/>
  <c r="U22" i="2" s="1"/>
  <c r="Y22" i="2" s="1"/>
  <c r="P22" i="2"/>
  <c r="O22" i="2"/>
  <c r="R21" i="2"/>
  <c r="V21" i="2" s="1"/>
  <c r="Z21" i="2" s="1"/>
  <c r="Q21" i="2"/>
  <c r="U21" i="2" s="1"/>
  <c r="Y21" i="2" s="1"/>
  <c r="AC21" i="2" s="1"/>
  <c r="P21" i="2"/>
  <c r="T21" i="2" s="1"/>
  <c r="X21" i="2" s="1"/>
  <c r="M56" i="2" s="1"/>
  <c r="O21" i="2"/>
  <c r="S21" i="2" s="1"/>
  <c r="W21" i="2" s="1"/>
  <c r="R20" i="2"/>
  <c r="V20" i="2" s="1"/>
  <c r="Q20" i="2"/>
  <c r="U20" i="2" s="1"/>
  <c r="Y20" i="2" s="1"/>
  <c r="P20" i="2"/>
  <c r="O20" i="2"/>
  <c r="S10" i="2"/>
  <c r="W10" i="2" s="1"/>
  <c r="R11" i="2"/>
  <c r="V11" i="2" s="1"/>
  <c r="Z11" i="2" s="1"/>
  <c r="Q11" i="2"/>
  <c r="U11" i="2" s="1"/>
  <c r="Y11" i="2" s="1"/>
  <c r="AC11" i="2" s="1"/>
  <c r="P11" i="2"/>
  <c r="T11" i="2" s="1"/>
  <c r="R10" i="2"/>
  <c r="Q10" i="2"/>
  <c r="U10" i="2" s="1"/>
  <c r="Y10" i="2" s="1"/>
  <c r="P10" i="2"/>
  <c r="T10" i="2" s="1"/>
  <c r="X10" i="2" s="1"/>
  <c r="O11" i="2"/>
  <c r="S11" i="2" s="1"/>
  <c r="W11" i="2" s="1"/>
  <c r="O10" i="2"/>
  <c r="O4" i="2"/>
  <c r="R19" i="17"/>
  <c r="V19" i="17" s="1"/>
  <c r="Z19" i="17" s="1"/>
  <c r="Q19" i="17"/>
  <c r="U19" i="17" s="1"/>
  <c r="Y19" i="17" s="1"/>
  <c r="P19" i="17"/>
  <c r="T19" i="17" s="1"/>
  <c r="X19" i="17" s="1"/>
  <c r="O19" i="17"/>
  <c r="S19" i="17" s="1"/>
  <c r="W19" i="17" s="1"/>
  <c r="R18" i="17"/>
  <c r="V18" i="17"/>
  <c r="Z18" i="17" s="1"/>
  <c r="Q18" i="17"/>
  <c r="U18" i="17" s="1"/>
  <c r="Y18" i="17" s="1"/>
  <c r="P18" i="17"/>
  <c r="T18" i="17" s="1"/>
  <c r="X18" i="17" s="1"/>
  <c r="O18" i="17"/>
  <c r="S18" i="17" s="1"/>
  <c r="W18" i="17" s="1"/>
  <c r="R17" i="17"/>
  <c r="V17" i="17" s="1"/>
  <c r="Z17" i="17" s="1"/>
  <c r="Q17" i="17"/>
  <c r="U17" i="17" s="1"/>
  <c r="Y17" i="17" s="1"/>
  <c r="P17" i="17"/>
  <c r="T17" i="17"/>
  <c r="X17" i="17" s="1"/>
  <c r="O17" i="17"/>
  <c r="S17" i="17"/>
  <c r="W17" i="17" s="1"/>
  <c r="R16" i="17"/>
  <c r="V16" i="17"/>
  <c r="Z16" i="17" s="1"/>
  <c r="Q16" i="17"/>
  <c r="U16" i="17" s="1"/>
  <c r="Y16" i="17" s="1"/>
  <c r="P16" i="17"/>
  <c r="T16" i="17" s="1"/>
  <c r="X16" i="17" s="1"/>
  <c r="O16" i="17"/>
  <c r="S16" i="17"/>
  <c r="W16" i="17" s="1"/>
  <c r="R15" i="17"/>
  <c r="V15" i="17" s="1"/>
  <c r="Z15" i="17"/>
  <c r="Q15" i="17"/>
  <c r="U15" i="17"/>
  <c r="Y15" i="17" s="1"/>
  <c r="P15" i="17"/>
  <c r="T15" i="17" s="1"/>
  <c r="X15" i="17" s="1"/>
  <c r="O15" i="17"/>
  <c r="S15" i="17" s="1"/>
  <c r="W15" i="17" s="1"/>
  <c r="R14" i="17"/>
  <c r="V14" i="17" s="1"/>
  <c r="Z14" i="17" s="1"/>
  <c r="Q14" i="17"/>
  <c r="U14" i="17" s="1"/>
  <c r="Y14" i="17" s="1"/>
  <c r="P14" i="17"/>
  <c r="T14" i="17" s="1"/>
  <c r="X14" i="17" s="1"/>
  <c r="O14" i="17"/>
  <c r="S14" i="17"/>
  <c r="W14" i="17" s="1"/>
  <c r="R9" i="17"/>
  <c r="V9" i="17" s="1"/>
  <c r="Z9" i="17" s="1"/>
  <c r="O9" i="17"/>
  <c r="S9" i="17"/>
  <c r="W9" i="17" s="1"/>
  <c r="P9" i="17"/>
  <c r="T9" i="17" s="1"/>
  <c r="X9" i="17"/>
  <c r="Q9" i="17"/>
  <c r="U9" i="17"/>
  <c r="Y9" i="17" s="1"/>
  <c r="N43" i="17" s="1"/>
  <c r="R8" i="17"/>
  <c r="V8" i="17" s="1"/>
  <c r="Z8" i="17" s="1"/>
  <c r="O8" i="17"/>
  <c r="S8" i="17" s="1"/>
  <c r="W8" i="17"/>
  <c r="P8" i="17"/>
  <c r="T8" i="17"/>
  <c r="X8" i="17" s="1"/>
  <c r="Q8" i="17"/>
  <c r="U8" i="17" s="1"/>
  <c r="Y8" i="17" s="1"/>
  <c r="R7" i="17"/>
  <c r="V7" i="17" s="1"/>
  <c r="Z7" i="17" s="1"/>
  <c r="O7" i="17"/>
  <c r="S7" i="17" s="1"/>
  <c r="W7" i="17" s="1"/>
  <c r="P7" i="17"/>
  <c r="T7" i="17" s="1"/>
  <c r="X7" i="17" s="1"/>
  <c r="Q7" i="17"/>
  <c r="U7" i="17"/>
  <c r="Y7" i="17" s="1"/>
  <c r="R6" i="17"/>
  <c r="V6" i="17"/>
  <c r="Z6" i="17" s="1"/>
  <c r="O6" i="17"/>
  <c r="S6" i="17" s="1"/>
  <c r="W6" i="17"/>
  <c r="P6" i="17"/>
  <c r="T6" i="17"/>
  <c r="X6" i="17" s="1"/>
  <c r="Q6" i="17"/>
  <c r="U6" i="17" s="1"/>
  <c r="Y6" i="17" s="1"/>
  <c r="O5" i="17"/>
  <c r="S5" i="17" s="1"/>
  <c r="W5" i="17" s="1"/>
  <c r="P5" i="17"/>
  <c r="T5" i="17" s="1"/>
  <c r="X5" i="17" s="1"/>
  <c r="Q5" i="17"/>
  <c r="U5" i="17" s="1"/>
  <c r="Y5" i="17" s="1"/>
  <c r="R5" i="17"/>
  <c r="V5" i="17"/>
  <c r="Z5" i="17" s="1"/>
  <c r="O4" i="17"/>
  <c r="S4" i="17"/>
  <c r="W4" i="17" s="1"/>
  <c r="L38" i="17" s="1"/>
  <c r="P4" i="17"/>
  <c r="T4" i="17" s="1"/>
  <c r="X4" i="17" s="1"/>
  <c r="Q4" i="17"/>
  <c r="U4" i="17"/>
  <c r="Y4" i="17" s="1"/>
  <c r="R4" i="17"/>
  <c r="V4" i="17" s="1"/>
  <c r="Z4" i="17" s="1"/>
  <c r="R19" i="16"/>
  <c r="V19" i="16" s="1"/>
  <c r="Z19" i="16" s="1"/>
  <c r="Q19" i="16"/>
  <c r="U19" i="16" s="1"/>
  <c r="Y19" i="16" s="1"/>
  <c r="P19" i="16"/>
  <c r="T19" i="16" s="1"/>
  <c r="X19" i="16" s="1"/>
  <c r="O19" i="16"/>
  <c r="S19" i="16" s="1"/>
  <c r="W19" i="16" s="1"/>
  <c r="R18" i="16"/>
  <c r="V18" i="16" s="1"/>
  <c r="Z18" i="16" s="1"/>
  <c r="Q18" i="16"/>
  <c r="U18" i="16" s="1"/>
  <c r="Y18" i="16" s="1"/>
  <c r="P18" i="16"/>
  <c r="T18" i="16" s="1"/>
  <c r="X18" i="16" s="1"/>
  <c r="O18" i="16"/>
  <c r="S18" i="16" s="1"/>
  <c r="W18" i="16" s="1"/>
  <c r="R17" i="16"/>
  <c r="V17" i="16" s="1"/>
  <c r="Z17" i="16" s="1"/>
  <c r="Q17" i="16"/>
  <c r="U17" i="16" s="1"/>
  <c r="Y17" i="16" s="1"/>
  <c r="P17" i="16"/>
  <c r="T17" i="16"/>
  <c r="X17" i="16" s="1"/>
  <c r="O17" i="16"/>
  <c r="S17" i="16" s="1"/>
  <c r="W17" i="16" s="1"/>
  <c r="R16" i="16"/>
  <c r="V16" i="16" s="1"/>
  <c r="Z16" i="16" s="1"/>
  <c r="Q16" i="16"/>
  <c r="U16" i="16" s="1"/>
  <c r="Y16" i="16" s="1"/>
  <c r="P16" i="16"/>
  <c r="T16" i="16" s="1"/>
  <c r="X16" i="16" s="1"/>
  <c r="O16" i="16"/>
  <c r="S16" i="16" s="1"/>
  <c r="W16" i="16" s="1"/>
  <c r="R15" i="16"/>
  <c r="V15" i="16" s="1"/>
  <c r="Z15" i="16" s="1"/>
  <c r="Q15" i="16"/>
  <c r="U15" i="16"/>
  <c r="Y15" i="16"/>
  <c r="P15" i="16"/>
  <c r="T15" i="16" s="1"/>
  <c r="X15" i="16" s="1"/>
  <c r="O15" i="16"/>
  <c r="S15" i="16" s="1"/>
  <c r="W15" i="16" s="1"/>
  <c r="R14" i="16"/>
  <c r="V14" i="16"/>
  <c r="Z14" i="16" s="1"/>
  <c r="Q14" i="16"/>
  <c r="U14" i="16"/>
  <c r="Y14" i="16" s="1"/>
  <c r="P14" i="16"/>
  <c r="T14" i="16" s="1"/>
  <c r="X14" i="16" s="1"/>
  <c r="O14" i="16"/>
  <c r="S14" i="16" s="1"/>
  <c r="W14" i="16" s="1"/>
  <c r="R9" i="16"/>
  <c r="V9" i="16" s="1"/>
  <c r="Z9" i="16" s="1"/>
  <c r="O9" i="16"/>
  <c r="S9" i="16" s="1"/>
  <c r="W9" i="16" s="1"/>
  <c r="P9" i="16"/>
  <c r="T9" i="16" s="1"/>
  <c r="X9" i="16" s="1"/>
  <c r="Q9" i="16"/>
  <c r="U9" i="16" s="1"/>
  <c r="Y9" i="16" s="1"/>
  <c r="R8" i="16"/>
  <c r="V8" i="16" s="1"/>
  <c r="Z8" i="16" s="1"/>
  <c r="O8" i="16"/>
  <c r="S8" i="16" s="1"/>
  <c r="W8" i="16" s="1"/>
  <c r="P8" i="16"/>
  <c r="T8" i="16"/>
  <c r="X8" i="16" s="1"/>
  <c r="AB8" i="16" s="1"/>
  <c r="Q8" i="16"/>
  <c r="U8" i="16" s="1"/>
  <c r="Y8" i="16" s="1"/>
  <c r="R7" i="16"/>
  <c r="V7" i="16" s="1"/>
  <c r="Z7" i="16"/>
  <c r="O7" i="16"/>
  <c r="S7" i="16" s="1"/>
  <c r="W7" i="16" s="1"/>
  <c r="P7" i="16"/>
  <c r="T7" i="16" s="1"/>
  <c r="X7" i="16" s="1"/>
  <c r="Q7" i="16"/>
  <c r="U7" i="16"/>
  <c r="Y7" i="16" s="1"/>
  <c r="N41" i="16" s="1"/>
  <c r="R6" i="16"/>
  <c r="V6" i="16"/>
  <c r="Z6" i="16" s="1"/>
  <c r="O6" i="16"/>
  <c r="S6" i="16" s="1"/>
  <c r="W6" i="16" s="1"/>
  <c r="P6" i="16"/>
  <c r="T6" i="16" s="1"/>
  <c r="X6" i="16" s="1"/>
  <c r="Q6" i="16"/>
  <c r="U6" i="16" s="1"/>
  <c r="Y6" i="16" s="1"/>
  <c r="O5" i="16"/>
  <c r="S5" i="16" s="1"/>
  <c r="W5" i="16" s="1"/>
  <c r="P5" i="16"/>
  <c r="T5" i="16"/>
  <c r="X5" i="16" s="1"/>
  <c r="AB5" i="16" s="1"/>
  <c r="Q5" i="16"/>
  <c r="U5" i="16" s="1"/>
  <c r="Y5" i="16" s="1"/>
  <c r="R5" i="16"/>
  <c r="V5" i="16"/>
  <c r="Z5" i="16" s="1"/>
  <c r="O4" i="16"/>
  <c r="S4" i="16" s="1"/>
  <c r="W4" i="16" s="1"/>
  <c r="L38" i="16" s="1"/>
  <c r="P4" i="16"/>
  <c r="T4" i="16" s="1"/>
  <c r="X4" i="16" s="1"/>
  <c r="Q4" i="16"/>
  <c r="U4" i="16"/>
  <c r="Y4" i="16"/>
  <c r="R4" i="16"/>
  <c r="V4" i="16" s="1"/>
  <c r="Z4" i="16"/>
  <c r="R19" i="15"/>
  <c r="V19" i="15" s="1"/>
  <c r="Z19" i="15" s="1"/>
  <c r="Q19" i="15"/>
  <c r="U19" i="15" s="1"/>
  <c r="Y19" i="15" s="1"/>
  <c r="P19" i="15"/>
  <c r="T19" i="15" s="1"/>
  <c r="X19" i="15" s="1"/>
  <c r="O19" i="15"/>
  <c r="S19" i="15" s="1"/>
  <c r="W19" i="15" s="1"/>
  <c r="R18" i="15"/>
  <c r="V18" i="15" s="1"/>
  <c r="Z18" i="15" s="1"/>
  <c r="Q18" i="15"/>
  <c r="U18" i="15" s="1"/>
  <c r="Y18" i="15" s="1"/>
  <c r="P18" i="15"/>
  <c r="T18" i="15"/>
  <c r="X18" i="15" s="1"/>
  <c r="O18" i="15"/>
  <c r="S18" i="15" s="1"/>
  <c r="W18" i="15" s="1"/>
  <c r="R17" i="15"/>
  <c r="V17" i="15"/>
  <c r="Z17" i="15" s="1"/>
  <c r="Q17" i="15"/>
  <c r="U17" i="15" s="1"/>
  <c r="Y17" i="15" s="1"/>
  <c r="P17" i="15"/>
  <c r="T17" i="15" s="1"/>
  <c r="X17" i="15" s="1"/>
  <c r="O17" i="15"/>
  <c r="S17" i="15" s="1"/>
  <c r="W17" i="15" s="1"/>
  <c r="R16" i="15"/>
  <c r="V16" i="15" s="1"/>
  <c r="Z16" i="15" s="1"/>
  <c r="Q16" i="15"/>
  <c r="U16" i="15" s="1"/>
  <c r="Y16" i="15"/>
  <c r="P16" i="15"/>
  <c r="T16" i="15" s="1"/>
  <c r="X16" i="15" s="1"/>
  <c r="O16" i="15"/>
  <c r="S16" i="15" s="1"/>
  <c r="W16" i="15" s="1"/>
  <c r="R15" i="15"/>
  <c r="V15" i="15"/>
  <c r="Z15" i="15" s="1"/>
  <c r="Q15" i="15"/>
  <c r="U15" i="15"/>
  <c r="Y15" i="15"/>
  <c r="P15" i="15"/>
  <c r="T15" i="15" s="1"/>
  <c r="X15" i="15" s="1"/>
  <c r="O15" i="15"/>
  <c r="S15" i="15" s="1"/>
  <c r="W15" i="15" s="1"/>
  <c r="R14" i="15"/>
  <c r="V14" i="15" s="1"/>
  <c r="Z14" i="15" s="1"/>
  <c r="Q14" i="15"/>
  <c r="U14" i="15" s="1"/>
  <c r="Y14" i="15"/>
  <c r="P14" i="15"/>
  <c r="T14" i="15" s="1"/>
  <c r="X14" i="15" s="1"/>
  <c r="O14" i="15"/>
  <c r="S14" i="15" s="1"/>
  <c r="W14" i="15" s="1"/>
  <c r="R9" i="15"/>
  <c r="V9" i="15"/>
  <c r="Z9" i="15" s="1"/>
  <c r="O9" i="15"/>
  <c r="S9" i="15" s="1"/>
  <c r="W9" i="15" s="1"/>
  <c r="P9" i="15"/>
  <c r="T9" i="15" s="1"/>
  <c r="X9" i="15" s="1"/>
  <c r="Q9" i="15"/>
  <c r="U9" i="15" s="1"/>
  <c r="Y9" i="15" s="1"/>
  <c r="R8" i="15"/>
  <c r="V8" i="15"/>
  <c r="Z8" i="15"/>
  <c r="O8" i="15"/>
  <c r="S8" i="15" s="1"/>
  <c r="W8" i="15" s="1"/>
  <c r="P8" i="15"/>
  <c r="T8" i="15" s="1"/>
  <c r="X8" i="15" s="1"/>
  <c r="AB8" i="15" s="1"/>
  <c r="Q8" i="15"/>
  <c r="U8" i="15" s="1"/>
  <c r="Y8" i="15" s="1"/>
  <c r="R7" i="15"/>
  <c r="V7" i="15"/>
  <c r="Z7" i="15" s="1"/>
  <c r="O7" i="15"/>
  <c r="S7" i="15" s="1"/>
  <c r="W7" i="15" s="1"/>
  <c r="L41" i="15" s="1"/>
  <c r="P7" i="15"/>
  <c r="T7" i="15"/>
  <c r="X7" i="15" s="1"/>
  <c r="Q7" i="15"/>
  <c r="U7" i="15"/>
  <c r="Y7" i="15" s="1"/>
  <c r="R6" i="15"/>
  <c r="V6" i="15" s="1"/>
  <c r="Z6" i="15" s="1"/>
  <c r="O6" i="15"/>
  <c r="S6" i="15" s="1"/>
  <c r="W6" i="15" s="1"/>
  <c r="P6" i="15"/>
  <c r="T6" i="15"/>
  <c r="X6" i="15" s="1"/>
  <c r="Q6" i="15"/>
  <c r="U6" i="15" s="1"/>
  <c r="Y6" i="15" s="1"/>
  <c r="O5" i="15"/>
  <c r="S5" i="15"/>
  <c r="W5" i="15" s="1"/>
  <c r="P5" i="15"/>
  <c r="T5" i="15" s="1"/>
  <c r="X5" i="15" s="1"/>
  <c r="Q5" i="15"/>
  <c r="U5" i="15" s="1"/>
  <c r="Y5" i="15" s="1"/>
  <c r="R5" i="15"/>
  <c r="V5" i="15" s="1"/>
  <c r="Z5" i="15" s="1"/>
  <c r="O4" i="15"/>
  <c r="S4" i="15" s="1"/>
  <c r="W4" i="15" s="1"/>
  <c r="L38" i="15" s="1"/>
  <c r="P4" i="15"/>
  <c r="T4" i="15"/>
  <c r="X4" i="15" s="1"/>
  <c r="Q4" i="15"/>
  <c r="U4" i="15"/>
  <c r="Y4" i="15" s="1"/>
  <c r="R4" i="15"/>
  <c r="V4" i="15"/>
  <c r="Z4" i="15" s="1"/>
  <c r="R19" i="14"/>
  <c r="V19" i="14" s="1"/>
  <c r="Z19" i="14" s="1"/>
  <c r="Q19" i="14"/>
  <c r="U19" i="14"/>
  <c r="Y19" i="14" s="1"/>
  <c r="P19" i="14"/>
  <c r="T19" i="14" s="1"/>
  <c r="X19" i="14" s="1"/>
  <c r="O19" i="14"/>
  <c r="S19" i="14" s="1"/>
  <c r="W19" i="14" s="1"/>
  <c r="R18" i="14"/>
  <c r="V18" i="14" s="1"/>
  <c r="Z18" i="14" s="1"/>
  <c r="Q18" i="14"/>
  <c r="U18" i="14" s="1"/>
  <c r="Y18" i="14" s="1"/>
  <c r="P18" i="14"/>
  <c r="T18" i="14" s="1"/>
  <c r="X18" i="14" s="1"/>
  <c r="O18" i="14"/>
  <c r="S18" i="14" s="1"/>
  <c r="W18" i="14" s="1"/>
  <c r="R17" i="14"/>
  <c r="V17" i="14" s="1"/>
  <c r="Z17" i="14" s="1"/>
  <c r="Q17" i="14"/>
  <c r="U17" i="14" s="1"/>
  <c r="Y17" i="14" s="1"/>
  <c r="P17" i="14"/>
  <c r="T17" i="14" s="1"/>
  <c r="X17" i="14" s="1"/>
  <c r="O17" i="14"/>
  <c r="S17" i="14" s="1"/>
  <c r="W17" i="14" s="1"/>
  <c r="R16" i="14"/>
  <c r="V16" i="14"/>
  <c r="Z16" i="14" s="1"/>
  <c r="Q16" i="14"/>
  <c r="U16" i="14"/>
  <c r="Y16" i="14" s="1"/>
  <c r="P16" i="14"/>
  <c r="T16" i="14" s="1"/>
  <c r="X16" i="14" s="1"/>
  <c r="O16" i="14"/>
  <c r="S16" i="14"/>
  <c r="W16" i="14" s="1"/>
  <c r="R15" i="14"/>
  <c r="V15" i="14" s="1"/>
  <c r="Z15" i="14" s="1"/>
  <c r="Q15" i="14"/>
  <c r="U15" i="14" s="1"/>
  <c r="Y15" i="14" s="1"/>
  <c r="P15" i="14"/>
  <c r="T15" i="14" s="1"/>
  <c r="X15" i="14" s="1"/>
  <c r="O15" i="14"/>
  <c r="S15" i="14" s="1"/>
  <c r="W15" i="14" s="1"/>
  <c r="R14" i="14"/>
  <c r="V14" i="14" s="1"/>
  <c r="Z14" i="14" s="1"/>
  <c r="Q14" i="14"/>
  <c r="U14" i="14"/>
  <c r="Y14" i="14" s="1"/>
  <c r="P14" i="14"/>
  <c r="T14" i="14"/>
  <c r="X14" i="14"/>
  <c r="O14" i="14"/>
  <c r="S14" i="14" s="1"/>
  <c r="W14" i="14" s="1"/>
  <c r="R9" i="14"/>
  <c r="V9" i="14" s="1"/>
  <c r="Z9" i="14" s="1"/>
  <c r="O43" i="14" s="1"/>
  <c r="O9" i="14"/>
  <c r="S9" i="14" s="1"/>
  <c r="W9" i="14" s="1"/>
  <c r="P9" i="14"/>
  <c r="T9" i="14" s="1"/>
  <c r="X9" i="14" s="1"/>
  <c r="Q9" i="14"/>
  <c r="U9" i="14"/>
  <c r="Y9" i="14"/>
  <c r="R8" i="14"/>
  <c r="V8" i="14"/>
  <c r="Z8" i="14" s="1"/>
  <c r="O8" i="14"/>
  <c r="S8" i="14" s="1"/>
  <c r="W8" i="14" s="1"/>
  <c r="L42" i="14" s="1"/>
  <c r="P8" i="14"/>
  <c r="T8" i="14" s="1"/>
  <c r="X8" i="14" s="1"/>
  <c r="Q8" i="14"/>
  <c r="U8" i="14" s="1"/>
  <c r="Y8" i="14" s="1"/>
  <c r="AC8" i="14" s="1"/>
  <c r="R7" i="14"/>
  <c r="V7" i="14" s="1"/>
  <c r="Z7" i="14" s="1"/>
  <c r="O7" i="14"/>
  <c r="S7" i="14" s="1"/>
  <c r="W7" i="14" s="1"/>
  <c r="P7" i="14"/>
  <c r="T7" i="14"/>
  <c r="X7" i="14" s="1"/>
  <c r="M41" i="14" s="1"/>
  <c r="Q7" i="14"/>
  <c r="U7" i="14" s="1"/>
  <c r="Y7" i="14" s="1"/>
  <c r="N41" i="14" s="1"/>
  <c r="R6" i="14"/>
  <c r="V6" i="14"/>
  <c r="Z6" i="14" s="1"/>
  <c r="O6" i="14"/>
  <c r="S6" i="14" s="1"/>
  <c r="W6" i="14" s="1"/>
  <c r="P6" i="14"/>
  <c r="T6" i="14"/>
  <c r="X6" i="14" s="1"/>
  <c r="Q6" i="14"/>
  <c r="U6" i="14" s="1"/>
  <c r="Y6" i="14" s="1"/>
  <c r="O5" i="14"/>
  <c r="S5" i="14"/>
  <c r="W5" i="14" s="1"/>
  <c r="AA5" i="14" s="1"/>
  <c r="P5" i="14"/>
  <c r="T5" i="14" s="1"/>
  <c r="X5" i="14" s="1"/>
  <c r="AB5" i="14"/>
  <c r="Q5" i="14"/>
  <c r="U5" i="14" s="1"/>
  <c r="Y5" i="14" s="1"/>
  <c r="R5" i="14"/>
  <c r="V5" i="14" s="1"/>
  <c r="Z5" i="14" s="1"/>
  <c r="O4" i="14"/>
  <c r="S4" i="14" s="1"/>
  <c r="W4" i="14" s="1"/>
  <c r="P4" i="14"/>
  <c r="T4" i="14" s="1"/>
  <c r="X4" i="14" s="1"/>
  <c r="Q4" i="14"/>
  <c r="U4" i="14" s="1"/>
  <c r="Y4" i="14" s="1"/>
  <c r="R4" i="14"/>
  <c r="V4" i="14"/>
  <c r="Z4" i="14" s="1"/>
  <c r="O38" i="14" s="1"/>
  <c r="R19" i="13"/>
  <c r="V19" i="13" s="1"/>
  <c r="Z19" i="13" s="1"/>
  <c r="Q19" i="13"/>
  <c r="U19" i="13" s="1"/>
  <c r="Y19" i="13" s="1"/>
  <c r="P19" i="13"/>
  <c r="T19" i="13"/>
  <c r="X19" i="13" s="1"/>
  <c r="O19" i="13"/>
  <c r="S19" i="13"/>
  <c r="W19" i="13"/>
  <c r="R18" i="13"/>
  <c r="V18" i="13" s="1"/>
  <c r="Z18" i="13" s="1"/>
  <c r="Q18" i="13"/>
  <c r="U18" i="13" s="1"/>
  <c r="Y18" i="13" s="1"/>
  <c r="P18" i="13"/>
  <c r="T18" i="13" s="1"/>
  <c r="X18" i="13" s="1"/>
  <c r="O18" i="13"/>
  <c r="S18" i="13" s="1"/>
  <c r="W18" i="13" s="1"/>
  <c r="R17" i="13"/>
  <c r="V17" i="13" s="1"/>
  <c r="Z17" i="13" s="1"/>
  <c r="Q17" i="13"/>
  <c r="U17" i="13"/>
  <c r="Y17" i="13" s="1"/>
  <c r="P17" i="13"/>
  <c r="T17" i="13" s="1"/>
  <c r="X17" i="13" s="1"/>
  <c r="O17" i="13"/>
  <c r="S17" i="13"/>
  <c r="W17" i="13" s="1"/>
  <c r="R16" i="13"/>
  <c r="V16" i="13"/>
  <c r="Z16" i="13" s="1"/>
  <c r="Q16" i="13"/>
  <c r="U16" i="13"/>
  <c r="Y16" i="13" s="1"/>
  <c r="P16" i="13"/>
  <c r="T16" i="13" s="1"/>
  <c r="X16" i="13" s="1"/>
  <c r="O16" i="13"/>
  <c r="S16" i="13" s="1"/>
  <c r="W16" i="13" s="1"/>
  <c r="R15" i="13"/>
  <c r="V15" i="13" s="1"/>
  <c r="Z15" i="13"/>
  <c r="Q15" i="13"/>
  <c r="U15" i="13" s="1"/>
  <c r="Y15" i="13" s="1"/>
  <c r="P15" i="13"/>
  <c r="T15" i="13" s="1"/>
  <c r="X15" i="13" s="1"/>
  <c r="O15" i="13"/>
  <c r="S15" i="13"/>
  <c r="W15" i="13" s="1"/>
  <c r="R14" i="13"/>
  <c r="V14" i="13" s="1"/>
  <c r="Z14" i="13" s="1"/>
  <c r="Q14" i="13"/>
  <c r="U14" i="13" s="1"/>
  <c r="Y14" i="13" s="1"/>
  <c r="P14" i="13"/>
  <c r="T14" i="13"/>
  <c r="X14" i="13" s="1"/>
  <c r="O14" i="13"/>
  <c r="S14" i="13" s="1"/>
  <c r="W14" i="13" s="1"/>
  <c r="L48" i="13" s="1"/>
  <c r="R9" i="13"/>
  <c r="V9" i="13" s="1"/>
  <c r="Z9" i="13" s="1"/>
  <c r="O43" i="13" s="1"/>
  <c r="AD9" i="13"/>
  <c r="O9" i="13"/>
  <c r="S9" i="13" s="1"/>
  <c r="W9" i="13" s="1"/>
  <c r="AA9" i="13" s="1"/>
  <c r="P9" i="13"/>
  <c r="T9" i="13" s="1"/>
  <c r="X9" i="13" s="1"/>
  <c r="AB9" i="13" s="1"/>
  <c r="Q9" i="13"/>
  <c r="U9" i="13" s="1"/>
  <c r="Y9" i="13" s="1"/>
  <c r="N43" i="13" s="1"/>
  <c r="R8" i="13"/>
  <c r="V8" i="13" s="1"/>
  <c r="Z8" i="13" s="1"/>
  <c r="O42" i="13" s="1"/>
  <c r="O8" i="13"/>
  <c r="S8" i="13" s="1"/>
  <c r="W8" i="13" s="1"/>
  <c r="L42" i="13" s="1"/>
  <c r="P8" i="13"/>
  <c r="T8" i="13" s="1"/>
  <c r="X8" i="13" s="1"/>
  <c r="M42" i="13" s="1"/>
  <c r="Q8" i="13"/>
  <c r="U8" i="13" s="1"/>
  <c r="Y8" i="13" s="1"/>
  <c r="N42" i="13" s="1"/>
  <c r="R7" i="13"/>
  <c r="V7" i="13" s="1"/>
  <c r="Z7" i="13" s="1"/>
  <c r="AD7" i="13" s="1"/>
  <c r="O7" i="13"/>
  <c r="S7" i="13" s="1"/>
  <c r="W7" i="13" s="1"/>
  <c r="AA7" i="13" s="1"/>
  <c r="P7" i="13"/>
  <c r="T7" i="13" s="1"/>
  <c r="X7" i="13" s="1"/>
  <c r="Q7" i="13"/>
  <c r="U7" i="13" s="1"/>
  <c r="Y7" i="13" s="1"/>
  <c r="N41" i="13" s="1"/>
  <c r="R6" i="13"/>
  <c r="V6" i="13" s="1"/>
  <c r="Z6" i="13" s="1"/>
  <c r="AD6" i="13" s="1"/>
  <c r="O6" i="13"/>
  <c r="S6" i="13" s="1"/>
  <c r="W6" i="13" s="1"/>
  <c r="P6" i="13"/>
  <c r="T6" i="13" s="1"/>
  <c r="X6" i="13" s="1"/>
  <c r="AB6" i="13" s="1"/>
  <c r="Q6" i="13"/>
  <c r="U6" i="13" s="1"/>
  <c r="Y6" i="13" s="1"/>
  <c r="AC6" i="13" s="1"/>
  <c r="O5" i="13"/>
  <c r="S5" i="13" s="1"/>
  <c r="W5" i="13" s="1"/>
  <c r="L39" i="13" s="1"/>
  <c r="P5" i="13"/>
  <c r="T5" i="13" s="1"/>
  <c r="X5" i="13" s="1"/>
  <c r="M39" i="13" s="1"/>
  <c r="Q5" i="13"/>
  <c r="U5" i="13" s="1"/>
  <c r="Y5" i="13" s="1"/>
  <c r="N39" i="13" s="1"/>
  <c r="R5" i="13"/>
  <c r="V5" i="13" s="1"/>
  <c r="Z5" i="13" s="1"/>
  <c r="O39" i="13" s="1"/>
  <c r="O4" i="13"/>
  <c r="S4" i="13" s="1"/>
  <c r="W4" i="13" s="1"/>
  <c r="L38" i="13" s="1"/>
  <c r="AA4" i="13"/>
  <c r="P4" i="13"/>
  <c r="T4" i="13" s="1"/>
  <c r="X4" i="13" s="1"/>
  <c r="M38" i="13" s="1"/>
  <c r="AB4" i="13"/>
  <c r="Q4" i="13"/>
  <c r="U4" i="13" s="1"/>
  <c r="Y4" i="13" s="1"/>
  <c r="N38" i="13" s="1"/>
  <c r="AC4" i="13"/>
  <c r="R4" i="13"/>
  <c r="V4" i="13" s="1"/>
  <c r="Z4" i="13" s="1"/>
  <c r="AD4" i="13"/>
  <c r="AH4" i="13" s="1"/>
  <c r="R19" i="12"/>
  <c r="V19" i="12"/>
  <c r="Z19" i="12" s="1"/>
  <c r="Q19" i="12"/>
  <c r="U19" i="12" s="1"/>
  <c r="Y19" i="12" s="1"/>
  <c r="P19" i="12"/>
  <c r="T19" i="12" s="1"/>
  <c r="X19" i="12" s="1"/>
  <c r="O19" i="12"/>
  <c r="S19" i="12" s="1"/>
  <c r="W19" i="12" s="1"/>
  <c r="R18" i="12"/>
  <c r="V18" i="12"/>
  <c r="Z18" i="12" s="1"/>
  <c r="Q18" i="12"/>
  <c r="U18" i="12" s="1"/>
  <c r="Y18" i="12" s="1"/>
  <c r="P18" i="12"/>
  <c r="T18" i="12" s="1"/>
  <c r="X18" i="12" s="1"/>
  <c r="O18" i="12"/>
  <c r="S18" i="12" s="1"/>
  <c r="W18" i="12" s="1"/>
  <c r="R17" i="12"/>
  <c r="V17" i="12"/>
  <c r="Z17" i="12" s="1"/>
  <c r="Q17" i="12"/>
  <c r="U17" i="12" s="1"/>
  <c r="Y17" i="12" s="1"/>
  <c r="P17" i="12"/>
  <c r="T17" i="12" s="1"/>
  <c r="X17" i="12" s="1"/>
  <c r="O17" i="12"/>
  <c r="S17" i="12" s="1"/>
  <c r="W17" i="12" s="1"/>
  <c r="R16" i="12"/>
  <c r="V16" i="12"/>
  <c r="Z16" i="12" s="1"/>
  <c r="Q16" i="12"/>
  <c r="U16" i="12" s="1"/>
  <c r="Y16" i="12" s="1"/>
  <c r="P16" i="12"/>
  <c r="T16" i="12" s="1"/>
  <c r="X16" i="12" s="1"/>
  <c r="O16" i="12"/>
  <c r="S16" i="12" s="1"/>
  <c r="W16" i="12" s="1"/>
  <c r="R15" i="12"/>
  <c r="V15" i="12"/>
  <c r="Z15" i="12" s="1"/>
  <c r="Q15" i="12"/>
  <c r="U15" i="12" s="1"/>
  <c r="Y15" i="12" s="1"/>
  <c r="P15" i="12"/>
  <c r="T15" i="12" s="1"/>
  <c r="X15" i="12" s="1"/>
  <c r="M49" i="12" s="1"/>
  <c r="O15" i="12"/>
  <c r="S15" i="12" s="1"/>
  <c r="W15" i="12" s="1"/>
  <c r="R14" i="12"/>
  <c r="V14" i="12"/>
  <c r="Z14" i="12" s="1"/>
  <c r="Q14" i="12"/>
  <c r="U14" i="12" s="1"/>
  <c r="Y14" i="12" s="1"/>
  <c r="P14" i="12"/>
  <c r="T14" i="12" s="1"/>
  <c r="X14" i="12" s="1"/>
  <c r="O14" i="12"/>
  <c r="S14" i="12" s="1"/>
  <c r="W14" i="12" s="1"/>
  <c r="R9" i="12"/>
  <c r="V9" i="12"/>
  <c r="Z9" i="12" s="1"/>
  <c r="O9" i="12"/>
  <c r="S9" i="12" s="1"/>
  <c r="W9" i="12" s="1"/>
  <c r="L43" i="12" s="1"/>
  <c r="P9" i="12"/>
  <c r="T9" i="12" s="1"/>
  <c r="X9" i="12" s="1"/>
  <c r="Q9" i="12"/>
  <c r="U9" i="12" s="1"/>
  <c r="Y9" i="12" s="1"/>
  <c r="R8" i="12"/>
  <c r="V8" i="12" s="1"/>
  <c r="Z8" i="12" s="1"/>
  <c r="O8" i="12"/>
  <c r="S8" i="12"/>
  <c r="W8" i="12"/>
  <c r="P8" i="12"/>
  <c r="T8" i="12" s="1"/>
  <c r="X8" i="12" s="1"/>
  <c r="Q8" i="12"/>
  <c r="U8" i="12" s="1"/>
  <c r="Y8" i="12" s="1"/>
  <c r="R7" i="12"/>
  <c r="V7" i="12" s="1"/>
  <c r="Z7" i="12" s="1"/>
  <c r="O7" i="12"/>
  <c r="S7" i="12"/>
  <c r="W7" i="12" s="1"/>
  <c r="P7" i="12"/>
  <c r="T7" i="12"/>
  <c r="X7" i="12" s="1"/>
  <c r="Q7" i="12"/>
  <c r="U7" i="12" s="1"/>
  <c r="Y7" i="12" s="1"/>
  <c r="R6" i="12"/>
  <c r="V6" i="12"/>
  <c r="Z6" i="12"/>
  <c r="O40" i="12" s="1"/>
  <c r="O6" i="12"/>
  <c r="S6" i="12" s="1"/>
  <c r="W6" i="12" s="1"/>
  <c r="P6" i="12"/>
  <c r="T6" i="12" s="1"/>
  <c r="X6" i="12" s="1"/>
  <c r="M40" i="12" s="1"/>
  <c r="Q6" i="12"/>
  <c r="U6" i="12" s="1"/>
  <c r="Y6" i="12" s="1"/>
  <c r="O5" i="12"/>
  <c r="S5" i="12" s="1"/>
  <c r="W5" i="12" s="1"/>
  <c r="P5" i="12"/>
  <c r="T5" i="12"/>
  <c r="X5" i="12"/>
  <c r="M39" i="12" s="1"/>
  <c r="Q5" i="12"/>
  <c r="U5" i="12"/>
  <c r="Y5" i="12" s="1"/>
  <c r="R5" i="12"/>
  <c r="V5" i="12"/>
  <c r="Z5" i="12"/>
  <c r="AD5" i="12"/>
  <c r="O4" i="12"/>
  <c r="S4" i="12" s="1"/>
  <c r="W4" i="12" s="1"/>
  <c r="L38" i="12" s="1"/>
  <c r="P4" i="12"/>
  <c r="T4" i="12" s="1"/>
  <c r="X4" i="12" s="1"/>
  <c r="Q4" i="12"/>
  <c r="U4" i="12"/>
  <c r="Y4" i="12" s="1"/>
  <c r="R4" i="12"/>
  <c r="V4" i="12"/>
  <c r="Z4" i="12" s="1"/>
  <c r="R19" i="11"/>
  <c r="V19" i="11" s="1"/>
  <c r="Z19" i="11" s="1"/>
  <c r="Q19" i="11"/>
  <c r="U19" i="11"/>
  <c r="Y19" i="11" s="1"/>
  <c r="P19" i="11"/>
  <c r="T19" i="11" s="1"/>
  <c r="X19" i="11" s="1"/>
  <c r="O19" i="11"/>
  <c r="S19" i="11" s="1"/>
  <c r="W19" i="11" s="1"/>
  <c r="R18" i="11"/>
  <c r="V18" i="11"/>
  <c r="Z18" i="11" s="1"/>
  <c r="Q18" i="11"/>
  <c r="U18" i="11"/>
  <c r="Y18" i="11" s="1"/>
  <c r="P18" i="11"/>
  <c r="T18" i="11" s="1"/>
  <c r="X18" i="11" s="1"/>
  <c r="O18" i="11"/>
  <c r="S18" i="11" s="1"/>
  <c r="W18" i="11" s="1"/>
  <c r="R17" i="11"/>
  <c r="V17" i="11"/>
  <c r="Z17" i="11" s="1"/>
  <c r="Q17" i="11"/>
  <c r="U17" i="11"/>
  <c r="Y17" i="11" s="1"/>
  <c r="P17" i="11"/>
  <c r="T17" i="11" s="1"/>
  <c r="X17" i="11" s="1"/>
  <c r="O17" i="11"/>
  <c r="S17" i="11" s="1"/>
  <c r="W17" i="11" s="1"/>
  <c r="R16" i="11"/>
  <c r="V16" i="11" s="1"/>
  <c r="Z16" i="11" s="1"/>
  <c r="Q16" i="11"/>
  <c r="U16" i="11" s="1"/>
  <c r="Y16" i="11" s="1"/>
  <c r="P16" i="11"/>
  <c r="T16" i="11" s="1"/>
  <c r="X16" i="11" s="1"/>
  <c r="O16" i="11"/>
  <c r="S16" i="11" s="1"/>
  <c r="W16" i="11" s="1"/>
  <c r="R15" i="11"/>
  <c r="V15" i="11" s="1"/>
  <c r="Z15" i="11" s="1"/>
  <c r="Q15" i="11"/>
  <c r="U15" i="11" s="1"/>
  <c r="Y15" i="11" s="1"/>
  <c r="P15" i="11"/>
  <c r="T15" i="11" s="1"/>
  <c r="X15" i="11" s="1"/>
  <c r="O15" i="11"/>
  <c r="S15" i="11" s="1"/>
  <c r="W15" i="11" s="1"/>
  <c r="R14" i="11"/>
  <c r="V14" i="11" s="1"/>
  <c r="Z14" i="11" s="1"/>
  <c r="Q14" i="11"/>
  <c r="U14" i="11"/>
  <c r="Y14" i="11" s="1"/>
  <c r="P14" i="11"/>
  <c r="T14" i="11" s="1"/>
  <c r="X14" i="11" s="1"/>
  <c r="O14" i="11"/>
  <c r="S14" i="11"/>
  <c r="W14" i="11" s="1"/>
  <c r="R9" i="11"/>
  <c r="V9" i="11" s="1"/>
  <c r="Z9" i="11" s="1"/>
  <c r="O9" i="11"/>
  <c r="S9" i="11"/>
  <c r="W9" i="11" s="1"/>
  <c r="P9" i="11"/>
  <c r="T9" i="11"/>
  <c r="X9" i="11" s="1"/>
  <c r="Q9" i="11"/>
  <c r="U9" i="11" s="1"/>
  <c r="Y9" i="11" s="1"/>
  <c r="R8" i="11"/>
  <c r="V8" i="11"/>
  <c r="Z8" i="11"/>
  <c r="O8" i="11"/>
  <c r="S8" i="11"/>
  <c r="W8" i="11" s="1"/>
  <c r="P8" i="11"/>
  <c r="T8" i="11" s="1"/>
  <c r="X8" i="11" s="1"/>
  <c r="Q8" i="11"/>
  <c r="U8" i="11" s="1"/>
  <c r="Y8" i="11" s="1"/>
  <c r="R7" i="11"/>
  <c r="V7" i="11"/>
  <c r="Z7" i="11" s="1"/>
  <c r="O7" i="11"/>
  <c r="S7" i="11"/>
  <c r="W7" i="11" s="1"/>
  <c r="P7" i="11"/>
  <c r="T7" i="11" s="1"/>
  <c r="X7" i="11" s="1"/>
  <c r="Q7" i="11"/>
  <c r="U7" i="11" s="1"/>
  <c r="Y7" i="11" s="1"/>
  <c r="R6" i="11"/>
  <c r="V6" i="11" s="1"/>
  <c r="Z6" i="11" s="1"/>
  <c r="O6" i="11"/>
  <c r="S6" i="11"/>
  <c r="W6" i="11" s="1"/>
  <c r="P6" i="11"/>
  <c r="T6" i="11"/>
  <c r="X6" i="11" s="1"/>
  <c r="Q6" i="11"/>
  <c r="U6" i="11"/>
  <c r="Y6" i="11" s="1"/>
  <c r="O5" i="11"/>
  <c r="S5" i="11"/>
  <c r="W5" i="11" s="1"/>
  <c r="P5" i="11"/>
  <c r="T5" i="11"/>
  <c r="X5" i="11" s="1"/>
  <c r="Q5" i="11"/>
  <c r="U5" i="11"/>
  <c r="Y5" i="11" s="1"/>
  <c r="R5" i="11"/>
  <c r="V5" i="11"/>
  <c r="Z5" i="11" s="1"/>
  <c r="O4" i="11"/>
  <c r="S4" i="11" s="1"/>
  <c r="W4" i="11" s="1"/>
  <c r="P4" i="11"/>
  <c r="T4" i="11" s="1"/>
  <c r="X4" i="11" s="1"/>
  <c r="Q4" i="11"/>
  <c r="U4" i="11" s="1"/>
  <c r="Y4" i="11" s="1"/>
  <c r="R4" i="11"/>
  <c r="V4" i="11"/>
  <c r="Z4" i="11" s="1"/>
  <c r="R19" i="10"/>
  <c r="V19" i="10" s="1"/>
  <c r="Z19" i="10" s="1"/>
  <c r="Q19" i="10"/>
  <c r="U19" i="10" s="1"/>
  <c r="Y19" i="10" s="1"/>
  <c r="P19" i="10"/>
  <c r="T19" i="10" s="1"/>
  <c r="X19" i="10" s="1"/>
  <c r="O19" i="10"/>
  <c r="S19" i="10" s="1"/>
  <c r="W19" i="10" s="1"/>
  <c r="R18" i="10"/>
  <c r="V18" i="10"/>
  <c r="Z18" i="10" s="1"/>
  <c r="Q18" i="10"/>
  <c r="U18" i="10" s="1"/>
  <c r="Y18" i="10" s="1"/>
  <c r="P18" i="10"/>
  <c r="T18" i="10" s="1"/>
  <c r="X18" i="10" s="1"/>
  <c r="O18" i="10"/>
  <c r="S18" i="10" s="1"/>
  <c r="W18" i="10" s="1"/>
  <c r="R17" i="10"/>
  <c r="V17" i="10"/>
  <c r="Z17" i="10" s="1"/>
  <c r="Q17" i="10"/>
  <c r="U17" i="10" s="1"/>
  <c r="Y17" i="10" s="1"/>
  <c r="P17" i="10"/>
  <c r="T17" i="10" s="1"/>
  <c r="X17" i="10"/>
  <c r="O17" i="10"/>
  <c r="S17" i="10" s="1"/>
  <c r="W17" i="10" s="1"/>
  <c r="R16" i="10"/>
  <c r="V16" i="10"/>
  <c r="Z16" i="10" s="1"/>
  <c r="O50" i="10" s="1"/>
  <c r="Q16" i="10"/>
  <c r="U16" i="10" s="1"/>
  <c r="Y16" i="10" s="1"/>
  <c r="P16" i="10"/>
  <c r="T16" i="10"/>
  <c r="X16" i="10"/>
  <c r="O16" i="10"/>
  <c r="S16" i="10" s="1"/>
  <c r="W16" i="10" s="1"/>
  <c r="R15" i="10"/>
  <c r="V15" i="10" s="1"/>
  <c r="Z15" i="10" s="1"/>
  <c r="Q15" i="10"/>
  <c r="U15" i="10"/>
  <c r="Y15" i="10" s="1"/>
  <c r="P15" i="10"/>
  <c r="T15" i="10" s="1"/>
  <c r="X15" i="10" s="1"/>
  <c r="O15" i="10"/>
  <c r="S15" i="10" s="1"/>
  <c r="W15" i="10" s="1"/>
  <c r="R14" i="10"/>
  <c r="V14" i="10" s="1"/>
  <c r="Z14" i="10" s="1"/>
  <c r="Q14" i="10"/>
  <c r="U14" i="10" s="1"/>
  <c r="Y14" i="10" s="1"/>
  <c r="P14" i="10"/>
  <c r="T14" i="10"/>
  <c r="X14" i="10"/>
  <c r="O14" i="10"/>
  <c r="S14" i="10" s="1"/>
  <c r="W14" i="10" s="1"/>
  <c r="R9" i="10"/>
  <c r="V9" i="10" s="1"/>
  <c r="Z9" i="10" s="1"/>
  <c r="O9" i="10"/>
  <c r="S9" i="10" s="1"/>
  <c r="W9" i="10" s="1"/>
  <c r="P9" i="10"/>
  <c r="T9" i="10" s="1"/>
  <c r="X9" i="10" s="1"/>
  <c r="Q9" i="10"/>
  <c r="U9" i="10"/>
  <c r="Y9" i="10" s="1"/>
  <c r="R8" i="10"/>
  <c r="V8" i="10" s="1"/>
  <c r="Z8" i="10" s="1"/>
  <c r="O8" i="10"/>
  <c r="S8" i="10" s="1"/>
  <c r="W8" i="10" s="1"/>
  <c r="P8" i="10"/>
  <c r="T8" i="10" s="1"/>
  <c r="X8" i="10" s="1"/>
  <c r="Q8" i="10"/>
  <c r="U8" i="10"/>
  <c r="Y8" i="10" s="1"/>
  <c r="AC8" i="10" s="1"/>
  <c r="R7" i="10"/>
  <c r="V7" i="10"/>
  <c r="Z7" i="10" s="1"/>
  <c r="O41" i="10" s="1"/>
  <c r="O7" i="10"/>
  <c r="S7" i="10"/>
  <c r="W7" i="10" s="1"/>
  <c r="P7" i="10"/>
  <c r="T7" i="10" s="1"/>
  <c r="X7" i="10" s="1"/>
  <c r="AB7" i="10" s="1"/>
  <c r="Q7" i="10"/>
  <c r="U7" i="10"/>
  <c r="Y7" i="10" s="1"/>
  <c r="R6" i="10"/>
  <c r="V6" i="10" s="1"/>
  <c r="Z6" i="10" s="1"/>
  <c r="O6" i="10"/>
  <c r="S6" i="10" s="1"/>
  <c r="W6" i="10" s="1"/>
  <c r="P6" i="10"/>
  <c r="T6" i="10" s="1"/>
  <c r="X6" i="10" s="1"/>
  <c r="Q6" i="10"/>
  <c r="U6" i="10" s="1"/>
  <c r="Y6" i="10" s="1"/>
  <c r="O5" i="10"/>
  <c r="S5" i="10" s="1"/>
  <c r="W5" i="10" s="1"/>
  <c r="L39" i="10" s="1"/>
  <c r="P5" i="10"/>
  <c r="T5" i="10" s="1"/>
  <c r="X5" i="10" s="1"/>
  <c r="Q5" i="10"/>
  <c r="U5" i="10" s="1"/>
  <c r="Y5" i="10" s="1"/>
  <c r="R5" i="10"/>
  <c r="V5" i="10" s="1"/>
  <c r="Z5" i="10" s="1"/>
  <c r="O4" i="10"/>
  <c r="S4" i="10" s="1"/>
  <c r="W4" i="10" s="1"/>
  <c r="P4" i="10"/>
  <c r="T4" i="10"/>
  <c r="X4" i="10" s="1"/>
  <c r="M38" i="10" s="1"/>
  <c r="Q4" i="10"/>
  <c r="U4" i="10"/>
  <c r="Y4" i="10" s="1"/>
  <c r="R4" i="10"/>
  <c r="V4" i="10"/>
  <c r="Z4" i="10" s="1"/>
  <c r="AD4" i="10" s="1"/>
  <c r="R19" i="9"/>
  <c r="V19" i="9" s="1"/>
  <c r="Z19" i="9" s="1"/>
  <c r="Q19" i="9"/>
  <c r="U19" i="9" s="1"/>
  <c r="Y19" i="9" s="1"/>
  <c r="P19" i="9"/>
  <c r="T19" i="9" s="1"/>
  <c r="X19" i="9" s="1"/>
  <c r="O19" i="9"/>
  <c r="S19" i="9"/>
  <c r="W19" i="9" s="1"/>
  <c r="R18" i="9"/>
  <c r="V18" i="9" s="1"/>
  <c r="Z18" i="9" s="1"/>
  <c r="Q18" i="9"/>
  <c r="U18" i="9"/>
  <c r="Y18" i="9" s="1"/>
  <c r="P18" i="9"/>
  <c r="T18" i="9" s="1"/>
  <c r="X18" i="9" s="1"/>
  <c r="O18" i="9"/>
  <c r="S18" i="9" s="1"/>
  <c r="W18" i="9" s="1"/>
  <c r="R17" i="9"/>
  <c r="V17" i="9" s="1"/>
  <c r="Z17" i="9" s="1"/>
  <c r="Q17" i="9"/>
  <c r="U17" i="9" s="1"/>
  <c r="Y17" i="9" s="1"/>
  <c r="P17" i="9"/>
  <c r="T17" i="9" s="1"/>
  <c r="X17" i="9" s="1"/>
  <c r="O17" i="9"/>
  <c r="S17" i="9" s="1"/>
  <c r="W17" i="9" s="1"/>
  <c r="R16" i="9"/>
  <c r="V16" i="9" s="1"/>
  <c r="Z16" i="9" s="1"/>
  <c r="Q16" i="9"/>
  <c r="U16" i="9" s="1"/>
  <c r="Y16" i="9" s="1"/>
  <c r="P16" i="9"/>
  <c r="T16" i="9" s="1"/>
  <c r="X16" i="9" s="1"/>
  <c r="O16" i="9"/>
  <c r="S16" i="9" s="1"/>
  <c r="W16" i="9"/>
  <c r="R15" i="9"/>
  <c r="V15" i="9" s="1"/>
  <c r="Z15" i="9"/>
  <c r="Q15" i="9"/>
  <c r="U15" i="9" s="1"/>
  <c r="Y15" i="9" s="1"/>
  <c r="P15" i="9"/>
  <c r="T15" i="9"/>
  <c r="X15" i="9" s="1"/>
  <c r="O15" i="9"/>
  <c r="S15" i="9"/>
  <c r="W15" i="9" s="1"/>
  <c r="L49" i="9" s="1"/>
  <c r="R14" i="9"/>
  <c r="V14" i="9" s="1"/>
  <c r="Z14" i="9" s="1"/>
  <c r="Q14" i="9"/>
  <c r="U14" i="9" s="1"/>
  <c r="Y14" i="9" s="1"/>
  <c r="P14" i="9"/>
  <c r="T14" i="9" s="1"/>
  <c r="X14" i="9" s="1"/>
  <c r="O14" i="9"/>
  <c r="S14" i="9" s="1"/>
  <c r="W14" i="9"/>
  <c r="R9" i="9"/>
  <c r="V9" i="9" s="1"/>
  <c r="Z9" i="9" s="1"/>
  <c r="O43" i="9" s="1"/>
  <c r="O9" i="9"/>
  <c r="S9" i="9" s="1"/>
  <c r="W9" i="9" s="1"/>
  <c r="L43" i="9" s="1"/>
  <c r="P9" i="9"/>
  <c r="T9" i="9" s="1"/>
  <c r="X9" i="9" s="1"/>
  <c r="Q9" i="9"/>
  <c r="U9" i="9" s="1"/>
  <c r="Y9" i="9" s="1"/>
  <c r="N43" i="9" s="1"/>
  <c r="R8" i="9"/>
  <c r="V8" i="9" s="1"/>
  <c r="Z8" i="9" s="1"/>
  <c r="O42" i="9" s="1"/>
  <c r="O8" i="9"/>
  <c r="S8" i="9" s="1"/>
  <c r="W8" i="9" s="1"/>
  <c r="P8" i="9"/>
  <c r="T8" i="9" s="1"/>
  <c r="X8" i="9" s="1"/>
  <c r="M42" i="9" s="1"/>
  <c r="Q8" i="9"/>
  <c r="U8" i="9" s="1"/>
  <c r="Y8" i="9"/>
  <c r="N42" i="9" s="1"/>
  <c r="R7" i="9"/>
  <c r="V7" i="9" s="1"/>
  <c r="Z7" i="9" s="1"/>
  <c r="O7" i="9"/>
  <c r="S7" i="9" s="1"/>
  <c r="W7" i="9" s="1"/>
  <c r="L41" i="9" s="1"/>
  <c r="P7" i="9"/>
  <c r="T7" i="9" s="1"/>
  <c r="X7" i="9" s="1"/>
  <c r="Q7" i="9"/>
  <c r="U7" i="9" s="1"/>
  <c r="Y7" i="9" s="1"/>
  <c r="N41" i="9" s="1"/>
  <c r="R6" i="9"/>
  <c r="V6" i="9" s="1"/>
  <c r="Z6" i="9" s="1"/>
  <c r="O40" i="9" s="1"/>
  <c r="AD6" i="9"/>
  <c r="O6" i="9"/>
  <c r="S6" i="9" s="1"/>
  <c r="W6" i="9" s="1"/>
  <c r="P6" i="9"/>
  <c r="T6" i="9" s="1"/>
  <c r="X6" i="9" s="1"/>
  <c r="AB6" i="9" s="1"/>
  <c r="Q6" i="9"/>
  <c r="U6" i="9" s="1"/>
  <c r="Y6" i="9" s="1"/>
  <c r="AC6" i="9" s="1"/>
  <c r="O5" i="9"/>
  <c r="S5" i="9" s="1"/>
  <c r="W5" i="9" s="1"/>
  <c r="AA5" i="9" s="1"/>
  <c r="P5" i="9"/>
  <c r="T5" i="9" s="1"/>
  <c r="X5" i="9" s="1"/>
  <c r="AB5" i="9" s="1"/>
  <c r="Q5" i="9"/>
  <c r="U5" i="9" s="1"/>
  <c r="Y5" i="9" s="1"/>
  <c r="AC5" i="9" s="1"/>
  <c r="R5" i="9"/>
  <c r="V5" i="9" s="1"/>
  <c r="Z5" i="9" s="1"/>
  <c r="AD5" i="9" s="1"/>
  <c r="O4" i="9"/>
  <c r="S4" i="9" s="1"/>
  <c r="W4" i="9" s="1"/>
  <c r="AA4" i="9" s="1"/>
  <c r="P4" i="9"/>
  <c r="T4" i="9" s="1"/>
  <c r="X4" i="9" s="1"/>
  <c r="Q4" i="9"/>
  <c r="U4" i="9" s="1"/>
  <c r="Y4" i="9" s="1"/>
  <c r="AC4" i="9" s="1"/>
  <c r="R4" i="9"/>
  <c r="V4" i="9" s="1"/>
  <c r="Z4" i="9"/>
  <c r="AD4" i="9" s="1"/>
  <c r="R9" i="7"/>
  <c r="V9" i="7" s="1"/>
  <c r="Z9" i="7" s="1"/>
  <c r="AD9" i="7" s="1"/>
  <c r="O9" i="7"/>
  <c r="S9" i="7" s="1"/>
  <c r="W9" i="7" s="1"/>
  <c r="P9" i="7"/>
  <c r="T9" i="7" s="1"/>
  <c r="X9" i="7" s="1"/>
  <c r="Q9" i="7"/>
  <c r="U9" i="7" s="1"/>
  <c r="Y9" i="7" s="1"/>
  <c r="AC9" i="7" s="1"/>
  <c r="R8" i="7"/>
  <c r="V8" i="7" s="1"/>
  <c r="Z8" i="7" s="1"/>
  <c r="O8" i="7"/>
  <c r="S8" i="7" s="1"/>
  <c r="W8" i="7" s="1"/>
  <c r="P8" i="7"/>
  <c r="T8" i="7" s="1"/>
  <c r="X8" i="7" s="1"/>
  <c r="Q8" i="7"/>
  <c r="U8" i="7" s="1"/>
  <c r="Y8" i="7" s="1"/>
  <c r="N42" i="7" s="1"/>
  <c r="R7" i="7"/>
  <c r="V7" i="7"/>
  <c r="Z7" i="7"/>
  <c r="O41" i="7" s="1"/>
  <c r="O7" i="7"/>
  <c r="S7" i="7" s="1"/>
  <c r="W7" i="7" s="1"/>
  <c r="P7" i="7"/>
  <c r="T7" i="7"/>
  <c r="X7" i="7" s="1"/>
  <c r="Q7" i="7"/>
  <c r="U7" i="7" s="1"/>
  <c r="Y7" i="7"/>
  <c r="N41" i="7" s="1"/>
  <c r="R6" i="7"/>
  <c r="V6" i="7" s="1"/>
  <c r="Z6" i="7"/>
  <c r="O40" i="7" s="1"/>
  <c r="O6" i="7"/>
  <c r="S6" i="7" s="1"/>
  <c r="W6" i="7" s="1"/>
  <c r="L40" i="7" s="1"/>
  <c r="P6" i="7"/>
  <c r="T6" i="7" s="1"/>
  <c r="X6" i="7"/>
  <c r="M40" i="7" s="1"/>
  <c r="Q6" i="7"/>
  <c r="U6" i="7" s="1"/>
  <c r="Y6" i="7" s="1"/>
  <c r="O5" i="7"/>
  <c r="S5" i="7" s="1"/>
  <c r="W5" i="7" s="1"/>
  <c r="P5" i="7"/>
  <c r="T5" i="7" s="1"/>
  <c r="X5" i="7" s="1"/>
  <c r="M39" i="7" s="1"/>
  <c r="Q5" i="7"/>
  <c r="U5" i="7" s="1"/>
  <c r="Y5" i="7" s="1"/>
  <c r="R5" i="7"/>
  <c r="V5" i="7" s="1"/>
  <c r="Z5" i="7" s="1"/>
  <c r="O4" i="7"/>
  <c r="S4" i="7" s="1"/>
  <c r="W4" i="7"/>
  <c r="AA4" i="7" s="1"/>
  <c r="P4" i="7"/>
  <c r="T4" i="7" s="1"/>
  <c r="X4" i="7" s="1"/>
  <c r="Q4" i="7"/>
  <c r="U4" i="7" s="1"/>
  <c r="Y4" i="7" s="1"/>
  <c r="AC4" i="7" s="1"/>
  <c r="R4" i="7"/>
  <c r="V4" i="7"/>
  <c r="Z4" i="7" s="1"/>
  <c r="AD4" i="7" s="1"/>
  <c r="AB10" i="1"/>
  <c r="AC10" i="1"/>
  <c r="AD10" i="1"/>
  <c r="AH10" i="1" s="1"/>
  <c r="AE10" i="1"/>
  <c r="AI10" i="1" s="1"/>
  <c r="AB11" i="1"/>
  <c r="AC11" i="1"/>
  <c r="AD11" i="1"/>
  <c r="AE11" i="1"/>
  <c r="AI11" i="1" s="1"/>
  <c r="AH11" i="1"/>
  <c r="R6" i="6"/>
  <c r="V6" i="6"/>
  <c r="Z6" i="6" s="1"/>
  <c r="AD6" i="6" s="1"/>
  <c r="O6" i="6"/>
  <c r="S6" i="6" s="1"/>
  <c r="W6" i="6" s="1"/>
  <c r="AA6" i="6" s="1"/>
  <c r="P6" i="6"/>
  <c r="T6" i="6"/>
  <c r="X6" i="6" s="1"/>
  <c r="Q6" i="6"/>
  <c r="U6" i="6" s="1"/>
  <c r="Y6" i="6" s="1"/>
  <c r="AC6" i="6" s="1"/>
  <c r="O5" i="6"/>
  <c r="S5" i="6" s="1"/>
  <c r="W5" i="6" s="1"/>
  <c r="P5" i="6"/>
  <c r="T5" i="6"/>
  <c r="X5" i="6" s="1"/>
  <c r="M39" i="6" s="1"/>
  <c r="Q5" i="6"/>
  <c r="U5" i="6" s="1"/>
  <c r="Y5" i="6" s="1"/>
  <c r="R5" i="6"/>
  <c r="V5" i="6"/>
  <c r="Z5" i="6" s="1"/>
  <c r="O4" i="6"/>
  <c r="S4" i="6"/>
  <c r="W4" i="6" s="1"/>
  <c r="P4" i="6"/>
  <c r="T4" i="6" s="1"/>
  <c r="X4" i="6"/>
  <c r="M38" i="6" s="1"/>
  <c r="Q4" i="6"/>
  <c r="U4" i="6" s="1"/>
  <c r="Y4" i="6" s="1"/>
  <c r="R4" i="6"/>
  <c r="V4" i="6" s="1"/>
  <c r="Z4" i="6" s="1"/>
  <c r="R19" i="5"/>
  <c r="V19" i="5" s="1"/>
  <c r="Z19" i="5" s="1"/>
  <c r="Q19" i="5"/>
  <c r="U19" i="5" s="1"/>
  <c r="Y19" i="5" s="1"/>
  <c r="P19" i="5"/>
  <c r="T19" i="5" s="1"/>
  <c r="X19" i="5" s="1"/>
  <c r="O19" i="5"/>
  <c r="S19" i="5" s="1"/>
  <c r="W19" i="5" s="1"/>
  <c r="R18" i="5"/>
  <c r="V18" i="5" s="1"/>
  <c r="Z18" i="5" s="1"/>
  <c r="Q18" i="5"/>
  <c r="U18" i="5" s="1"/>
  <c r="Y18" i="5" s="1"/>
  <c r="P18" i="5"/>
  <c r="T18" i="5" s="1"/>
  <c r="X18" i="5" s="1"/>
  <c r="O18" i="5"/>
  <c r="S18" i="5" s="1"/>
  <c r="W18" i="5" s="1"/>
  <c r="R17" i="5"/>
  <c r="V17" i="5" s="1"/>
  <c r="Z17" i="5" s="1"/>
  <c r="O51" i="5" s="1"/>
  <c r="Q17" i="5"/>
  <c r="U17" i="5" s="1"/>
  <c r="Y17" i="5" s="1"/>
  <c r="P17" i="5"/>
  <c r="T17" i="5" s="1"/>
  <c r="X17" i="5" s="1"/>
  <c r="O17" i="5"/>
  <c r="S17" i="5" s="1"/>
  <c r="W17" i="5" s="1"/>
  <c r="R16" i="5"/>
  <c r="V16" i="5"/>
  <c r="Z16" i="5" s="1"/>
  <c r="Q16" i="5"/>
  <c r="U16" i="5" s="1"/>
  <c r="Y16" i="5" s="1"/>
  <c r="P16" i="5"/>
  <c r="T16" i="5" s="1"/>
  <c r="X16" i="5" s="1"/>
  <c r="O16" i="5"/>
  <c r="S16" i="5"/>
  <c r="W16" i="5" s="1"/>
  <c r="R15" i="5"/>
  <c r="V15" i="5" s="1"/>
  <c r="Z15" i="5" s="1"/>
  <c r="Q15" i="5"/>
  <c r="U15" i="5" s="1"/>
  <c r="Y15" i="5" s="1"/>
  <c r="P15" i="5"/>
  <c r="T15" i="5"/>
  <c r="X15" i="5" s="1"/>
  <c r="O15" i="5"/>
  <c r="S15" i="5" s="1"/>
  <c r="W15" i="5" s="1"/>
  <c r="R14" i="5"/>
  <c r="V14" i="5"/>
  <c r="Z14" i="5" s="1"/>
  <c r="Q14" i="5"/>
  <c r="U14" i="5" s="1"/>
  <c r="Y14" i="5" s="1"/>
  <c r="P14" i="5"/>
  <c r="T14" i="5"/>
  <c r="X14" i="5" s="1"/>
  <c r="O14" i="5"/>
  <c r="S14" i="5" s="1"/>
  <c r="W14" i="5" s="1"/>
  <c r="R9" i="5"/>
  <c r="V9" i="5" s="1"/>
  <c r="Z9" i="5" s="1"/>
  <c r="O9" i="5"/>
  <c r="S9" i="5"/>
  <c r="W9" i="5"/>
  <c r="L43" i="5" s="1"/>
  <c r="P9" i="5"/>
  <c r="T9" i="5" s="1"/>
  <c r="X9" i="5" s="1"/>
  <c r="M43" i="5" s="1"/>
  <c r="Q9" i="5"/>
  <c r="U9" i="5"/>
  <c r="Y9" i="5" s="1"/>
  <c r="R8" i="5"/>
  <c r="V8" i="5" s="1"/>
  <c r="Z8" i="5" s="1"/>
  <c r="AD8" i="5" s="1"/>
  <c r="O8" i="5"/>
  <c r="S8" i="5"/>
  <c r="W8" i="5" s="1"/>
  <c r="L42" i="5" s="1"/>
  <c r="P8" i="5"/>
  <c r="T8" i="5"/>
  <c r="X8" i="5" s="1"/>
  <c r="AB8" i="5" s="1"/>
  <c r="Q8" i="5"/>
  <c r="U8" i="5" s="1"/>
  <c r="Y8" i="5" s="1"/>
  <c r="R7" i="5"/>
  <c r="V7" i="5"/>
  <c r="Z7" i="5"/>
  <c r="AD7" i="5" s="1"/>
  <c r="O7" i="5"/>
  <c r="S7" i="5" s="1"/>
  <c r="W7" i="5" s="1"/>
  <c r="P7" i="5"/>
  <c r="T7" i="5"/>
  <c r="X7" i="5" s="1"/>
  <c r="AB7" i="5" s="1"/>
  <c r="Q7" i="5"/>
  <c r="U7" i="5" s="1"/>
  <c r="Y7" i="5" s="1"/>
  <c r="R6" i="5"/>
  <c r="V6" i="5" s="1"/>
  <c r="Z6" i="5" s="1"/>
  <c r="O6" i="5"/>
  <c r="S6" i="5"/>
  <c r="W6" i="5" s="1"/>
  <c r="AA6" i="5" s="1"/>
  <c r="P6" i="5"/>
  <c r="T6" i="5" s="1"/>
  <c r="X6" i="5" s="1"/>
  <c r="Q6" i="5"/>
  <c r="U6" i="5" s="1"/>
  <c r="Y6" i="5" s="1"/>
  <c r="AC6" i="5" s="1"/>
  <c r="O5" i="5"/>
  <c r="S5" i="5"/>
  <c r="W5" i="5"/>
  <c r="L39" i="5" s="1"/>
  <c r="P5" i="5"/>
  <c r="T5" i="5" s="1"/>
  <c r="X5" i="5" s="1"/>
  <c r="M39" i="5" s="1"/>
  <c r="Q5" i="5"/>
  <c r="U5" i="5" s="1"/>
  <c r="Y5" i="5" s="1"/>
  <c r="R5" i="5"/>
  <c r="V5" i="5"/>
  <c r="Z5" i="5" s="1"/>
  <c r="O39" i="5" s="1"/>
  <c r="O4" i="5"/>
  <c r="S4" i="5"/>
  <c r="W4" i="5" s="1"/>
  <c r="P4" i="5"/>
  <c r="T4" i="5"/>
  <c r="X4" i="5" s="1"/>
  <c r="Q4" i="5"/>
  <c r="U4" i="5" s="1"/>
  <c r="Y4" i="5" s="1"/>
  <c r="R4" i="5"/>
  <c r="V4" i="5" s="1"/>
  <c r="Z4" i="5" s="1"/>
  <c r="R19" i="4"/>
  <c r="V19" i="4"/>
  <c r="Z19" i="4" s="1"/>
  <c r="Q19" i="4"/>
  <c r="U19" i="4"/>
  <c r="Y19" i="4" s="1"/>
  <c r="AC19" i="4" s="1"/>
  <c r="P19" i="4"/>
  <c r="T19" i="4" s="1"/>
  <c r="X19" i="4" s="1"/>
  <c r="O19" i="4"/>
  <c r="S19" i="4" s="1"/>
  <c r="W19" i="4" s="1"/>
  <c r="R18" i="4"/>
  <c r="V18" i="4"/>
  <c r="Z18" i="4" s="1"/>
  <c r="Q18" i="4"/>
  <c r="U18" i="4" s="1"/>
  <c r="Y18" i="4" s="1"/>
  <c r="P18" i="4"/>
  <c r="T18" i="4"/>
  <c r="X18" i="4" s="1"/>
  <c r="O18" i="4"/>
  <c r="S18" i="4" s="1"/>
  <c r="W18" i="4" s="1"/>
  <c r="R17" i="4"/>
  <c r="V17" i="4"/>
  <c r="Z17" i="4" s="1"/>
  <c r="Q17" i="4"/>
  <c r="U17" i="4" s="1"/>
  <c r="Y17" i="4" s="1"/>
  <c r="P17" i="4"/>
  <c r="T17" i="4" s="1"/>
  <c r="X17" i="4" s="1"/>
  <c r="O17" i="4"/>
  <c r="S17" i="4" s="1"/>
  <c r="W17" i="4"/>
  <c r="R16" i="4"/>
  <c r="V16" i="4" s="1"/>
  <c r="Z16" i="4" s="1"/>
  <c r="Q16" i="4"/>
  <c r="U16" i="4" s="1"/>
  <c r="Y16" i="4" s="1"/>
  <c r="AC16" i="4" s="1"/>
  <c r="P16" i="4"/>
  <c r="T16" i="4" s="1"/>
  <c r="X16" i="4" s="1"/>
  <c r="AB16" i="4" s="1"/>
  <c r="O16" i="4"/>
  <c r="S16" i="4" s="1"/>
  <c r="W16" i="4" s="1"/>
  <c r="R15" i="4"/>
  <c r="V15" i="4"/>
  <c r="Z15" i="4" s="1"/>
  <c r="Q15" i="4"/>
  <c r="U15" i="4" s="1"/>
  <c r="Y15" i="4" s="1"/>
  <c r="P15" i="4"/>
  <c r="T15" i="4" s="1"/>
  <c r="X15" i="4" s="1"/>
  <c r="O15" i="4"/>
  <c r="S15" i="4" s="1"/>
  <c r="W15" i="4" s="1"/>
  <c r="R14" i="4"/>
  <c r="V14" i="4" s="1"/>
  <c r="Z14" i="4" s="1"/>
  <c r="Q14" i="4"/>
  <c r="U14" i="4" s="1"/>
  <c r="Y14" i="4" s="1"/>
  <c r="P14" i="4"/>
  <c r="T14" i="4" s="1"/>
  <c r="X14" i="4" s="1"/>
  <c r="O14" i="4"/>
  <c r="S14" i="4" s="1"/>
  <c r="W14" i="4" s="1"/>
  <c r="R9" i="4"/>
  <c r="V9" i="4"/>
  <c r="Z9" i="4" s="1"/>
  <c r="AD9" i="4" s="1"/>
  <c r="O9" i="4"/>
  <c r="S9" i="4"/>
  <c r="W9" i="4" s="1"/>
  <c r="P9" i="4"/>
  <c r="T9" i="4" s="1"/>
  <c r="X9" i="4" s="1"/>
  <c r="Q9" i="4"/>
  <c r="U9" i="4" s="1"/>
  <c r="Y9" i="4" s="1"/>
  <c r="R8" i="4"/>
  <c r="V8" i="4" s="1"/>
  <c r="Z8" i="4" s="1"/>
  <c r="O8" i="4"/>
  <c r="S8" i="4" s="1"/>
  <c r="W8" i="4" s="1"/>
  <c r="P8" i="4"/>
  <c r="T8" i="4"/>
  <c r="X8" i="4" s="1"/>
  <c r="Q8" i="4"/>
  <c r="U8" i="4" s="1"/>
  <c r="Y8" i="4" s="1"/>
  <c r="R7" i="4"/>
  <c r="V7" i="4" s="1"/>
  <c r="Z7" i="4" s="1"/>
  <c r="O7" i="4"/>
  <c r="S7" i="4"/>
  <c r="W7" i="4" s="1"/>
  <c r="P7" i="4"/>
  <c r="T7" i="4"/>
  <c r="X7" i="4" s="1"/>
  <c r="M41" i="4" s="1"/>
  <c r="Q7" i="4"/>
  <c r="U7" i="4" s="1"/>
  <c r="Y7" i="4" s="1"/>
  <c r="R6" i="4"/>
  <c r="V6" i="4" s="1"/>
  <c r="Z6" i="4" s="1"/>
  <c r="O6" i="4"/>
  <c r="S6" i="4" s="1"/>
  <c r="W6" i="4" s="1"/>
  <c r="L40" i="4" s="1"/>
  <c r="P6" i="4"/>
  <c r="T6" i="4" s="1"/>
  <c r="X6" i="4" s="1"/>
  <c r="Q6" i="4"/>
  <c r="U6" i="4" s="1"/>
  <c r="Y6" i="4" s="1"/>
  <c r="O5" i="4"/>
  <c r="S5" i="4"/>
  <c r="W5" i="4" s="1"/>
  <c r="L39" i="4" s="1"/>
  <c r="P5" i="4"/>
  <c r="T5" i="4" s="1"/>
  <c r="X5" i="4" s="1"/>
  <c r="Q5" i="4"/>
  <c r="U5" i="4" s="1"/>
  <c r="Y5" i="4" s="1"/>
  <c r="R5" i="4"/>
  <c r="V5" i="4" s="1"/>
  <c r="Z5" i="4" s="1"/>
  <c r="O4" i="4"/>
  <c r="S4" i="4" s="1"/>
  <c r="W4" i="4" s="1"/>
  <c r="AA4" i="4"/>
  <c r="P4" i="4"/>
  <c r="T4" i="4" s="1"/>
  <c r="X4" i="4"/>
  <c r="M38" i="4" s="1"/>
  <c r="Q4" i="4"/>
  <c r="U4" i="4" s="1"/>
  <c r="Y4" i="4" s="1"/>
  <c r="N38" i="4" s="1"/>
  <c r="R4" i="4"/>
  <c r="V4" i="4" s="1"/>
  <c r="Z4" i="4" s="1"/>
  <c r="R19" i="3"/>
  <c r="V19" i="3" s="1"/>
  <c r="Z19" i="3" s="1"/>
  <c r="Q19" i="3"/>
  <c r="U19" i="3" s="1"/>
  <c r="Y19" i="3" s="1"/>
  <c r="P19" i="3"/>
  <c r="T19" i="3" s="1"/>
  <c r="X19" i="3" s="1"/>
  <c r="O19" i="3"/>
  <c r="S19" i="3" s="1"/>
  <c r="W19" i="3" s="1"/>
  <c r="R18" i="3"/>
  <c r="V18" i="3" s="1"/>
  <c r="Z18" i="3" s="1"/>
  <c r="Q18" i="3"/>
  <c r="U18" i="3" s="1"/>
  <c r="Y18" i="3"/>
  <c r="P18" i="3"/>
  <c r="T18" i="3" s="1"/>
  <c r="X18" i="3" s="1"/>
  <c r="M52" i="3" s="1"/>
  <c r="O18" i="3"/>
  <c r="S18" i="3" s="1"/>
  <c r="W18" i="3" s="1"/>
  <c r="R17" i="3"/>
  <c r="V17" i="3"/>
  <c r="Z17" i="3"/>
  <c r="O51" i="3" s="1"/>
  <c r="Q17" i="3"/>
  <c r="U17" i="3" s="1"/>
  <c r="Y17" i="3" s="1"/>
  <c r="P17" i="3"/>
  <c r="T17" i="3" s="1"/>
  <c r="X17" i="3" s="1"/>
  <c r="O17" i="3"/>
  <c r="S17" i="3"/>
  <c r="W17" i="3" s="1"/>
  <c r="R16" i="3"/>
  <c r="V16" i="3" s="1"/>
  <c r="Z16" i="3"/>
  <c r="O50" i="3" s="1"/>
  <c r="Q16" i="3"/>
  <c r="U16" i="3" s="1"/>
  <c r="Y16" i="3" s="1"/>
  <c r="P16" i="3"/>
  <c r="T16" i="3" s="1"/>
  <c r="X16" i="3" s="1"/>
  <c r="M50" i="3" s="1"/>
  <c r="O16" i="3"/>
  <c r="S16" i="3" s="1"/>
  <c r="W16" i="3" s="1"/>
  <c r="R15" i="3"/>
  <c r="V15" i="3"/>
  <c r="Z15" i="3" s="1"/>
  <c r="Q15" i="3"/>
  <c r="U15" i="3" s="1"/>
  <c r="Y15" i="3" s="1"/>
  <c r="P15" i="3"/>
  <c r="T15" i="3" s="1"/>
  <c r="X15" i="3" s="1"/>
  <c r="O15" i="3"/>
  <c r="S15" i="3" s="1"/>
  <c r="W15" i="3" s="1"/>
  <c r="R14" i="3"/>
  <c r="V14" i="3" s="1"/>
  <c r="Z14" i="3" s="1"/>
  <c r="Q14" i="3"/>
  <c r="U14" i="3" s="1"/>
  <c r="Y14" i="3" s="1"/>
  <c r="P14" i="3"/>
  <c r="T14" i="3" s="1"/>
  <c r="X14" i="3" s="1"/>
  <c r="M48" i="3" s="1"/>
  <c r="O14" i="3"/>
  <c r="S14" i="3"/>
  <c r="W14" i="3" s="1"/>
  <c r="R9" i="3"/>
  <c r="V9" i="3" s="1"/>
  <c r="Z9" i="3" s="1"/>
  <c r="AD9" i="3" s="1"/>
  <c r="O9" i="3"/>
  <c r="S9" i="3" s="1"/>
  <c r="W9" i="3" s="1"/>
  <c r="P9" i="3"/>
  <c r="T9" i="3" s="1"/>
  <c r="X9" i="3" s="1"/>
  <c r="Q9" i="3"/>
  <c r="U9" i="3" s="1"/>
  <c r="Y9" i="3"/>
  <c r="R8" i="3"/>
  <c r="V8" i="3" s="1"/>
  <c r="Z8" i="3"/>
  <c r="O42" i="3" s="1"/>
  <c r="O8" i="3"/>
  <c r="S8" i="3"/>
  <c r="W8" i="3" s="1"/>
  <c r="P8" i="3"/>
  <c r="T8" i="3" s="1"/>
  <c r="X8" i="3" s="1"/>
  <c r="Q8" i="3"/>
  <c r="U8" i="3" s="1"/>
  <c r="Y8" i="3" s="1"/>
  <c r="R7" i="3"/>
  <c r="V7" i="3" s="1"/>
  <c r="Z7" i="3" s="1"/>
  <c r="O41" i="3" s="1"/>
  <c r="O7" i="3"/>
  <c r="S7" i="3" s="1"/>
  <c r="W7" i="3" s="1"/>
  <c r="P7" i="3"/>
  <c r="T7" i="3" s="1"/>
  <c r="X7" i="3" s="1"/>
  <c r="Q7" i="3"/>
  <c r="U7" i="3" s="1"/>
  <c r="Y7" i="3" s="1"/>
  <c r="AC7" i="3" s="1"/>
  <c r="R6" i="3"/>
  <c r="V6" i="3" s="1"/>
  <c r="Z6" i="3" s="1"/>
  <c r="O6" i="3"/>
  <c r="S6" i="3" s="1"/>
  <c r="W6" i="3" s="1"/>
  <c r="AA6" i="3" s="1"/>
  <c r="P6" i="3"/>
  <c r="T6" i="3" s="1"/>
  <c r="X6" i="3"/>
  <c r="Q6" i="3"/>
  <c r="U6" i="3" s="1"/>
  <c r="Y6" i="3" s="1"/>
  <c r="O5" i="3"/>
  <c r="S5" i="3" s="1"/>
  <c r="W5" i="3" s="1"/>
  <c r="P5" i="3"/>
  <c r="T5" i="3" s="1"/>
  <c r="X5" i="3" s="1"/>
  <c r="Q5" i="3"/>
  <c r="U5" i="3"/>
  <c r="Y5" i="3" s="1"/>
  <c r="R5" i="3"/>
  <c r="V5" i="3" s="1"/>
  <c r="Z5" i="3" s="1"/>
  <c r="AD5" i="3" s="1"/>
  <c r="O4" i="3"/>
  <c r="S4" i="3" s="1"/>
  <c r="W4" i="3" s="1"/>
  <c r="P4" i="3"/>
  <c r="T4" i="3"/>
  <c r="X4" i="3" s="1"/>
  <c r="Q4" i="3"/>
  <c r="U4" i="3" s="1"/>
  <c r="Y4" i="3" s="1"/>
  <c r="R4" i="3"/>
  <c r="V4" i="3"/>
  <c r="Z4" i="3"/>
  <c r="S4" i="2"/>
  <c r="W4" i="2" s="1"/>
  <c r="R19" i="2"/>
  <c r="V19" i="2" s="1"/>
  <c r="Z19" i="2" s="1"/>
  <c r="AD19" i="2" s="1"/>
  <c r="Q19" i="2"/>
  <c r="U19" i="2"/>
  <c r="Y19" i="2"/>
  <c r="P19" i="2"/>
  <c r="T19" i="2"/>
  <c r="X19" i="2" s="1"/>
  <c r="O19" i="2"/>
  <c r="S19" i="2" s="1"/>
  <c r="W19" i="2"/>
  <c r="R18" i="2"/>
  <c r="V18" i="2"/>
  <c r="Z18" i="2"/>
  <c r="Q18" i="2"/>
  <c r="U18" i="2"/>
  <c r="Y18" i="2" s="1"/>
  <c r="P18" i="2"/>
  <c r="T18" i="2"/>
  <c r="X18" i="2"/>
  <c r="O18" i="2"/>
  <c r="S18" i="2"/>
  <c r="W18" i="2"/>
  <c r="L53" i="2" s="1"/>
  <c r="R17" i="2"/>
  <c r="V17" i="2" s="1"/>
  <c r="Z17" i="2" s="1"/>
  <c r="Q17" i="2"/>
  <c r="U17" i="2" s="1"/>
  <c r="Y17" i="2" s="1"/>
  <c r="P17" i="2"/>
  <c r="T17" i="2"/>
  <c r="X17" i="2"/>
  <c r="O17" i="2"/>
  <c r="S17" i="2" s="1"/>
  <c r="W17" i="2" s="1"/>
  <c r="R16" i="2"/>
  <c r="V16" i="2" s="1"/>
  <c r="Z16" i="2" s="1"/>
  <c r="Q16" i="2"/>
  <c r="U16" i="2"/>
  <c r="Y16" i="2" s="1"/>
  <c r="P16" i="2"/>
  <c r="T16" i="2"/>
  <c r="X16" i="2" s="1"/>
  <c r="O16" i="2"/>
  <c r="S16" i="2" s="1"/>
  <c r="W16" i="2" s="1"/>
  <c r="R15" i="2"/>
  <c r="V15" i="2" s="1"/>
  <c r="Z15" i="2" s="1"/>
  <c r="Q15" i="2"/>
  <c r="U15" i="2"/>
  <c r="Y15" i="2"/>
  <c r="P15" i="2"/>
  <c r="T15" i="2"/>
  <c r="X15" i="2" s="1"/>
  <c r="O15" i="2"/>
  <c r="S15" i="2" s="1"/>
  <c r="W15" i="2"/>
  <c r="R14" i="2"/>
  <c r="V14" i="2"/>
  <c r="Z14" i="2"/>
  <c r="O49" i="2" s="1"/>
  <c r="R54" i="2" s="1"/>
  <c r="Q14" i="2"/>
  <c r="U14" i="2"/>
  <c r="Y14" i="2" s="1"/>
  <c r="P14" i="2"/>
  <c r="T14" i="2"/>
  <c r="X14" i="2"/>
  <c r="O14" i="2"/>
  <c r="S14" i="2"/>
  <c r="W14" i="2"/>
  <c r="R9" i="2"/>
  <c r="V9" i="2" s="1"/>
  <c r="Z9" i="2" s="1"/>
  <c r="O44" i="2" s="1"/>
  <c r="AD9" i="2"/>
  <c r="O9" i="2"/>
  <c r="S9" i="2"/>
  <c r="W9" i="2"/>
  <c r="L44" i="2" s="1"/>
  <c r="AA9" i="2"/>
  <c r="P9" i="2"/>
  <c r="T9" i="2" s="1"/>
  <c r="X9" i="2" s="1"/>
  <c r="AB9" i="2"/>
  <c r="Q9" i="2"/>
  <c r="U9" i="2"/>
  <c r="Y9" i="2" s="1"/>
  <c r="R8" i="2"/>
  <c r="V8" i="2"/>
  <c r="Z8" i="2" s="1"/>
  <c r="O8" i="2"/>
  <c r="S8" i="2" s="1"/>
  <c r="W8" i="2" s="1"/>
  <c r="L43" i="2" s="1"/>
  <c r="AA8" i="2"/>
  <c r="P8" i="2"/>
  <c r="T8" i="2"/>
  <c r="X8" i="2"/>
  <c r="M43" i="2" s="1"/>
  <c r="AB8" i="2"/>
  <c r="AT8" i="2" s="1"/>
  <c r="Q8" i="2"/>
  <c r="U8" i="2" s="1"/>
  <c r="Y8" i="2" s="1"/>
  <c r="AC8" i="2"/>
  <c r="R7" i="2"/>
  <c r="V7" i="2" s="1"/>
  <c r="Z7" i="2" s="1"/>
  <c r="AD7" i="2"/>
  <c r="O7" i="2"/>
  <c r="S7" i="2"/>
  <c r="W7" i="2" s="1"/>
  <c r="P7" i="2"/>
  <c r="T7" i="2" s="1"/>
  <c r="X7" i="2" s="1"/>
  <c r="AB7" i="2"/>
  <c r="Q7" i="2"/>
  <c r="U7" i="2"/>
  <c r="Y7" i="2" s="1"/>
  <c r="R6" i="2"/>
  <c r="V6" i="2"/>
  <c r="Z6" i="2"/>
  <c r="O41" i="2" s="1"/>
  <c r="AD6" i="2"/>
  <c r="AH6" i="2" s="1"/>
  <c r="O6" i="2"/>
  <c r="S6" i="2" s="1"/>
  <c r="W6" i="2" s="1"/>
  <c r="AA6" i="2"/>
  <c r="P6" i="2"/>
  <c r="T6" i="2"/>
  <c r="X6" i="2"/>
  <c r="AB6" i="2"/>
  <c r="AF6" i="2" s="1"/>
  <c r="Q6" i="2"/>
  <c r="U6" i="2" s="1"/>
  <c r="Y6" i="2" s="1"/>
  <c r="N41" i="2" s="1"/>
  <c r="AC6" i="2"/>
  <c r="AU6" i="2" s="1"/>
  <c r="O5" i="2"/>
  <c r="S5" i="2" s="1"/>
  <c r="W5" i="2" s="1"/>
  <c r="L40" i="2" s="1"/>
  <c r="AA5" i="2"/>
  <c r="P5" i="2"/>
  <c r="T5" i="2"/>
  <c r="X5" i="2" s="1"/>
  <c r="Q5" i="2"/>
  <c r="U5" i="2" s="1"/>
  <c r="Y5" i="2" s="1"/>
  <c r="N40" i="2" s="1"/>
  <c r="AC5" i="2"/>
  <c r="R5" i="2"/>
  <c r="V5" i="2"/>
  <c r="Z5" i="2"/>
  <c r="O40" i="2" s="1"/>
  <c r="AD5" i="2"/>
  <c r="P4" i="2"/>
  <c r="T4" i="2"/>
  <c r="X4" i="2" s="1"/>
  <c r="M39" i="2" s="1"/>
  <c r="AB4" i="2"/>
  <c r="Q4" i="2"/>
  <c r="U4" i="2" s="1"/>
  <c r="Y4" i="2" s="1"/>
  <c r="R4" i="2"/>
  <c r="V4" i="2"/>
  <c r="Z4" i="2"/>
  <c r="O39" i="2" s="1"/>
  <c r="AD4" i="2"/>
  <c r="AB5" i="1"/>
  <c r="AC5" i="1"/>
  <c r="AU5" i="1" s="1"/>
  <c r="AD5" i="1"/>
  <c r="AE5" i="1"/>
  <c r="AF5" i="1"/>
  <c r="AN5" i="1" s="1"/>
  <c r="AG5" i="1"/>
  <c r="AH5" i="1"/>
  <c r="AI5" i="1"/>
  <c r="AE9" i="1"/>
  <c r="AB9" i="1"/>
  <c r="AC9" i="1"/>
  <c r="AF9" i="1" s="1"/>
  <c r="AD9" i="1"/>
  <c r="AI9" i="1"/>
  <c r="AH9" i="1"/>
  <c r="AG9" i="1"/>
  <c r="AB8" i="1"/>
  <c r="AC8" i="1"/>
  <c r="AD8" i="1"/>
  <c r="AE7" i="1"/>
  <c r="AB7" i="1"/>
  <c r="AC7" i="1"/>
  <c r="AF7" i="1" s="1"/>
  <c r="AD7" i="1"/>
  <c r="AI7" i="1"/>
  <c r="AH7" i="1"/>
  <c r="AG7" i="1"/>
  <c r="AE6" i="1"/>
  <c r="AB6" i="1"/>
  <c r="AD6" i="1"/>
  <c r="N62" i="17" l="1"/>
  <c r="AC28" i="17"/>
  <c r="N44" i="17"/>
  <c r="AC10" i="17"/>
  <c r="M59" i="17"/>
  <c r="AB25" i="17"/>
  <c r="N64" i="17"/>
  <c r="AC30" i="17"/>
  <c r="M42" i="17"/>
  <c r="AB8" i="17"/>
  <c r="L54" i="17"/>
  <c r="AA20" i="17"/>
  <c r="M39" i="17"/>
  <c r="AB5" i="17"/>
  <c r="N41" i="17"/>
  <c r="AC7" i="17"/>
  <c r="F49" i="17"/>
  <c r="AR4" i="17"/>
  <c r="AA22" i="17"/>
  <c r="E55" i="17"/>
  <c r="AQ9" i="17"/>
  <c r="AA4" i="17"/>
  <c r="AC9" i="17"/>
  <c r="D55" i="17"/>
  <c r="AD22" i="16"/>
  <c r="O44" i="16"/>
  <c r="AD10" i="16"/>
  <c r="L55" i="16"/>
  <c r="AA21" i="16"/>
  <c r="O58" i="16"/>
  <c r="AD24" i="16"/>
  <c r="AC9" i="16"/>
  <c r="D63" i="16"/>
  <c r="G55" i="16"/>
  <c r="D53" i="16"/>
  <c r="E45" i="16"/>
  <c r="G40" i="16"/>
  <c r="N55" i="16"/>
  <c r="G62" i="16"/>
  <c r="F55" i="16"/>
  <c r="D45" i="16"/>
  <c r="E55" i="16"/>
  <c r="G50" i="16"/>
  <c r="F38" i="16"/>
  <c r="G64" i="16"/>
  <c r="D61" i="16"/>
  <c r="G43" i="16"/>
  <c r="G38" i="16"/>
  <c r="L63" i="16"/>
  <c r="D64" i="16"/>
  <c r="G58" i="16"/>
  <c r="G54" i="16"/>
  <c r="G48" i="16"/>
  <c r="O48" i="16" s="1"/>
  <c r="R53" i="16" s="1"/>
  <c r="F43" i="16"/>
  <c r="N43" i="16" s="1"/>
  <c r="G63" i="16"/>
  <c r="D48" i="16"/>
  <c r="D43" i="16"/>
  <c r="F63" i="16"/>
  <c r="G56" i="16"/>
  <c r="O56" i="16" s="1"/>
  <c r="G53" i="16"/>
  <c r="G45" i="16"/>
  <c r="G41" i="16"/>
  <c r="D56" i="16"/>
  <c r="F53" i="16"/>
  <c r="AQ8" i="16"/>
  <c r="AB5" i="15"/>
  <c r="L58" i="15"/>
  <c r="AA24" i="15"/>
  <c r="E39" i="15"/>
  <c r="M39" i="15" s="1"/>
  <c r="AC11" i="15"/>
  <c r="D39" i="15"/>
  <c r="AA4" i="15"/>
  <c r="M64" i="15"/>
  <c r="F51" i="15"/>
  <c r="AC22" i="15"/>
  <c r="G50" i="15"/>
  <c r="E51" i="15"/>
  <c r="N50" i="15"/>
  <c r="G39" i="15"/>
  <c r="AR9" i="15"/>
  <c r="AD11" i="15"/>
  <c r="AB26" i="15"/>
  <c r="AA27" i="15"/>
  <c r="E50" i="15"/>
  <c r="AQ8" i="15"/>
  <c r="AQ6" i="15"/>
  <c r="M44" i="14"/>
  <c r="AB10" i="14"/>
  <c r="M63" i="14"/>
  <c r="AB29" i="14"/>
  <c r="O44" i="14"/>
  <c r="AD10" i="14"/>
  <c r="M38" i="14"/>
  <c r="AB4" i="14"/>
  <c r="M39" i="14"/>
  <c r="AA8" i="14"/>
  <c r="AQ6" i="14"/>
  <c r="AD9" i="14"/>
  <c r="AA26" i="14"/>
  <c r="E51" i="14"/>
  <c r="AD4" i="14"/>
  <c r="AC7" i="14"/>
  <c r="AC20" i="14"/>
  <c r="AC21" i="14"/>
  <c r="AB7" i="14"/>
  <c r="AR6" i="14"/>
  <c r="AR9" i="14"/>
  <c r="N61" i="13"/>
  <c r="AC27" i="13"/>
  <c r="L45" i="13"/>
  <c r="AA11" i="13"/>
  <c r="L61" i="13"/>
  <c r="AA27" i="13"/>
  <c r="AE9" i="13"/>
  <c r="O56" i="13"/>
  <c r="AD22" i="13"/>
  <c r="O58" i="13"/>
  <c r="AD24" i="13"/>
  <c r="N45" i="13"/>
  <c r="AC11" i="13"/>
  <c r="AC5" i="13"/>
  <c r="AD8" i="13"/>
  <c r="AH9" i="13"/>
  <c r="AB5" i="13"/>
  <c r="AC8" i="13"/>
  <c r="AC9" i="13"/>
  <c r="AD30" i="13"/>
  <c r="AA5" i="13"/>
  <c r="AE5" i="13" s="1"/>
  <c r="AB8" i="13"/>
  <c r="AQ7" i="13"/>
  <c r="O38" i="13"/>
  <c r="AD5" i="13"/>
  <c r="AA8" i="13"/>
  <c r="L41" i="12"/>
  <c r="AA7" i="12"/>
  <c r="O42" i="12"/>
  <c r="AD8" i="12"/>
  <c r="N38" i="12"/>
  <c r="AC4" i="12"/>
  <c r="N43" i="12"/>
  <c r="AC9" i="12"/>
  <c r="M42" i="12"/>
  <c r="AB8" i="12"/>
  <c r="N41" i="12"/>
  <c r="AC7" i="12"/>
  <c r="AD27" i="12"/>
  <c r="AR7" i="12"/>
  <c r="AB5" i="12"/>
  <c r="AD6" i="12"/>
  <c r="G38" i="12"/>
  <c r="F42" i="12"/>
  <c r="D42" i="12"/>
  <c r="O54" i="11"/>
  <c r="AD20" i="11"/>
  <c r="L60" i="11"/>
  <c r="AQ6" i="11"/>
  <c r="AQ9" i="11"/>
  <c r="AD22" i="11"/>
  <c r="AD31" i="11"/>
  <c r="F43" i="11"/>
  <c r="N43" i="11" s="1"/>
  <c r="Z76" i="11" s="1"/>
  <c r="D43" i="11"/>
  <c r="L63" i="10"/>
  <c r="AA29" i="10"/>
  <c r="L40" i="10"/>
  <c r="AA6" i="10"/>
  <c r="N55" i="10"/>
  <c r="AC21" i="10"/>
  <c r="O60" i="10"/>
  <c r="AD26" i="10"/>
  <c r="N63" i="10"/>
  <c r="AC29" i="10"/>
  <c r="N39" i="10"/>
  <c r="AC5" i="10"/>
  <c r="N61" i="10"/>
  <c r="AC27" i="10"/>
  <c r="L42" i="10"/>
  <c r="AA8" i="10"/>
  <c r="L59" i="10"/>
  <c r="AA25" i="10"/>
  <c r="N65" i="10"/>
  <c r="AC31" i="10"/>
  <c r="AB4" i="10"/>
  <c r="F58" i="10"/>
  <c r="R55" i="10"/>
  <c r="E58" i="10"/>
  <c r="AA27" i="10"/>
  <c r="AD30" i="10"/>
  <c r="AD7" i="10"/>
  <c r="AQ6" i="10"/>
  <c r="AQ9" i="10"/>
  <c r="O38" i="10"/>
  <c r="AR6" i="10"/>
  <c r="AR9" i="10"/>
  <c r="M41" i="9"/>
  <c r="AB7" i="9"/>
  <c r="M43" i="9"/>
  <c r="AB9" i="9"/>
  <c r="L44" i="9"/>
  <c r="AA10" i="9"/>
  <c r="O61" i="9"/>
  <c r="AD27" i="9"/>
  <c r="O55" i="9"/>
  <c r="AD21" i="9"/>
  <c r="L42" i="9"/>
  <c r="AA8" i="9"/>
  <c r="AT5" i="9"/>
  <c r="L54" i="9"/>
  <c r="AA20" i="9"/>
  <c r="N58" i="9"/>
  <c r="AC24" i="9"/>
  <c r="M61" i="9"/>
  <c r="AB27" i="9"/>
  <c r="AB8" i="9"/>
  <c r="AA7" i="9"/>
  <c r="AD23" i="9"/>
  <c r="AC8" i="9"/>
  <c r="AT8" i="9" s="1"/>
  <c r="AD8" i="9"/>
  <c r="O38" i="9"/>
  <c r="AC9" i="9"/>
  <c r="L60" i="7"/>
  <c r="AA26" i="7"/>
  <c r="N53" i="7"/>
  <c r="AC19" i="7"/>
  <c r="M43" i="7"/>
  <c r="AB9" i="7"/>
  <c r="O49" i="7"/>
  <c r="AD15" i="7"/>
  <c r="M51" i="7"/>
  <c r="AB17" i="7"/>
  <c r="M49" i="7"/>
  <c r="AB15" i="7"/>
  <c r="N50" i="7"/>
  <c r="AC16" i="7"/>
  <c r="L55" i="7"/>
  <c r="AA21" i="7"/>
  <c r="N39" i="7"/>
  <c r="AC5" i="7"/>
  <c r="AT5" i="7" s="1"/>
  <c r="M56" i="7"/>
  <c r="AB22" i="7"/>
  <c r="N52" i="7"/>
  <c r="AC18" i="7"/>
  <c r="N55" i="7"/>
  <c r="AC21" i="7"/>
  <c r="O59" i="7"/>
  <c r="AD25" i="7"/>
  <c r="N63" i="7"/>
  <c r="AC29" i="7"/>
  <c r="O42" i="7"/>
  <c r="AD8" i="7"/>
  <c r="M58" i="7"/>
  <c r="AB24" i="7"/>
  <c r="L39" i="7"/>
  <c r="AA5" i="7"/>
  <c r="M42" i="7"/>
  <c r="AB8" i="7"/>
  <c r="L50" i="7"/>
  <c r="AA16" i="7"/>
  <c r="N48" i="7"/>
  <c r="AC14" i="7"/>
  <c r="L65" i="7"/>
  <c r="AA31" i="7"/>
  <c r="AT9" i="7"/>
  <c r="M41" i="7"/>
  <c r="AB7" i="7"/>
  <c r="O45" i="7"/>
  <c r="AD11" i="7"/>
  <c r="N60" i="7"/>
  <c r="AC26" i="7"/>
  <c r="L63" i="7"/>
  <c r="AA29" i="7"/>
  <c r="AB25" i="7"/>
  <c r="AB6" i="7"/>
  <c r="AD7" i="7"/>
  <c r="AR7" i="7"/>
  <c r="AD6" i="7"/>
  <c r="R65" i="8"/>
  <c r="AK31" i="8"/>
  <c r="R42" i="8"/>
  <c r="Y86" i="8" s="1"/>
  <c r="AK8" i="8"/>
  <c r="Q44" i="8"/>
  <c r="AJ10" i="8"/>
  <c r="P53" i="8"/>
  <c r="Y60" i="8" s="1"/>
  <c r="AI19" i="8"/>
  <c r="R41" i="8"/>
  <c r="AK7" i="8"/>
  <c r="R63" i="8"/>
  <c r="AK29" i="8"/>
  <c r="R40" i="8"/>
  <c r="AK6" i="8"/>
  <c r="R44" i="8"/>
  <c r="AK10" i="8"/>
  <c r="P50" i="8"/>
  <c r="U60" i="8" s="1"/>
  <c r="AI16" i="8"/>
  <c r="R39" i="8"/>
  <c r="AK5" i="8"/>
  <c r="R57" i="8"/>
  <c r="U85" i="8" s="1"/>
  <c r="AK23" i="8"/>
  <c r="R51" i="8"/>
  <c r="Y53" i="8" s="1"/>
  <c r="AK17" i="8"/>
  <c r="O43" i="8"/>
  <c r="AH9" i="8"/>
  <c r="R43" i="8"/>
  <c r="AK9" i="8"/>
  <c r="N60" i="8"/>
  <c r="AG26" i="8"/>
  <c r="Q65" i="8"/>
  <c r="AJ31" i="8"/>
  <c r="Q64" i="8"/>
  <c r="AJ30" i="8"/>
  <c r="Q59" i="8"/>
  <c r="U82" i="8" s="1"/>
  <c r="AG4" i="8"/>
  <c r="BA6" i="8"/>
  <c r="AG10" i="8"/>
  <c r="AI22" i="8"/>
  <c r="AI26" i="8"/>
  <c r="AI30" i="8"/>
  <c r="AA75" i="8"/>
  <c r="AH16" i="8"/>
  <c r="AH17" i="8"/>
  <c r="AG20" i="8"/>
  <c r="AJ4" i="8"/>
  <c r="AJ6" i="8"/>
  <c r="AJ7" i="8"/>
  <c r="O65" i="8"/>
  <c r="AJ5" i="8"/>
  <c r="AI8" i="8"/>
  <c r="AI9" i="8"/>
  <c r="F59" i="8"/>
  <c r="P59" i="8" s="1"/>
  <c r="U92" i="8" s="1"/>
  <c r="E65" i="8"/>
  <c r="H38" i="8"/>
  <c r="R38" i="8" s="1"/>
  <c r="AK14" i="8"/>
  <c r="AK15" i="8"/>
  <c r="Y55" i="8"/>
  <c r="AC53" i="8"/>
  <c r="AH4" i="8"/>
  <c r="AH8" i="8"/>
  <c r="BB8" i="8"/>
  <c r="AM11" i="8"/>
  <c r="AJ15" i="8"/>
  <c r="AJ16" i="8"/>
  <c r="AJ20" i="8"/>
  <c r="BC5" i="8"/>
  <c r="BC8" i="8"/>
  <c r="N41" i="6"/>
  <c r="AC7" i="6"/>
  <c r="N65" i="6"/>
  <c r="AC31" i="6"/>
  <c r="L39" i="6"/>
  <c r="AA5" i="6"/>
  <c r="L38" i="6"/>
  <c r="AA4" i="6"/>
  <c r="O42" i="6"/>
  <c r="AD8" i="6"/>
  <c r="L59" i="6"/>
  <c r="AA25" i="6"/>
  <c r="L65" i="6"/>
  <c r="AA31" i="6"/>
  <c r="O39" i="6"/>
  <c r="P39" i="6" s="1"/>
  <c r="AD5" i="6"/>
  <c r="N57" i="6"/>
  <c r="R76" i="6" s="1"/>
  <c r="AC23" i="6"/>
  <c r="O62" i="6"/>
  <c r="V83" i="6" s="1"/>
  <c r="AD28" i="6"/>
  <c r="M42" i="6"/>
  <c r="AB8" i="6"/>
  <c r="N38" i="6"/>
  <c r="R50" i="6" s="1"/>
  <c r="AC4" i="6"/>
  <c r="AG4" i="6" s="1"/>
  <c r="O38" i="6"/>
  <c r="AD4" i="6"/>
  <c r="R78" i="6"/>
  <c r="AC25" i="6"/>
  <c r="AR7" i="6"/>
  <c r="M56" i="5"/>
  <c r="AB22" i="5"/>
  <c r="N45" i="5"/>
  <c r="AC11" i="5"/>
  <c r="N61" i="5"/>
  <c r="AC27" i="5"/>
  <c r="L65" i="5"/>
  <c r="AA31" i="5"/>
  <c r="N43" i="5"/>
  <c r="AC9" i="5"/>
  <c r="AT9" i="5" s="1"/>
  <c r="N39" i="5"/>
  <c r="AC5" i="5"/>
  <c r="L61" i="5"/>
  <c r="AA27" i="5"/>
  <c r="M64" i="5"/>
  <c r="AB30" i="5"/>
  <c r="AA5" i="5"/>
  <c r="AA9" i="5"/>
  <c r="AR4" i="5"/>
  <c r="AR7" i="5"/>
  <c r="AD26" i="5"/>
  <c r="AQ6" i="5"/>
  <c r="L55" i="4"/>
  <c r="AA21" i="4"/>
  <c r="M43" i="4"/>
  <c r="AB9" i="4"/>
  <c r="N42" i="4"/>
  <c r="AC8" i="4"/>
  <c r="L61" i="4"/>
  <c r="AA27" i="4"/>
  <c r="N40" i="4"/>
  <c r="AC6" i="4"/>
  <c r="AC4" i="4"/>
  <c r="AB4" i="4"/>
  <c r="AA5" i="4"/>
  <c r="L38" i="4"/>
  <c r="O45" i="3"/>
  <c r="AD11" i="3"/>
  <c r="M39" i="3"/>
  <c r="AB5" i="3"/>
  <c r="M41" i="3"/>
  <c r="AB7" i="3"/>
  <c r="O49" i="3"/>
  <c r="AD15" i="3"/>
  <c r="O48" i="3"/>
  <c r="AD14" i="3"/>
  <c r="M43" i="3"/>
  <c r="AB9" i="3"/>
  <c r="L38" i="3"/>
  <c r="AA4" i="3"/>
  <c r="M42" i="3"/>
  <c r="AB8" i="3"/>
  <c r="L45" i="3"/>
  <c r="AD16" i="3"/>
  <c r="G38" i="3"/>
  <c r="AD8" i="3"/>
  <c r="AB10" i="3"/>
  <c r="AB22" i="3"/>
  <c r="AB14" i="9"/>
  <c r="N49" i="10"/>
  <c r="AC15" i="10"/>
  <c r="AC9" i="11"/>
  <c r="AA18" i="16"/>
  <c r="AC5" i="3"/>
  <c r="N48" i="9"/>
  <c r="AC14" i="9"/>
  <c r="AB5" i="11"/>
  <c r="M42" i="11"/>
  <c r="AB8" i="11"/>
  <c r="N48" i="13"/>
  <c r="R48" i="13" s="1"/>
  <c r="AC14" i="13"/>
  <c r="AC27" i="7"/>
  <c r="AE5" i="2"/>
  <c r="AA5" i="3"/>
  <c r="L53" i="4"/>
  <c r="AA19" i="4"/>
  <c r="O40" i="5"/>
  <c r="AD6" i="5"/>
  <c r="M51" i="5"/>
  <c r="V43" i="5" s="1"/>
  <c r="AB17" i="5"/>
  <c r="AB6" i="6"/>
  <c r="AE6" i="6" s="1"/>
  <c r="N40" i="7"/>
  <c r="AC6" i="7"/>
  <c r="AB15" i="9"/>
  <c r="M53" i="10"/>
  <c r="AB19" i="10"/>
  <c r="AD16" i="11"/>
  <c r="O45" i="2"/>
  <c r="AD10" i="2"/>
  <c r="AA7" i="2"/>
  <c r="AC6" i="3"/>
  <c r="N41" i="4"/>
  <c r="AC7" i="4"/>
  <c r="M53" i="4"/>
  <c r="AB19" i="4"/>
  <c r="N40" i="10"/>
  <c r="Z49" i="10" s="1"/>
  <c r="AC6" i="10"/>
  <c r="AD8" i="10"/>
  <c r="M49" i="10"/>
  <c r="R44" i="10" s="1"/>
  <c r="AB15" i="10"/>
  <c r="M40" i="11"/>
  <c r="AB6" i="11"/>
  <c r="AD14" i="11"/>
  <c r="AC25" i="2"/>
  <c r="AC28" i="4"/>
  <c r="AD29" i="15"/>
  <c r="AH29" i="15" s="1"/>
  <c r="AA17" i="2"/>
  <c r="L43" i="3"/>
  <c r="AA9" i="3"/>
  <c r="AC5" i="4"/>
  <c r="N38" i="5"/>
  <c r="AC4" i="5"/>
  <c r="AB6" i="5"/>
  <c r="AE6" i="5" s="1"/>
  <c r="AC7" i="5"/>
  <c r="AS6" i="9"/>
  <c r="AB6" i="10"/>
  <c r="N39" i="2"/>
  <c r="AC4" i="2"/>
  <c r="L39" i="2"/>
  <c r="AA4" i="2"/>
  <c r="AF4" i="2" s="1"/>
  <c r="N42" i="3"/>
  <c r="AC8" i="3"/>
  <c r="AB19" i="3"/>
  <c r="M51" i="4"/>
  <c r="AB17" i="4"/>
  <c r="M38" i="5"/>
  <c r="AB4" i="5"/>
  <c r="N49" i="5"/>
  <c r="AC15" i="5"/>
  <c r="AD16" i="5"/>
  <c r="AB4" i="9"/>
  <c r="AH4" i="9" s="1"/>
  <c r="AA16" i="2"/>
  <c r="AE16" i="2" s="1"/>
  <c r="L42" i="4"/>
  <c r="AA8" i="4"/>
  <c r="N49" i="4"/>
  <c r="R49" i="4" s="1"/>
  <c r="AC15" i="4"/>
  <c r="N51" i="4"/>
  <c r="AC17" i="4"/>
  <c r="O48" i="5"/>
  <c r="AD14" i="5"/>
  <c r="O49" i="5"/>
  <c r="AD15" i="5"/>
  <c r="L42" i="7"/>
  <c r="AA8" i="7"/>
  <c r="M43" i="10"/>
  <c r="AB9" i="10"/>
  <c r="AC14" i="10"/>
  <c r="AA4" i="11"/>
  <c r="AS6" i="13"/>
  <c r="AD16" i="13"/>
  <c r="L62" i="2"/>
  <c r="AA27" i="2"/>
  <c r="L56" i="3"/>
  <c r="AA22" i="3"/>
  <c r="N55" i="4"/>
  <c r="Z49" i="4" s="1"/>
  <c r="AC21" i="4"/>
  <c r="N60" i="4"/>
  <c r="AC26" i="4"/>
  <c r="M52" i="4"/>
  <c r="AB18" i="4"/>
  <c r="L41" i="7"/>
  <c r="AA7" i="7"/>
  <c r="AH5" i="2"/>
  <c r="AD6" i="3"/>
  <c r="O38" i="4"/>
  <c r="AD4" i="4"/>
  <c r="AH4" i="4" s="1"/>
  <c r="AA7" i="5"/>
  <c r="M53" i="5"/>
  <c r="V45" i="5" s="1"/>
  <c r="AB19" i="5"/>
  <c r="AB4" i="7"/>
  <c r="AH4" i="7" s="1"/>
  <c r="AB16" i="9"/>
  <c r="N38" i="15"/>
  <c r="AC4" i="15"/>
  <c r="L65" i="2"/>
  <c r="AA30" i="2"/>
  <c r="AD10" i="7"/>
  <c r="AD16" i="2"/>
  <c r="AT7" i="3"/>
  <c r="N51" i="5"/>
  <c r="V48" i="5" s="1"/>
  <c r="AC17" i="5"/>
  <c r="AB5" i="2"/>
  <c r="AC7" i="2"/>
  <c r="N42" i="2"/>
  <c r="O43" i="2"/>
  <c r="AD8" i="2"/>
  <c r="M51" i="2"/>
  <c r="R46" i="2" s="1"/>
  <c r="AB16" i="2"/>
  <c r="M54" i="2"/>
  <c r="AB19" i="2"/>
  <c r="O39" i="7"/>
  <c r="AD5" i="7"/>
  <c r="AH5" i="7" s="1"/>
  <c r="AE5" i="9"/>
  <c r="AH5" i="9"/>
  <c r="O41" i="9"/>
  <c r="R81" i="9" s="1"/>
  <c r="AD7" i="9"/>
  <c r="L43" i="10"/>
  <c r="AA9" i="10"/>
  <c r="L41" i="11"/>
  <c r="AA7" i="11"/>
  <c r="O41" i="14"/>
  <c r="AD7" i="14"/>
  <c r="AC16" i="16"/>
  <c r="O53" i="17"/>
  <c r="AD19" i="17"/>
  <c r="AB11" i="4"/>
  <c r="N54" i="4"/>
  <c r="Z48" i="4" s="1"/>
  <c r="AC20" i="4"/>
  <c r="M50" i="2"/>
  <c r="R45" i="2" s="1"/>
  <c r="AB15" i="2"/>
  <c r="AC17" i="2"/>
  <c r="AG17" i="2" s="1"/>
  <c r="L50" i="3"/>
  <c r="AA16" i="3"/>
  <c r="AE4" i="4"/>
  <c r="O41" i="4"/>
  <c r="AD7" i="4"/>
  <c r="O43" i="5"/>
  <c r="AD9" i="5"/>
  <c r="N39" i="6"/>
  <c r="AC5" i="6"/>
  <c r="M39" i="10"/>
  <c r="AB5" i="10"/>
  <c r="AD14" i="7"/>
  <c r="AC9" i="2"/>
  <c r="AH9" i="2" s="1"/>
  <c r="N38" i="3"/>
  <c r="AC4" i="3"/>
  <c r="AA7" i="3"/>
  <c r="L42" i="3"/>
  <c r="AA8" i="3"/>
  <c r="L48" i="3"/>
  <c r="AA14" i="3"/>
  <c r="L49" i="3"/>
  <c r="AA15" i="3"/>
  <c r="O48" i="4"/>
  <c r="R53" i="4" s="1"/>
  <c r="S53" i="4" s="1"/>
  <c r="AD14" i="4"/>
  <c r="L48" i="5"/>
  <c r="AA14" i="5"/>
  <c r="M51" i="9"/>
  <c r="AB17" i="9"/>
  <c r="O52" i="11"/>
  <c r="AD18" i="11"/>
  <c r="O56" i="2"/>
  <c r="Z55" i="2" s="1"/>
  <c r="AD21" i="2"/>
  <c r="AC20" i="3"/>
  <c r="AT9" i="2"/>
  <c r="AF9" i="2"/>
  <c r="AC19" i="2"/>
  <c r="AG19" i="2" s="1"/>
  <c r="O49" i="4"/>
  <c r="R54" i="4" s="1"/>
  <c r="AD15" i="4"/>
  <c r="N52" i="5"/>
  <c r="V49" i="5" s="1"/>
  <c r="AC18" i="5"/>
  <c r="V45" i="6"/>
  <c r="V43" i="6"/>
  <c r="V44" i="6"/>
  <c r="M52" i="9"/>
  <c r="AB18" i="9"/>
  <c r="O39" i="10"/>
  <c r="AD5" i="10"/>
  <c r="AB8" i="10"/>
  <c r="AG8" i="10" s="1"/>
  <c r="N53" i="10"/>
  <c r="V50" i="10" s="1"/>
  <c r="AC19" i="10"/>
  <c r="O41" i="11"/>
  <c r="R82" i="11" s="1"/>
  <c r="AD7" i="11"/>
  <c r="M53" i="12"/>
  <c r="V45" i="12" s="1"/>
  <c r="AB19" i="12"/>
  <c r="R38" i="13"/>
  <c r="N40" i="14"/>
  <c r="AC6" i="14"/>
  <c r="N41" i="15"/>
  <c r="AC7" i="15"/>
  <c r="AA9" i="15"/>
  <c r="L43" i="16"/>
  <c r="AA9" i="16"/>
  <c r="O40" i="17"/>
  <c r="AD6" i="17"/>
  <c r="AC22" i="3"/>
  <c r="N60" i="3"/>
  <c r="V76" i="3" s="1"/>
  <c r="AC26" i="3"/>
  <c r="M65" i="4"/>
  <c r="Z73" i="4" s="1"/>
  <c r="AB31" i="4"/>
  <c r="AB24" i="5"/>
  <c r="AC29" i="5"/>
  <c r="N58" i="6"/>
  <c r="R77" i="6" s="1"/>
  <c r="S76" i="6" s="1"/>
  <c r="T76" i="6" s="1"/>
  <c r="AC24" i="6"/>
  <c r="M43" i="6"/>
  <c r="AB9" i="6"/>
  <c r="R58" i="8"/>
  <c r="U86" i="8" s="1"/>
  <c r="AK24" i="8"/>
  <c r="AH30" i="8"/>
  <c r="M44" i="9"/>
  <c r="AB10" i="9"/>
  <c r="L44" i="10"/>
  <c r="AA10" i="10"/>
  <c r="AB28" i="12"/>
  <c r="AT4" i="2"/>
  <c r="L52" i="3"/>
  <c r="AA18" i="3"/>
  <c r="O42" i="4"/>
  <c r="AD8" i="4"/>
  <c r="AH8" i="4" s="1"/>
  <c r="AD16" i="4"/>
  <c r="O38" i="5"/>
  <c r="AD4" i="5"/>
  <c r="R54" i="6"/>
  <c r="R53" i="6"/>
  <c r="R55" i="6"/>
  <c r="AG10" i="1"/>
  <c r="AC16" i="9"/>
  <c r="M53" i="9"/>
  <c r="AB19" i="9"/>
  <c r="L48" i="11"/>
  <c r="AA14" i="11"/>
  <c r="M52" i="12"/>
  <c r="V44" i="12" s="1"/>
  <c r="AB18" i="12"/>
  <c r="AA16" i="13"/>
  <c r="AA14" i="14"/>
  <c r="AD19" i="14"/>
  <c r="L53" i="15"/>
  <c r="AA19" i="15"/>
  <c r="AD14" i="16"/>
  <c r="M43" i="17"/>
  <c r="AB9" i="17"/>
  <c r="O64" i="2"/>
  <c r="Z82" i="2" s="1"/>
  <c r="AD29" i="2"/>
  <c r="AC30" i="3"/>
  <c r="O60" i="4"/>
  <c r="V81" i="4" s="1"/>
  <c r="AD26" i="4"/>
  <c r="AA22" i="5"/>
  <c r="AF22" i="5" s="1"/>
  <c r="AC25" i="12"/>
  <c r="N59" i="12"/>
  <c r="R78" i="12" s="1"/>
  <c r="O54" i="17"/>
  <c r="AD20" i="17"/>
  <c r="AA19" i="3"/>
  <c r="AT5" i="10"/>
  <c r="N43" i="10"/>
  <c r="Z76" i="10" s="1"/>
  <c r="AC9" i="10"/>
  <c r="AA6" i="11"/>
  <c r="AA15" i="11"/>
  <c r="N49" i="12"/>
  <c r="R49" i="12" s="1"/>
  <c r="AC15" i="12"/>
  <c r="N53" i="12"/>
  <c r="AC19" i="12"/>
  <c r="L51" i="13"/>
  <c r="AA17" i="13"/>
  <c r="O52" i="14"/>
  <c r="AD18" i="14"/>
  <c r="M40" i="15"/>
  <c r="AB6" i="15"/>
  <c r="O53" i="16"/>
  <c r="AD19" i="16"/>
  <c r="AC16" i="17"/>
  <c r="O60" i="3"/>
  <c r="V81" i="3" s="1"/>
  <c r="AD26" i="3"/>
  <c r="AD30" i="3"/>
  <c r="AB16" i="3"/>
  <c r="L62" i="6"/>
  <c r="AA28" i="6"/>
  <c r="L51" i="7"/>
  <c r="AA17" i="7"/>
  <c r="AD22" i="10"/>
  <c r="AA14" i="13"/>
  <c r="AD15" i="2"/>
  <c r="N49" i="3"/>
  <c r="R49" i="3" s="1"/>
  <c r="AC15" i="3"/>
  <c r="AS4" i="4"/>
  <c r="AF4" i="4"/>
  <c r="AA9" i="4"/>
  <c r="AH9" i="4" s="1"/>
  <c r="L51" i="4"/>
  <c r="AA17" i="4"/>
  <c r="AH8" i="5"/>
  <c r="AS5" i="9"/>
  <c r="AU5" i="9" s="1"/>
  <c r="AF5" i="9"/>
  <c r="AG8" i="9"/>
  <c r="AD16" i="9"/>
  <c r="M38" i="11"/>
  <c r="AB4" i="11"/>
  <c r="O42" i="11"/>
  <c r="AD8" i="11"/>
  <c r="AB16" i="11"/>
  <c r="O38" i="12"/>
  <c r="AD4" i="12"/>
  <c r="AD16" i="12"/>
  <c r="M48" i="13"/>
  <c r="R43" i="13" s="1"/>
  <c r="AB14" i="13"/>
  <c r="N49" i="14"/>
  <c r="AC15" i="14"/>
  <c r="O50" i="15"/>
  <c r="AD16" i="15"/>
  <c r="AB7" i="16"/>
  <c r="L43" i="17"/>
  <c r="AA9" i="17"/>
  <c r="O58" i="2"/>
  <c r="AD23" i="2"/>
  <c r="AC30" i="4"/>
  <c r="M63" i="5"/>
  <c r="Z71" i="5" s="1"/>
  <c r="AB29" i="5"/>
  <c r="AA31" i="9"/>
  <c r="AE6" i="2"/>
  <c r="N50" i="3"/>
  <c r="R50" i="3" s="1"/>
  <c r="AC16" i="3"/>
  <c r="AG16" i="3" s="1"/>
  <c r="AD5" i="4"/>
  <c r="M42" i="4"/>
  <c r="AB8" i="4"/>
  <c r="N48" i="4"/>
  <c r="R48" i="4" s="1"/>
  <c r="AC14" i="4"/>
  <c r="L52" i="4"/>
  <c r="AA18" i="4"/>
  <c r="O53" i="4"/>
  <c r="AD19" i="4"/>
  <c r="P39" i="5"/>
  <c r="Q39" i="5"/>
  <c r="N48" i="5"/>
  <c r="AC14" i="5"/>
  <c r="AB16" i="5"/>
  <c r="L53" i="5"/>
  <c r="AA19" i="5"/>
  <c r="V38" i="6"/>
  <c r="V40" i="6"/>
  <c r="V39" i="6"/>
  <c r="Q39" i="6"/>
  <c r="AF11" i="1"/>
  <c r="AT4" i="9"/>
  <c r="AG4" i="9"/>
  <c r="AG5" i="9"/>
  <c r="AA16" i="9"/>
  <c r="L51" i="9"/>
  <c r="AA17" i="9"/>
  <c r="O51" i="9"/>
  <c r="AD17" i="9"/>
  <c r="N53" i="9"/>
  <c r="AC19" i="9"/>
  <c r="O40" i="10"/>
  <c r="AD6" i="10"/>
  <c r="AB14" i="10"/>
  <c r="L49" i="10"/>
  <c r="AA15" i="10"/>
  <c r="L50" i="10"/>
  <c r="AA16" i="10"/>
  <c r="AC5" i="11"/>
  <c r="AD6" i="11"/>
  <c r="N42" i="11"/>
  <c r="AC8" i="11"/>
  <c r="L43" i="11"/>
  <c r="AA9" i="11"/>
  <c r="N48" i="11"/>
  <c r="AC14" i="11"/>
  <c r="AC15" i="11"/>
  <c r="N50" i="11"/>
  <c r="AC16" i="11"/>
  <c r="AG16" i="11" s="1"/>
  <c r="N51" i="11"/>
  <c r="AC17" i="11"/>
  <c r="AC18" i="11"/>
  <c r="N53" i="11"/>
  <c r="AC19" i="11"/>
  <c r="O41" i="12"/>
  <c r="AD7" i="12"/>
  <c r="M43" i="12"/>
  <c r="Q43" i="12" s="1"/>
  <c r="AB9" i="12"/>
  <c r="AS4" i="13"/>
  <c r="AF4" i="13"/>
  <c r="AT5" i="13"/>
  <c r="AG5" i="13"/>
  <c r="AH8" i="13"/>
  <c r="AB16" i="13"/>
  <c r="AB17" i="13"/>
  <c r="AC19" i="13"/>
  <c r="L52" i="14"/>
  <c r="AA18" i="14"/>
  <c r="M52" i="15"/>
  <c r="AB18" i="15"/>
  <c r="N53" i="15"/>
  <c r="AC19" i="15"/>
  <c r="AA7" i="16"/>
  <c r="L50" i="16"/>
  <c r="AA16" i="16"/>
  <c r="AA17" i="16"/>
  <c r="L53" i="16"/>
  <c r="AA19" i="16"/>
  <c r="O38" i="17"/>
  <c r="AD4" i="17"/>
  <c r="N42" i="17"/>
  <c r="V78" i="17" s="1"/>
  <c r="AC8" i="17"/>
  <c r="O48" i="17"/>
  <c r="R53" i="17" s="1"/>
  <c r="AD14" i="17"/>
  <c r="O52" i="17"/>
  <c r="AD18" i="17"/>
  <c r="O57" i="2"/>
  <c r="Z56" i="2" s="1"/>
  <c r="AD22" i="2"/>
  <c r="O61" i="2"/>
  <c r="AD26" i="2"/>
  <c r="Z83" i="2"/>
  <c r="M61" i="2"/>
  <c r="V72" i="2" s="1"/>
  <c r="AB26" i="2"/>
  <c r="AB25" i="2"/>
  <c r="AF25" i="2" s="1"/>
  <c r="AD31" i="2"/>
  <c r="AB21" i="2"/>
  <c r="AF21" i="2" s="1"/>
  <c r="L54" i="3"/>
  <c r="AA20" i="3"/>
  <c r="AA21" i="3"/>
  <c r="AA23" i="3"/>
  <c r="L58" i="3"/>
  <c r="AA24" i="3"/>
  <c r="L60" i="3"/>
  <c r="AA26" i="3"/>
  <c r="AD29" i="3"/>
  <c r="AD17" i="3"/>
  <c r="AD22" i="3"/>
  <c r="AB28" i="4"/>
  <c r="AC29" i="4"/>
  <c r="M55" i="4"/>
  <c r="AB21" i="4"/>
  <c r="O44" i="5"/>
  <c r="AD10" i="5"/>
  <c r="AB11" i="5"/>
  <c r="O61" i="6"/>
  <c r="V82" i="6" s="1"/>
  <c r="AD27" i="6"/>
  <c r="AB7" i="6"/>
  <c r="L42" i="6"/>
  <c r="AA8" i="6"/>
  <c r="AH8" i="6" s="1"/>
  <c r="Q42" i="8"/>
  <c r="T42" i="8" s="1"/>
  <c r="AJ8" i="8"/>
  <c r="AA20" i="7"/>
  <c r="O60" i="7"/>
  <c r="V81" i="7" s="1"/>
  <c r="AD26" i="7"/>
  <c r="AH26" i="7" s="1"/>
  <c r="L45" i="9"/>
  <c r="AA11" i="9"/>
  <c r="M57" i="9"/>
  <c r="R71" i="9" s="1"/>
  <c r="AB23" i="9"/>
  <c r="N54" i="10"/>
  <c r="AC20" i="10"/>
  <c r="M64" i="12"/>
  <c r="AB30" i="12"/>
  <c r="AD10" i="15"/>
  <c r="O53" i="2"/>
  <c r="V55" i="2" s="1"/>
  <c r="AD18" i="2"/>
  <c r="L51" i="3"/>
  <c r="AA17" i="3"/>
  <c r="N52" i="4"/>
  <c r="AC18" i="4"/>
  <c r="AA15" i="5"/>
  <c r="L49" i="5"/>
  <c r="AC15" i="9"/>
  <c r="Q39" i="10"/>
  <c r="P39" i="10"/>
  <c r="N50" i="10"/>
  <c r="AC16" i="10"/>
  <c r="AC4" i="11"/>
  <c r="N41" i="11"/>
  <c r="R76" i="11" s="1"/>
  <c r="AC7" i="11"/>
  <c r="AT9" i="13"/>
  <c r="AG9" i="13"/>
  <c r="L49" i="13"/>
  <c r="AA15" i="13"/>
  <c r="AC5" i="14"/>
  <c r="L49" i="14"/>
  <c r="AA15" i="14"/>
  <c r="AD8" i="15"/>
  <c r="N39" i="17"/>
  <c r="AC5" i="17"/>
  <c r="AS5" i="17" s="1"/>
  <c r="M49" i="17"/>
  <c r="AB15" i="17"/>
  <c r="L45" i="2"/>
  <c r="AA10" i="2"/>
  <c r="AB28" i="2"/>
  <c r="L63" i="2"/>
  <c r="AA28" i="2"/>
  <c r="AE28" i="2" s="1"/>
  <c r="AB29" i="3"/>
  <c r="AD29" i="5"/>
  <c r="AH21" i="8"/>
  <c r="AM21" i="8" s="1"/>
  <c r="AB28" i="7"/>
  <c r="AB15" i="12"/>
  <c r="AA20" i="15"/>
  <c r="AB17" i="2"/>
  <c r="M39" i="4"/>
  <c r="AB5" i="4"/>
  <c r="AT8" i="4"/>
  <c r="M48" i="4"/>
  <c r="R43" i="4" s="1"/>
  <c r="AB14" i="4"/>
  <c r="V53" i="5"/>
  <c r="N53" i="5"/>
  <c r="V50" i="5" s="1"/>
  <c r="AC19" i="5"/>
  <c r="Q42" i="9"/>
  <c r="P42" i="9"/>
  <c r="AD14" i="9"/>
  <c r="AH14" i="9" s="1"/>
  <c r="N41" i="10"/>
  <c r="R76" i="10" s="1"/>
  <c r="AC7" i="10"/>
  <c r="AA5" i="11"/>
  <c r="AA16" i="11"/>
  <c r="N42" i="12"/>
  <c r="AC8" i="12"/>
  <c r="AS8" i="12" s="1"/>
  <c r="M48" i="12"/>
  <c r="AB14" i="12"/>
  <c r="Q39" i="13"/>
  <c r="P39" i="13"/>
  <c r="AC8" i="16"/>
  <c r="AD18" i="16"/>
  <c r="M51" i="17"/>
  <c r="V43" i="17" s="1"/>
  <c r="AB17" i="17"/>
  <c r="L46" i="2"/>
  <c r="AA11" i="2"/>
  <c r="N54" i="5"/>
  <c r="AC20" i="5"/>
  <c r="N64" i="5"/>
  <c r="Z77" i="5" s="1"/>
  <c r="AC30" i="5"/>
  <c r="N45" i="7"/>
  <c r="AC11" i="7"/>
  <c r="L58" i="9"/>
  <c r="AA24" i="9"/>
  <c r="AC10" i="12"/>
  <c r="AC29" i="17"/>
  <c r="AQ7" i="17"/>
  <c r="N51" i="2"/>
  <c r="R51" i="2" s="1"/>
  <c r="AC16" i="2"/>
  <c r="AA16" i="4"/>
  <c r="AF16" i="4" s="1"/>
  <c r="L38" i="5"/>
  <c r="AA4" i="5"/>
  <c r="AS6" i="7"/>
  <c r="AT6" i="9"/>
  <c r="AH8" i="9"/>
  <c r="AA14" i="9"/>
  <c r="M43" i="11"/>
  <c r="AB9" i="11"/>
  <c r="AA19" i="11"/>
  <c r="L53" i="11"/>
  <c r="N40" i="12"/>
  <c r="AC6" i="12"/>
  <c r="N50" i="12"/>
  <c r="R50" i="12" s="1"/>
  <c r="AC16" i="12"/>
  <c r="M49" i="14"/>
  <c r="R44" i="14" s="1"/>
  <c r="AB15" i="14"/>
  <c r="AS8" i="16"/>
  <c r="N48" i="17"/>
  <c r="AC14" i="17"/>
  <c r="N53" i="17"/>
  <c r="AC19" i="17"/>
  <c r="L57" i="2"/>
  <c r="AA22" i="2"/>
  <c r="AE22" i="2" s="1"/>
  <c r="O59" i="6"/>
  <c r="AD25" i="6"/>
  <c r="R50" i="8"/>
  <c r="AK16" i="8"/>
  <c r="O55" i="10"/>
  <c r="Z54" i="10" s="1"/>
  <c r="AD21" i="10"/>
  <c r="M58" i="14"/>
  <c r="R72" i="14" s="1"/>
  <c r="AB24" i="14"/>
  <c r="M49" i="2"/>
  <c r="R44" i="2" s="1"/>
  <c r="S44" i="2" s="1"/>
  <c r="AB14" i="2"/>
  <c r="AF14" i="2" s="1"/>
  <c r="M53" i="2"/>
  <c r="AB18" i="2"/>
  <c r="M40" i="4"/>
  <c r="Q40" i="4" s="1"/>
  <c r="AB6" i="4"/>
  <c r="AT6" i="4" s="1"/>
  <c r="O52" i="4"/>
  <c r="AD18" i="4"/>
  <c r="M49" i="5"/>
  <c r="R44" i="5" s="1"/>
  <c r="AB15" i="5"/>
  <c r="O53" i="5"/>
  <c r="V55" i="5" s="1"/>
  <c r="AD19" i="5"/>
  <c r="AS7" i="10"/>
  <c r="AA14" i="10"/>
  <c r="AD19" i="10"/>
  <c r="AB14" i="11"/>
  <c r="AB19" i="11"/>
  <c r="M53" i="11"/>
  <c r="O48" i="12"/>
  <c r="R53" i="12" s="1"/>
  <c r="AD14" i="12"/>
  <c r="O52" i="12"/>
  <c r="AD18" i="12"/>
  <c r="P42" i="13"/>
  <c r="Q42" i="13"/>
  <c r="L38" i="14"/>
  <c r="AA4" i="14"/>
  <c r="L48" i="15"/>
  <c r="AA14" i="15"/>
  <c r="L52" i="15"/>
  <c r="AA18" i="15"/>
  <c r="L48" i="16"/>
  <c r="AA14" i="16"/>
  <c r="N52" i="17"/>
  <c r="V49" i="17" s="1"/>
  <c r="AC18" i="17"/>
  <c r="N58" i="4"/>
  <c r="AC24" i="4"/>
  <c r="AD21" i="5"/>
  <c r="L52" i="7"/>
  <c r="AA18" i="7"/>
  <c r="M65" i="12"/>
  <c r="Z73" i="12" s="1"/>
  <c r="AB31" i="12"/>
  <c r="O62" i="16"/>
  <c r="AD28" i="16"/>
  <c r="O44" i="3"/>
  <c r="AC6" i="1"/>
  <c r="AU5" i="2"/>
  <c r="AG5" i="2"/>
  <c r="AF8" i="3"/>
  <c r="V44" i="3"/>
  <c r="AV5" i="1"/>
  <c r="N51" i="3"/>
  <c r="AC17" i="3"/>
  <c r="AA6" i="4"/>
  <c r="AB9" i="5"/>
  <c r="AB5" i="7"/>
  <c r="AG5" i="7" s="1"/>
  <c r="AA6" i="7"/>
  <c r="AE6" i="7" s="1"/>
  <c r="Q41" i="9"/>
  <c r="AA9" i="9"/>
  <c r="O52" i="9"/>
  <c r="AD18" i="9"/>
  <c r="M50" i="10"/>
  <c r="R45" i="10" s="1"/>
  <c r="AB16" i="10"/>
  <c r="AF16" i="10" s="1"/>
  <c r="L51" i="10"/>
  <c r="AA17" i="10"/>
  <c r="L52" i="10"/>
  <c r="AA18" i="10"/>
  <c r="AA19" i="10"/>
  <c r="N40" i="11"/>
  <c r="AC6" i="11"/>
  <c r="AA4" i="12"/>
  <c r="AA5" i="12"/>
  <c r="AB6" i="12"/>
  <c r="M41" i="12"/>
  <c r="Q41" i="12" s="1"/>
  <c r="AB7" i="12"/>
  <c r="AE7" i="12" s="1"/>
  <c r="AC7" i="13"/>
  <c r="AC17" i="13"/>
  <c r="N52" i="13"/>
  <c r="V49" i="13" s="1"/>
  <c r="AC18" i="13"/>
  <c r="N38" i="14"/>
  <c r="AC4" i="14"/>
  <c r="AS4" i="14" s="1"/>
  <c r="L40" i="14"/>
  <c r="AA6" i="14"/>
  <c r="L41" i="14"/>
  <c r="AA7" i="14"/>
  <c r="M43" i="14"/>
  <c r="Z71" i="14" s="1"/>
  <c r="AB9" i="14"/>
  <c r="AC14" i="14"/>
  <c r="AD16" i="14"/>
  <c r="O50" i="14"/>
  <c r="R55" i="14" s="1"/>
  <c r="M52" i="14"/>
  <c r="V44" i="14" s="1"/>
  <c r="AB18" i="14"/>
  <c r="AB19" i="14"/>
  <c r="O39" i="15"/>
  <c r="AD5" i="15"/>
  <c r="L40" i="15"/>
  <c r="AA6" i="15"/>
  <c r="AA7" i="15"/>
  <c r="L50" i="15"/>
  <c r="AA16" i="15"/>
  <c r="M51" i="15"/>
  <c r="AB17" i="15"/>
  <c r="AC5" i="16"/>
  <c r="AS5" i="16" s="1"/>
  <c r="O40" i="16"/>
  <c r="AD6" i="16"/>
  <c r="AB15" i="16"/>
  <c r="L39" i="17"/>
  <c r="AA5" i="17"/>
  <c r="O43" i="17"/>
  <c r="AD9" i="17"/>
  <c r="AH9" i="17" s="1"/>
  <c r="L56" i="2"/>
  <c r="AA21" i="2"/>
  <c r="AG21" i="2" s="1"/>
  <c r="AA23" i="2"/>
  <c r="AA25" i="2"/>
  <c r="L64" i="2"/>
  <c r="AA29" i="2"/>
  <c r="AA31" i="2"/>
  <c r="L66" i="2"/>
  <c r="AD30" i="2"/>
  <c r="M45" i="3"/>
  <c r="AB11" i="3"/>
  <c r="M58" i="3"/>
  <c r="R72" i="3" s="1"/>
  <c r="AB24" i="3"/>
  <c r="M59" i="3"/>
  <c r="R73" i="3" s="1"/>
  <c r="AB25" i="3"/>
  <c r="AB18" i="3"/>
  <c r="AD23" i="3"/>
  <c r="L60" i="4"/>
  <c r="AA26" i="4"/>
  <c r="AB27" i="4"/>
  <c r="M61" i="4"/>
  <c r="V72" i="4" s="1"/>
  <c r="O44" i="4"/>
  <c r="AD10" i="4"/>
  <c r="O58" i="4"/>
  <c r="AD24" i="4"/>
  <c r="O57" i="5"/>
  <c r="AD23" i="5"/>
  <c r="AD28" i="5"/>
  <c r="N61" i="6"/>
  <c r="AC27" i="6"/>
  <c r="O43" i="6"/>
  <c r="AD9" i="6"/>
  <c r="AN11" i="8"/>
  <c r="P52" i="8"/>
  <c r="Y59" i="8" s="1"/>
  <c r="AI18" i="8"/>
  <c r="AH28" i="8"/>
  <c r="AJ9" i="8"/>
  <c r="N51" i="7"/>
  <c r="V48" i="7" s="1"/>
  <c r="AC17" i="7"/>
  <c r="AA24" i="7"/>
  <c r="M60" i="7"/>
  <c r="V71" i="7" s="1"/>
  <c r="AB26" i="7"/>
  <c r="AD16" i="10"/>
  <c r="AC27" i="14"/>
  <c r="L49" i="2"/>
  <c r="AA14" i="2"/>
  <c r="V40" i="2"/>
  <c r="O40" i="4"/>
  <c r="P40" i="4" s="1"/>
  <c r="AD6" i="4"/>
  <c r="AT9" i="9"/>
  <c r="AC17" i="10"/>
  <c r="L42" i="12"/>
  <c r="AA8" i="12"/>
  <c r="AB17" i="12"/>
  <c r="AS8" i="13"/>
  <c r="AF8" i="13"/>
  <c r="AD17" i="13"/>
  <c r="AH17" i="13" s="1"/>
  <c r="AT7" i="14"/>
  <c r="AB17" i="14"/>
  <c r="M51" i="14"/>
  <c r="V43" i="14" s="1"/>
  <c r="W43" i="14" s="1"/>
  <c r="O52" i="15"/>
  <c r="V54" i="15" s="1"/>
  <c r="AD18" i="15"/>
  <c r="AB6" i="16"/>
  <c r="AD8" i="16"/>
  <c r="AC18" i="16"/>
  <c r="L52" i="17"/>
  <c r="AA18" i="17"/>
  <c r="AD25" i="2"/>
  <c r="O55" i="2"/>
  <c r="Z54" i="2" s="1"/>
  <c r="AD20" i="2"/>
  <c r="R82" i="3"/>
  <c r="N59" i="3"/>
  <c r="AC25" i="3"/>
  <c r="AF20" i="3"/>
  <c r="AA10" i="4"/>
  <c r="M44" i="5"/>
  <c r="AB10" i="5"/>
  <c r="M61" i="5"/>
  <c r="AB27" i="5"/>
  <c r="L60" i="6"/>
  <c r="AA26" i="6"/>
  <c r="N60" i="12"/>
  <c r="V76" i="12" s="1"/>
  <c r="AC26" i="12"/>
  <c r="O38" i="3"/>
  <c r="AD4" i="3"/>
  <c r="M49" i="3"/>
  <c r="AB15" i="3"/>
  <c r="AT4" i="4"/>
  <c r="AG4" i="4"/>
  <c r="L49" i="4"/>
  <c r="AA15" i="4"/>
  <c r="Q43" i="5"/>
  <c r="AA16" i="5"/>
  <c r="O52" i="5"/>
  <c r="V54" i="5" s="1"/>
  <c r="AD18" i="5"/>
  <c r="V55" i="6"/>
  <c r="V54" i="6"/>
  <c r="V53" i="6"/>
  <c r="AT4" i="7"/>
  <c r="Q39" i="7"/>
  <c r="O43" i="10"/>
  <c r="AD9" i="10"/>
  <c r="AC18" i="10"/>
  <c r="O39" i="11"/>
  <c r="AD5" i="11"/>
  <c r="AH5" i="11" s="1"/>
  <c r="L42" i="11"/>
  <c r="AA8" i="11"/>
  <c r="AA18" i="11"/>
  <c r="L52" i="11"/>
  <c r="L40" i="12"/>
  <c r="AA6" i="12"/>
  <c r="AE6" i="12" s="1"/>
  <c r="AT7" i="12"/>
  <c r="AG7" i="12"/>
  <c r="AB16" i="12"/>
  <c r="L52" i="13"/>
  <c r="AA18" i="13"/>
  <c r="M50" i="14"/>
  <c r="R45" i="14" s="1"/>
  <c r="AB16" i="14"/>
  <c r="R50" i="15"/>
  <c r="O38" i="16"/>
  <c r="AD4" i="16"/>
  <c r="M38" i="17"/>
  <c r="AB4" i="17"/>
  <c r="L42" i="17"/>
  <c r="AA8" i="17"/>
  <c r="M53" i="17"/>
  <c r="V45" i="17" s="1"/>
  <c r="AB19" i="17"/>
  <c r="O63" i="2"/>
  <c r="AD28" i="2"/>
  <c r="AB25" i="4"/>
  <c r="AG16" i="4"/>
  <c r="AA10" i="6"/>
  <c r="L61" i="6"/>
  <c r="AA27" i="6"/>
  <c r="Q60" i="8"/>
  <c r="AJ26" i="8"/>
  <c r="M65" i="7"/>
  <c r="AB31" i="7"/>
  <c r="N60" i="10"/>
  <c r="AC26" i="10"/>
  <c r="L64" i="10"/>
  <c r="AA30" i="10"/>
  <c r="N54" i="17"/>
  <c r="AC20" i="17"/>
  <c r="AT6" i="2"/>
  <c r="O51" i="4"/>
  <c r="AD17" i="4"/>
  <c r="M48" i="5"/>
  <c r="AB14" i="5"/>
  <c r="L51" i="5"/>
  <c r="AA17" i="5"/>
  <c r="AS9" i="9"/>
  <c r="O49" i="9"/>
  <c r="R54" i="9" s="1"/>
  <c r="AD15" i="9"/>
  <c r="AE8" i="10"/>
  <c r="AD14" i="10"/>
  <c r="AH14" i="10" s="1"/>
  <c r="N48" i="12"/>
  <c r="R48" i="12" s="1"/>
  <c r="AC14" i="12"/>
  <c r="N52" i="12"/>
  <c r="AC18" i="12"/>
  <c r="AB19" i="13"/>
  <c r="AS7" i="14"/>
  <c r="AU7" i="14" s="1"/>
  <c r="AC17" i="14"/>
  <c r="O43" i="16"/>
  <c r="AD9" i="16"/>
  <c r="L55" i="2"/>
  <c r="AA20" i="2"/>
  <c r="AE20" i="2" s="1"/>
  <c r="AC28" i="3"/>
  <c r="N59" i="4"/>
  <c r="AC25" i="4"/>
  <c r="L57" i="5"/>
  <c r="AA23" i="5"/>
  <c r="AB10" i="7"/>
  <c r="N56" i="9"/>
  <c r="AC22" i="9"/>
  <c r="AB25" i="10"/>
  <c r="M59" i="10"/>
  <c r="M41" i="2"/>
  <c r="AA15" i="2"/>
  <c r="L54" i="2"/>
  <c r="AA19" i="2"/>
  <c r="L52" i="5"/>
  <c r="AA18" i="5"/>
  <c r="AG11" i="1"/>
  <c r="AS9" i="7"/>
  <c r="N52" i="9"/>
  <c r="AC18" i="9"/>
  <c r="AD17" i="10"/>
  <c r="M41" i="11"/>
  <c r="AB7" i="11"/>
  <c r="AB15" i="11"/>
  <c r="AB18" i="11"/>
  <c r="AF18" i="11" s="1"/>
  <c r="M52" i="11"/>
  <c r="O43" i="12"/>
  <c r="AD9" i="12"/>
  <c r="AD17" i="12"/>
  <c r="AT6" i="13"/>
  <c r="AU6" i="13" s="1"/>
  <c r="M49" i="13"/>
  <c r="R44" i="13" s="1"/>
  <c r="AB15" i="13"/>
  <c r="AB8" i="14"/>
  <c r="AT8" i="14" s="1"/>
  <c r="AA19" i="14"/>
  <c r="AC9" i="15"/>
  <c r="AD15" i="15"/>
  <c r="AD5" i="16"/>
  <c r="L40" i="16"/>
  <c r="AA6" i="16"/>
  <c r="AD17" i="16"/>
  <c r="M40" i="17"/>
  <c r="AB6" i="17"/>
  <c r="AB20" i="2"/>
  <c r="AD27" i="2"/>
  <c r="L44" i="3"/>
  <c r="AA10" i="3"/>
  <c r="M57" i="4"/>
  <c r="R71" i="4" s="1"/>
  <c r="AB23" i="4"/>
  <c r="O65" i="4"/>
  <c r="AD31" i="4"/>
  <c r="AA24" i="5"/>
  <c r="O45" i="6"/>
  <c r="AD11" i="6"/>
  <c r="AO17" i="8"/>
  <c r="AD19" i="7"/>
  <c r="N64" i="12"/>
  <c r="Z77" i="12" s="1"/>
  <c r="AC30" i="12"/>
  <c r="L64" i="13"/>
  <c r="AA30" i="13"/>
  <c r="O58" i="17"/>
  <c r="AD24" i="17"/>
  <c r="AE8" i="1"/>
  <c r="AG6" i="2"/>
  <c r="AU8" i="2"/>
  <c r="N49" i="2"/>
  <c r="R49" i="2" s="1"/>
  <c r="AC14" i="2"/>
  <c r="N53" i="2"/>
  <c r="V50" i="2" s="1"/>
  <c r="AC18" i="2"/>
  <c r="AC18" i="3"/>
  <c r="AC9" i="4"/>
  <c r="AS9" i="4" s="1"/>
  <c r="AC16" i="5"/>
  <c r="AG16" i="5" s="1"/>
  <c r="M52" i="5"/>
  <c r="V44" i="5" s="1"/>
  <c r="AB18" i="5"/>
  <c r="P40" i="7"/>
  <c r="Q40" i="7"/>
  <c r="AS8" i="9"/>
  <c r="AF8" i="9"/>
  <c r="Q43" i="9"/>
  <c r="P43" i="9"/>
  <c r="L52" i="9"/>
  <c r="AA18" i="9"/>
  <c r="L53" i="9"/>
  <c r="AA19" i="9"/>
  <c r="O53" i="9"/>
  <c r="AD19" i="9"/>
  <c r="AH19" i="9" s="1"/>
  <c r="N38" i="10"/>
  <c r="AC4" i="10"/>
  <c r="AA7" i="10"/>
  <c r="AF7" i="10" s="1"/>
  <c r="AB17" i="10"/>
  <c r="M52" i="10"/>
  <c r="V44" i="10" s="1"/>
  <c r="AB18" i="10"/>
  <c r="AD4" i="11"/>
  <c r="AH4" i="11" s="1"/>
  <c r="N39" i="12"/>
  <c r="AC5" i="12"/>
  <c r="AS5" i="12" s="1"/>
  <c r="L48" i="12"/>
  <c r="AA14" i="12"/>
  <c r="AE14" i="12" s="1"/>
  <c r="AA15" i="12"/>
  <c r="AA16" i="12"/>
  <c r="L51" i="12"/>
  <c r="AA17" i="12"/>
  <c r="L52" i="12"/>
  <c r="AA18" i="12"/>
  <c r="AE18" i="12" s="1"/>
  <c r="L53" i="12"/>
  <c r="AA19" i="12"/>
  <c r="AE4" i="13"/>
  <c r="AS5" i="13"/>
  <c r="AU5" i="13" s="1"/>
  <c r="AF5" i="13"/>
  <c r="AT8" i="13"/>
  <c r="AG8" i="13"/>
  <c r="N49" i="13"/>
  <c r="R49" i="13" s="1"/>
  <c r="AC15" i="13"/>
  <c r="O52" i="13"/>
  <c r="V54" i="13" s="1"/>
  <c r="AD18" i="13"/>
  <c r="O40" i="14"/>
  <c r="AD6" i="14"/>
  <c r="L43" i="14"/>
  <c r="AA9" i="14"/>
  <c r="AC19" i="14"/>
  <c r="AA8" i="15"/>
  <c r="AF8" i="15" s="1"/>
  <c r="AB9" i="15"/>
  <c r="N51" i="15"/>
  <c r="AC17" i="15"/>
  <c r="AB4" i="16"/>
  <c r="AF5" i="16"/>
  <c r="AA8" i="16"/>
  <c r="M43" i="16"/>
  <c r="AB9" i="16"/>
  <c r="AB17" i="16"/>
  <c r="M53" i="16"/>
  <c r="AB19" i="16"/>
  <c r="N38" i="17"/>
  <c r="Q38" i="17" s="1"/>
  <c r="AC4" i="17"/>
  <c r="O39" i="17"/>
  <c r="AD5" i="17"/>
  <c r="L40" i="17"/>
  <c r="AA6" i="17"/>
  <c r="M41" i="17"/>
  <c r="AB7" i="17"/>
  <c r="AT9" i="17"/>
  <c r="AG9" i="17"/>
  <c r="L48" i="17"/>
  <c r="AA14" i="17"/>
  <c r="O51" i="17"/>
  <c r="AD17" i="17"/>
  <c r="Z45" i="2"/>
  <c r="M64" i="2"/>
  <c r="AB29" i="2"/>
  <c r="AF29" i="2" s="1"/>
  <c r="AC23" i="2"/>
  <c r="AD14" i="2"/>
  <c r="AB23" i="2"/>
  <c r="AF23" i="2" s="1"/>
  <c r="AB31" i="2"/>
  <c r="AF31" i="2" s="1"/>
  <c r="AB21" i="3"/>
  <c r="AH21" i="3" s="1"/>
  <c r="M57" i="3"/>
  <c r="R71" i="3" s="1"/>
  <c r="AB23" i="3"/>
  <c r="AB27" i="3"/>
  <c r="AA28" i="3"/>
  <c r="AA29" i="3"/>
  <c r="AA30" i="3"/>
  <c r="AD18" i="3"/>
  <c r="AD24" i="3"/>
  <c r="O57" i="4"/>
  <c r="R81" i="4" s="1"/>
  <c r="AD23" i="4"/>
  <c r="L65" i="4"/>
  <c r="AA31" i="4"/>
  <c r="N57" i="5"/>
  <c r="AC23" i="5"/>
  <c r="L64" i="5"/>
  <c r="AA30" i="5"/>
  <c r="O41" i="6"/>
  <c r="AD7" i="6"/>
  <c r="N42" i="6"/>
  <c r="AC8" i="6"/>
  <c r="O40" i="8"/>
  <c r="AC43" i="8" s="1"/>
  <c r="AH6" i="8"/>
  <c r="AC20" i="7"/>
  <c r="AG20" i="7" s="1"/>
  <c r="M55" i="7"/>
  <c r="Z44" i="7" s="1"/>
  <c r="AB21" i="7"/>
  <c r="AC22" i="7"/>
  <c r="M57" i="7"/>
  <c r="R71" i="7" s="1"/>
  <c r="AB23" i="7"/>
  <c r="AA27" i="7"/>
  <c r="AH27" i="7" s="1"/>
  <c r="AD30" i="7"/>
  <c r="L56" i="9"/>
  <c r="AA22" i="9"/>
  <c r="AC26" i="9"/>
  <c r="L60" i="10"/>
  <c r="AA26" i="10"/>
  <c r="AA28" i="10"/>
  <c r="N45" i="11"/>
  <c r="AC11" i="11"/>
  <c r="M60" i="14"/>
  <c r="AB26" i="14"/>
  <c r="AC16" i="15"/>
  <c r="Q40" i="1"/>
  <c r="N50" i="2"/>
  <c r="R50" i="2" s="1"/>
  <c r="AC15" i="2"/>
  <c r="AG15" i="2" s="1"/>
  <c r="M38" i="3"/>
  <c r="R45" i="3" s="1"/>
  <c r="AB4" i="3"/>
  <c r="AS7" i="3"/>
  <c r="L48" i="4"/>
  <c r="AA14" i="4"/>
  <c r="R45" i="6"/>
  <c r="R44" i="6"/>
  <c r="R43" i="6"/>
  <c r="S43" i="6" s="1"/>
  <c r="AE4" i="7"/>
  <c r="AE9" i="2"/>
  <c r="N48" i="3"/>
  <c r="R48" i="3" s="1"/>
  <c r="AC14" i="3"/>
  <c r="AA7" i="4"/>
  <c r="AF10" i="1"/>
  <c r="N51" i="9"/>
  <c r="AC17" i="9"/>
  <c r="O49" i="10"/>
  <c r="R54" i="10" s="1"/>
  <c r="AD15" i="10"/>
  <c r="AA17" i="11"/>
  <c r="L51" i="11"/>
  <c r="M38" i="12"/>
  <c r="R44" i="12" s="1"/>
  <c r="AB4" i="12"/>
  <c r="AC17" i="12"/>
  <c r="AT4" i="13"/>
  <c r="AG4" i="13"/>
  <c r="AS9" i="13"/>
  <c r="AU9" i="13" s="1"/>
  <c r="AF9" i="13"/>
  <c r="AM9" i="13" s="1"/>
  <c r="M52" i="13"/>
  <c r="V44" i="13" s="1"/>
  <c r="AB18" i="13"/>
  <c r="M40" i="14"/>
  <c r="AB6" i="14"/>
  <c r="N43" i="14"/>
  <c r="AC9" i="14"/>
  <c r="AB14" i="14"/>
  <c r="AA5" i="16"/>
  <c r="M45" i="2"/>
  <c r="AB10" i="2"/>
  <c r="AF10" i="2" s="1"/>
  <c r="AA18" i="2"/>
  <c r="AE18" i="2" s="1"/>
  <c r="Q40" i="2"/>
  <c r="P40" i="2"/>
  <c r="M51" i="3"/>
  <c r="V43" i="3" s="1"/>
  <c r="AB17" i="3"/>
  <c r="M49" i="4"/>
  <c r="R44" i="4" s="1"/>
  <c r="AB15" i="4"/>
  <c r="AE5" i="5"/>
  <c r="Q38" i="6"/>
  <c r="R40" i="6"/>
  <c r="R38" i="6"/>
  <c r="P38" i="6"/>
  <c r="R39" i="6"/>
  <c r="AH6" i="6"/>
  <c r="L38" i="10"/>
  <c r="AA4" i="10"/>
  <c r="AD18" i="10"/>
  <c r="AH18" i="10" s="1"/>
  <c r="M51" i="11"/>
  <c r="AB17" i="11"/>
  <c r="AF17" i="11" s="1"/>
  <c r="AD15" i="12"/>
  <c r="O53" i="12"/>
  <c r="AD19" i="12"/>
  <c r="AH19" i="12" s="1"/>
  <c r="O38" i="15"/>
  <c r="AD4" i="15"/>
  <c r="O48" i="15"/>
  <c r="AD14" i="15"/>
  <c r="N38" i="16"/>
  <c r="AC4" i="16"/>
  <c r="AT9" i="16"/>
  <c r="AG9" i="16"/>
  <c r="O42" i="17"/>
  <c r="AD8" i="17"/>
  <c r="AC31" i="2"/>
  <c r="O59" i="3"/>
  <c r="R83" i="3" s="1"/>
  <c r="AD25" i="3"/>
  <c r="N44" i="4"/>
  <c r="AC10" i="4"/>
  <c r="M57" i="6"/>
  <c r="AB23" i="6"/>
  <c r="Q63" i="7"/>
  <c r="Z87" i="7" s="1"/>
  <c r="AB4" i="1"/>
  <c r="L41" i="2"/>
  <c r="N43" i="2"/>
  <c r="AB6" i="3"/>
  <c r="AD7" i="3"/>
  <c r="AC9" i="3"/>
  <c r="AH9" i="3" s="1"/>
  <c r="AC19" i="3"/>
  <c r="Q38" i="4"/>
  <c r="P38" i="4"/>
  <c r="AB7" i="4"/>
  <c r="AG8" i="4"/>
  <c r="AD5" i="5"/>
  <c r="AB5" i="5"/>
  <c r="AT5" i="5" s="1"/>
  <c r="AC8" i="5"/>
  <c r="AS8" i="5" s="1"/>
  <c r="AA8" i="5"/>
  <c r="AE8" i="5" s="1"/>
  <c r="AB4" i="6"/>
  <c r="AF4" i="6" s="1"/>
  <c r="AB5" i="6"/>
  <c r="AC7" i="7"/>
  <c r="AC8" i="7"/>
  <c r="AS8" i="7" s="1"/>
  <c r="AA9" i="7"/>
  <c r="AE9" i="7" s="1"/>
  <c r="AA6" i="9"/>
  <c r="AG6" i="9" s="1"/>
  <c r="AC7" i="9"/>
  <c r="AE7" i="9" s="1"/>
  <c r="AD9" i="9"/>
  <c r="AA5" i="10"/>
  <c r="O43" i="11"/>
  <c r="Z81" i="11" s="1"/>
  <c r="AD9" i="11"/>
  <c r="O49" i="11"/>
  <c r="AD15" i="11"/>
  <c r="AD17" i="11"/>
  <c r="O51" i="11"/>
  <c r="V53" i="11" s="1"/>
  <c r="O53" i="11"/>
  <c r="V55" i="11" s="1"/>
  <c r="AD19" i="11"/>
  <c r="AH19" i="11" s="1"/>
  <c r="AA9" i="12"/>
  <c r="Q38" i="13"/>
  <c r="P38" i="13"/>
  <c r="AA6" i="13"/>
  <c r="AE6" i="13" s="1"/>
  <c r="AB7" i="13"/>
  <c r="AH7" i="13" s="1"/>
  <c r="O48" i="13"/>
  <c r="R53" i="13" s="1"/>
  <c r="AD14" i="13"/>
  <c r="AA19" i="13"/>
  <c r="AD5" i="14"/>
  <c r="AD8" i="14"/>
  <c r="AH8" i="14" s="1"/>
  <c r="AD14" i="14"/>
  <c r="AH14" i="14" s="1"/>
  <c r="L50" i="14"/>
  <c r="AA16" i="14"/>
  <c r="AA17" i="14"/>
  <c r="L51" i="14"/>
  <c r="O40" i="15"/>
  <c r="AD6" i="15"/>
  <c r="O41" i="15"/>
  <c r="R82" i="15" s="1"/>
  <c r="AD7" i="15"/>
  <c r="M49" i="15"/>
  <c r="AB15" i="15"/>
  <c r="N52" i="15"/>
  <c r="AC18" i="15"/>
  <c r="AA4" i="16"/>
  <c r="AC7" i="16"/>
  <c r="AC14" i="16"/>
  <c r="N53" i="16"/>
  <c r="AC19" i="16"/>
  <c r="L41" i="17"/>
  <c r="AA7" i="17"/>
  <c r="AA16" i="17"/>
  <c r="L51" i="17"/>
  <c r="AA17" i="17"/>
  <c r="L53" i="17"/>
  <c r="AA19" i="17"/>
  <c r="O46" i="2"/>
  <c r="AD11" i="2"/>
  <c r="M46" i="2"/>
  <c r="AB11" i="2"/>
  <c r="AF11" i="2" s="1"/>
  <c r="M62" i="2"/>
  <c r="V73" i="2" s="1"/>
  <c r="AB27" i="2"/>
  <c r="AF27" i="2" s="1"/>
  <c r="AA24" i="2"/>
  <c r="N44" i="3"/>
  <c r="AC10" i="3"/>
  <c r="N57" i="3"/>
  <c r="AC23" i="3"/>
  <c r="M60" i="3"/>
  <c r="V71" i="3" s="1"/>
  <c r="AB26" i="3"/>
  <c r="AF26" i="3" s="1"/>
  <c r="AB31" i="3"/>
  <c r="AB14" i="3"/>
  <c r="AD19" i="3"/>
  <c r="AD31" i="3"/>
  <c r="M54" i="4"/>
  <c r="Z43" i="4" s="1"/>
  <c r="AB20" i="4"/>
  <c r="AC22" i="4"/>
  <c r="L59" i="4"/>
  <c r="AA25" i="4"/>
  <c r="AB29" i="4"/>
  <c r="N62" i="5"/>
  <c r="AC28" i="5"/>
  <c r="Z68" i="5"/>
  <c r="AD17" i="5"/>
  <c r="M45" i="6"/>
  <c r="AB11" i="6"/>
  <c r="M62" i="6"/>
  <c r="V73" i="6" s="1"/>
  <c r="AB28" i="6"/>
  <c r="AD30" i="6"/>
  <c r="M65" i="6"/>
  <c r="Z73" i="6" s="1"/>
  <c r="AB31" i="6"/>
  <c r="P44" i="8"/>
  <c r="T44" i="8" s="1"/>
  <c r="AI10" i="8"/>
  <c r="O63" i="8"/>
  <c r="AC75" i="8" s="1"/>
  <c r="AH29" i="8"/>
  <c r="AN29" i="8" s="1"/>
  <c r="L45" i="7"/>
  <c r="AA11" i="7"/>
  <c r="AE11" i="7" s="1"/>
  <c r="M50" i="7"/>
  <c r="AB16" i="7"/>
  <c r="N44" i="9"/>
  <c r="AC10" i="9"/>
  <c r="AG10" i="9" s="1"/>
  <c r="AA15" i="9"/>
  <c r="AB10" i="11"/>
  <c r="M60" i="11"/>
  <c r="V71" i="11" s="1"/>
  <c r="AB26" i="11"/>
  <c r="AB23" i="13"/>
  <c r="M57" i="13"/>
  <c r="AC24" i="13"/>
  <c r="N58" i="13"/>
  <c r="R77" i="13" s="1"/>
  <c r="L59" i="13"/>
  <c r="AA25" i="13"/>
  <c r="AB11" i="15"/>
  <c r="AA25" i="15"/>
  <c r="N45" i="16"/>
  <c r="AC11" i="16"/>
  <c r="AB20" i="16"/>
  <c r="AD19" i="13"/>
  <c r="AH19" i="13" s="1"/>
  <c r="N50" i="14"/>
  <c r="R50" i="14" s="1"/>
  <c r="AC16" i="14"/>
  <c r="N40" i="15"/>
  <c r="AC6" i="15"/>
  <c r="M53" i="15"/>
  <c r="AB19" i="15"/>
  <c r="AC6" i="16"/>
  <c r="O41" i="16"/>
  <c r="AD7" i="16"/>
  <c r="AA15" i="16"/>
  <c r="AD15" i="16"/>
  <c r="O50" i="16"/>
  <c r="R55" i="16" s="1"/>
  <c r="AD16" i="16"/>
  <c r="N51" i="16"/>
  <c r="AC17" i="16"/>
  <c r="AB18" i="16"/>
  <c r="AF18" i="16" s="1"/>
  <c r="N40" i="17"/>
  <c r="AC6" i="17"/>
  <c r="O41" i="17"/>
  <c r="AD7" i="17"/>
  <c r="AA15" i="17"/>
  <c r="AD15" i="17"/>
  <c r="AD16" i="17"/>
  <c r="N51" i="17"/>
  <c r="AC17" i="17"/>
  <c r="M52" i="17"/>
  <c r="V44" i="17" s="1"/>
  <c r="AB18" i="17"/>
  <c r="M65" i="2"/>
  <c r="AB30" i="2"/>
  <c r="AF30" i="2" s="1"/>
  <c r="N55" i="3"/>
  <c r="AC21" i="3"/>
  <c r="AG21" i="3" s="1"/>
  <c r="AB10" i="4"/>
  <c r="AC11" i="4"/>
  <c r="AE11" i="4" s="1"/>
  <c r="O55" i="4"/>
  <c r="AD21" i="4"/>
  <c r="AE21" i="4" s="1"/>
  <c r="L58" i="4"/>
  <c r="AA24" i="4"/>
  <c r="M60" i="4"/>
  <c r="AB26" i="4"/>
  <c r="N61" i="4"/>
  <c r="V77" i="4" s="1"/>
  <c r="AC27" i="4"/>
  <c r="AD29" i="4"/>
  <c r="AD28" i="4"/>
  <c r="AD11" i="5"/>
  <c r="L54" i="5"/>
  <c r="AA20" i="5"/>
  <c r="M59" i="5"/>
  <c r="Q59" i="5" s="1"/>
  <c r="AB25" i="5"/>
  <c r="N60" i="5"/>
  <c r="AC26" i="5"/>
  <c r="Z72" i="5"/>
  <c r="O57" i="6"/>
  <c r="R81" i="6" s="1"/>
  <c r="AD23" i="6"/>
  <c r="L58" i="6"/>
  <c r="AA24" i="6"/>
  <c r="AB29" i="6"/>
  <c r="N43" i="6"/>
  <c r="AC9" i="6"/>
  <c r="U44" i="8"/>
  <c r="AK18" i="8"/>
  <c r="P54" i="8"/>
  <c r="AC58" i="8" s="1"/>
  <c r="AI20" i="8"/>
  <c r="AL8" i="8"/>
  <c r="BE9" i="8"/>
  <c r="AM9" i="8"/>
  <c r="AN9" i="8"/>
  <c r="M48" i="7"/>
  <c r="AB14" i="7"/>
  <c r="N49" i="7"/>
  <c r="AC15" i="7"/>
  <c r="V43" i="7"/>
  <c r="W43" i="7" s="1"/>
  <c r="AB19" i="7"/>
  <c r="AC24" i="7"/>
  <c r="AD28" i="7"/>
  <c r="AC20" i="9"/>
  <c r="AB28" i="9"/>
  <c r="AD29" i="9"/>
  <c r="M58" i="10"/>
  <c r="AB24" i="10"/>
  <c r="O65" i="10"/>
  <c r="Z83" i="10" s="1"/>
  <c r="AD31" i="10"/>
  <c r="AC25" i="11"/>
  <c r="L63" i="11"/>
  <c r="AA29" i="11"/>
  <c r="M63" i="12"/>
  <c r="AB29" i="12"/>
  <c r="O63" i="13"/>
  <c r="Z81" i="13" s="1"/>
  <c r="AD29" i="13"/>
  <c r="O61" i="14"/>
  <c r="AD27" i="14"/>
  <c r="AC30" i="14"/>
  <c r="AD20" i="15"/>
  <c r="AB23" i="17"/>
  <c r="M38" i="15"/>
  <c r="Q38" i="15" s="1"/>
  <c r="AB4" i="15"/>
  <c r="AE4" i="15" s="1"/>
  <c r="M41" i="15"/>
  <c r="AB7" i="15"/>
  <c r="M48" i="15"/>
  <c r="AB14" i="15"/>
  <c r="AA15" i="15"/>
  <c r="AB24" i="2"/>
  <c r="V67" i="2"/>
  <c r="L59" i="3"/>
  <c r="AA25" i="3"/>
  <c r="AC27" i="3"/>
  <c r="AB28" i="3"/>
  <c r="AF28" i="3" s="1"/>
  <c r="Z39" i="4"/>
  <c r="AA23" i="4"/>
  <c r="O64" i="4"/>
  <c r="AD30" i="4"/>
  <c r="L44" i="5"/>
  <c r="AA10" i="5"/>
  <c r="M57" i="5"/>
  <c r="AB23" i="5"/>
  <c r="AC24" i="5"/>
  <c r="AA25" i="5"/>
  <c r="AB26" i="5"/>
  <c r="AF26" i="5" s="1"/>
  <c r="V67" i="5"/>
  <c r="Q61" i="5"/>
  <c r="AC31" i="5"/>
  <c r="AD10" i="6"/>
  <c r="L45" i="6"/>
  <c r="AA11" i="6"/>
  <c r="AD24" i="6"/>
  <c r="M61" i="6"/>
  <c r="V72" i="6" s="1"/>
  <c r="AB27" i="6"/>
  <c r="N62" i="6"/>
  <c r="V78" i="6" s="1"/>
  <c r="AC28" i="6"/>
  <c r="AG28" i="6" s="1"/>
  <c r="AB30" i="6"/>
  <c r="Q65" i="6"/>
  <c r="AN17" i="8"/>
  <c r="AJ18" i="8"/>
  <c r="AO18" i="8" s="1"/>
  <c r="AH20" i="8"/>
  <c r="N58" i="8"/>
  <c r="AG24" i="8"/>
  <c r="AH5" i="8"/>
  <c r="V49" i="7"/>
  <c r="O52" i="7"/>
  <c r="AD18" i="7"/>
  <c r="M45" i="9"/>
  <c r="AB11" i="9"/>
  <c r="AD22" i="9"/>
  <c r="O56" i="9"/>
  <c r="Z55" i="9" s="1"/>
  <c r="AD26" i="9"/>
  <c r="AB11" i="10"/>
  <c r="L58" i="10"/>
  <c r="AA24" i="10"/>
  <c r="O63" i="10"/>
  <c r="Z81" i="10" s="1"/>
  <c r="AD29" i="10"/>
  <c r="Z82" i="10"/>
  <c r="AA10" i="13"/>
  <c r="AD27" i="13"/>
  <c r="O61" i="13"/>
  <c r="V82" i="13" s="1"/>
  <c r="Z48" i="14"/>
  <c r="L65" i="14"/>
  <c r="AA31" i="14"/>
  <c r="AA31" i="16"/>
  <c r="O49" i="14"/>
  <c r="R54" i="14" s="1"/>
  <c r="AD15" i="14"/>
  <c r="N52" i="14"/>
  <c r="AC18" i="14"/>
  <c r="L39" i="15"/>
  <c r="AA5" i="15"/>
  <c r="O51" i="15"/>
  <c r="V53" i="15" s="1"/>
  <c r="W53" i="15" s="1"/>
  <c r="AD17" i="15"/>
  <c r="M48" i="16"/>
  <c r="AB14" i="16"/>
  <c r="M48" i="17"/>
  <c r="R43" i="17" s="1"/>
  <c r="AB14" i="17"/>
  <c r="AA31" i="3"/>
  <c r="O45" i="4"/>
  <c r="AD11" i="4"/>
  <c r="AA22" i="4"/>
  <c r="M58" i="4"/>
  <c r="R72" i="4" s="1"/>
  <c r="AB24" i="4"/>
  <c r="AF24" i="4" s="1"/>
  <c r="O61" i="4"/>
  <c r="V82" i="4" s="1"/>
  <c r="AD27" i="4"/>
  <c r="AH27" i="4" s="1"/>
  <c r="L64" i="4"/>
  <c r="AA30" i="4"/>
  <c r="AB21" i="5"/>
  <c r="AE21" i="5" s="1"/>
  <c r="N56" i="5"/>
  <c r="AC22" i="5"/>
  <c r="AG22" i="5" s="1"/>
  <c r="Z78" i="5"/>
  <c r="O65" i="5"/>
  <c r="AD31" i="5"/>
  <c r="R82" i="6"/>
  <c r="M59" i="6"/>
  <c r="Q59" i="6" s="1"/>
  <c r="AB25" i="6"/>
  <c r="AF25" i="6" s="1"/>
  <c r="AC26" i="6"/>
  <c r="AH26" i="6" s="1"/>
  <c r="Z72" i="6"/>
  <c r="AL11" i="8"/>
  <c r="AP11" i="8"/>
  <c r="AH22" i="8"/>
  <c r="AM22" i="8" s="1"/>
  <c r="AB25" i="9"/>
  <c r="M44" i="10"/>
  <c r="AB10" i="10"/>
  <c r="M57" i="10"/>
  <c r="AB23" i="10"/>
  <c r="AC31" i="11"/>
  <c r="AA24" i="13"/>
  <c r="AE24" i="13" s="1"/>
  <c r="AA11" i="14"/>
  <c r="L44" i="15"/>
  <c r="AA10" i="15"/>
  <c r="AD4" i="1"/>
  <c r="O49" i="13"/>
  <c r="R54" i="13" s="1"/>
  <c r="AD15" i="13"/>
  <c r="AH15" i="13" s="1"/>
  <c r="AC16" i="13"/>
  <c r="AD17" i="14"/>
  <c r="AH17" i="14" s="1"/>
  <c r="N39" i="15"/>
  <c r="AC5" i="15"/>
  <c r="AD9" i="15"/>
  <c r="N48" i="15"/>
  <c r="AC14" i="15"/>
  <c r="AC15" i="15"/>
  <c r="M50" i="15"/>
  <c r="R45" i="15" s="1"/>
  <c r="AB16" i="15"/>
  <c r="AF16" i="15" s="1"/>
  <c r="L51" i="15"/>
  <c r="AA17" i="15"/>
  <c r="N45" i="2"/>
  <c r="AC10" i="2"/>
  <c r="M57" i="2"/>
  <c r="AB22" i="2"/>
  <c r="N58" i="3"/>
  <c r="AC24" i="3"/>
  <c r="AG24" i="3" s="1"/>
  <c r="L61" i="3"/>
  <c r="AA27" i="3"/>
  <c r="AB30" i="3"/>
  <c r="AF30" i="3" s="1"/>
  <c r="L54" i="4"/>
  <c r="AA20" i="4"/>
  <c r="AB22" i="4"/>
  <c r="N57" i="4"/>
  <c r="Q57" i="4" s="1"/>
  <c r="AC23" i="4"/>
  <c r="AD25" i="4"/>
  <c r="AA28" i="4"/>
  <c r="AE28" i="4" s="1"/>
  <c r="M64" i="4"/>
  <c r="Z72" i="4" s="1"/>
  <c r="AB30" i="4"/>
  <c r="N65" i="4"/>
  <c r="AC31" i="4"/>
  <c r="AG31" i="4" s="1"/>
  <c r="O54" i="4"/>
  <c r="Z53" i="4" s="1"/>
  <c r="AD20" i="4"/>
  <c r="N44" i="5"/>
  <c r="AC10" i="5"/>
  <c r="AC25" i="5"/>
  <c r="O61" i="5"/>
  <c r="AD27" i="5"/>
  <c r="AA28" i="5"/>
  <c r="AD30" i="5"/>
  <c r="AB10" i="6"/>
  <c r="N45" i="6"/>
  <c r="AC11" i="6"/>
  <c r="AG11" i="6" s="1"/>
  <c r="AA23" i="6"/>
  <c r="Z78" i="6"/>
  <c r="O65" i="6"/>
  <c r="Z83" i="6" s="1"/>
  <c r="AD31" i="6"/>
  <c r="AH10" i="8"/>
  <c r="AO11" i="8"/>
  <c r="N50" i="8"/>
  <c r="AG16" i="8"/>
  <c r="T54" i="8"/>
  <c r="AJ25" i="8"/>
  <c r="AL29" i="8"/>
  <c r="AP29" i="8"/>
  <c r="S65" i="8"/>
  <c r="T65" i="8"/>
  <c r="AC72" i="8"/>
  <c r="O50" i="7"/>
  <c r="AD16" i="7"/>
  <c r="AD17" i="7"/>
  <c r="AF17" i="7" s="1"/>
  <c r="M52" i="7"/>
  <c r="V44" i="7" s="1"/>
  <c r="AB18" i="7"/>
  <c r="AF18" i="7" s="1"/>
  <c r="AH20" i="7"/>
  <c r="O55" i="7"/>
  <c r="Z54" i="7" s="1"/>
  <c r="AD21" i="7"/>
  <c r="AA22" i="7"/>
  <c r="AH22" i="7" s="1"/>
  <c r="AC25" i="7"/>
  <c r="AA25" i="7"/>
  <c r="AE25" i="7" s="1"/>
  <c r="M55" i="9"/>
  <c r="AB21" i="9"/>
  <c r="M61" i="10"/>
  <c r="AB27" i="10"/>
  <c r="N62" i="10"/>
  <c r="AC28" i="10"/>
  <c r="N54" i="11"/>
  <c r="Z48" i="11" s="1"/>
  <c r="AC20" i="11"/>
  <c r="O62" i="11"/>
  <c r="V83" i="11" s="1"/>
  <c r="AD28" i="11"/>
  <c r="L56" i="13"/>
  <c r="AA22" i="13"/>
  <c r="AE27" i="14"/>
  <c r="AC20" i="15"/>
  <c r="L56" i="16"/>
  <c r="AA22" i="16"/>
  <c r="AD27" i="16"/>
  <c r="AC8" i="15"/>
  <c r="AS8" i="15" s="1"/>
  <c r="O53" i="15"/>
  <c r="V55" i="15" s="1"/>
  <c r="AD19" i="15"/>
  <c r="AC15" i="16"/>
  <c r="AB16" i="16"/>
  <c r="N49" i="17"/>
  <c r="R49" i="17" s="1"/>
  <c r="AC15" i="17"/>
  <c r="AG15" i="17" s="1"/>
  <c r="AB16" i="17"/>
  <c r="AC20" i="2"/>
  <c r="N57" i="2"/>
  <c r="Z51" i="2" s="1"/>
  <c r="AC22" i="2"/>
  <c r="N59" i="2"/>
  <c r="R78" i="2" s="1"/>
  <c r="AC24" i="2"/>
  <c r="AG24" i="2" s="1"/>
  <c r="N61" i="2"/>
  <c r="V77" i="2" s="1"/>
  <c r="AC26" i="2"/>
  <c r="AC28" i="2"/>
  <c r="N65" i="2"/>
  <c r="AC30" i="2"/>
  <c r="N45" i="3"/>
  <c r="P45" i="3" s="1"/>
  <c r="AC11" i="3"/>
  <c r="AD22" i="4"/>
  <c r="AD25" i="5"/>
  <c r="AH25" i="5" s="1"/>
  <c r="L60" i="5"/>
  <c r="AA26" i="5"/>
  <c r="M65" i="5"/>
  <c r="Z73" i="5" s="1"/>
  <c r="AB31" i="5"/>
  <c r="Q57" i="6"/>
  <c r="AD29" i="6"/>
  <c r="AA30" i="6"/>
  <c r="L43" i="6"/>
  <c r="AA9" i="6"/>
  <c r="AH14" i="8"/>
  <c r="AL14" i="8" s="1"/>
  <c r="AM17" i="8"/>
  <c r="AL17" i="8"/>
  <c r="AK26" i="8"/>
  <c r="AP26" i="8" s="1"/>
  <c r="AI28" i="8"/>
  <c r="AN28" i="8" s="1"/>
  <c r="AA15" i="7"/>
  <c r="AH15" i="7" s="1"/>
  <c r="AF20" i="7"/>
  <c r="AD23" i="7"/>
  <c r="AH23" i="7" s="1"/>
  <c r="R78" i="7"/>
  <c r="P59" i="7"/>
  <c r="Q59" i="7"/>
  <c r="R68" i="7"/>
  <c r="AE28" i="7"/>
  <c r="N65" i="7"/>
  <c r="Z78" i="7" s="1"/>
  <c r="AC31" i="7"/>
  <c r="O44" i="9"/>
  <c r="P44" i="9" s="1"/>
  <c r="AD10" i="9"/>
  <c r="L55" i="9"/>
  <c r="AA21" i="9"/>
  <c r="AB30" i="9"/>
  <c r="AA22" i="10"/>
  <c r="N59" i="10"/>
  <c r="AC25" i="10"/>
  <c r="M55" i="11"/>
  <c r="AB21" i="11"/>
  <c r="L58" i="16"/>
  <c r="AA24" i="16"/>
  <c r="AC28" i="16"/>
  <c r="O64" i="17"/>
  <c r="Z82" i="17" s="1"/>
  <c r="AD30" i="17"/>
  <c r="AH11" i="7"/>
  <c r="R72" i="7"/>
  <c r="R82" i="7"/>
  <c r="AB20" i="9"/>
  <c r="M54" i="9"/>
  <c r="R77" i="9"/>
  <c r="O58" i="9"/>
  <c r="R82" i="9" s="1"/>
  <c r="AD24" i="9"/>
  <c r="AA25" i="9"/>
  <c r="AC27" i="9"/>
  <c r="O44" i="10"/>
  <c r="AD10" i="10"/>
  <c r="AC30" i="10"/>
  <c r="L54" i="11"/>
  <c r="AA20" i="11"/>
  <c r="L55" i="11"/>
  <c r="AA21" i="11"/>
  <c r="AD20" i="12"/>
  <c r="O55" i="12"/>
  <c r="Z54" i="12" s="1"/>
  <c r="AD21" i="12"/>
  <c r="AB25" i="12"/>
  <c r="AD11" i="13"/>
  <c r="O45" i="13"/>
  <c r="O55" i="13"/>
  <c r="AD21" i="13"/>
  <c r="AA26" i="13"/>
  <c r="Z82" i="13"/>
  <c r="AA23" i="14"/>
  <c r="AE23" i="14" s="1"/>
  <c r="R67" i="14"/>
  <c r="AC21" i="15"/>
  <c r="AG29" i="15"/>
  <c r="L65" i="15"/>
  <c r="AA31" i="15"/>
  <c r="M55" i="16"/>
  <c r="AB21" i="16"/>
  <c r="AA23" i="16"/>
  <c r="AG23" i="16" s="1"/>
  <c r="AH24" i="16"/>
  <c r="AD10" i="17"/>
  <c r="AA11" i="17"/>
  <c r="AA23" i="17"/>
  <c r="AB28" i="17"/>
  <c r="M62" i="17"/>
  <c r="V73" i="17" s="1"/>
  <c r="L41" i="1"/>
  <c r="D45" i="8"/>
  <c r="N45" i="8" s="1"/>
  <c r="G45" i="8"/>
  <c r="Q45" i="8" s="1"/>
  <c r="E45" i="8"/>
  <c r="O45" i="8" s="1"/>
  <c r="F45" i="8"/>
  <c r="D55" i="8"/>
  <c r="F55" i="8"/>
  <c r="G55" i="8"/>
  <c r="H55" i="8"/>
  <c r="R55" i="8" s="1"/>
  <c r="AC54" i="8" s="1"/>
  <c r="E55" i="8"/>
  <c r="O55" i="8" s="1"/>
  <c r="AC44" i="8" s="1"/>
  <c r="N55" i="8"/>
  <c r="V85" i="8"/>
  <c r="AC82" i="8"/>
  <c r="BE8" i="8"/>
  <c r="Z49" i="7"/>
  <c r="Q55" i="7"/>
  <c r="Z39" i="7"/>
  <c r="Z45" i="7"/>
  <c r="Z55" i="7"/>
  <c r="AB30" i="7"/>
  <c r="P65" i="7"/>
  <c r="AC11" i="9"/>
  <c r="AH11" i="9"/>
  <c r="M56" i="9"/>
  <c r="AB22" i="9"/>
  <c r="L57" i="9"/>
  <c r="AA23" i="9"/>
  <c r="AB26" i="9"/>
  <c r="V82" i="9"/>
  <c r="AC31" i="9"/>
  <c r="M54" i="10"/>
  <c r="AB20" i="10"/>
  <c r="AC22" i="10"/>
  <c r="O57" i="10"/>
  <c r="R81" i="10" s="1"/>
  <c r="AD23" i="10"/>
  <c r="Z78" i="10"/>
  <c r="L57" i="11"/>
  <c r="AA23" i="11"/>
  <c r="AA10" i="12"/>
  <c r="O45" i="12"/>
  <c r="AD11" i="12"/>
  <c r="AD23" i="12"/>
  <c r="AA25" i="12"/>
  <c r="AE25" i="12" s="1"/>
  <c r="L61" i="12"/>
  <c r="AA27" i="12"/>
  <c r="AA28" i="12"/>
  <c r="AA31" i="12"/>
  <c r="AD25" i="13"/>
  <c r="O59" i="13"/>
  <c r="M62" i="13"/>
  <c r="V73" i="13" s="1"/>
  <c r="AB28" i="13"/>
  <c r="N63" i="13"/>
  <c r="Z76" i="13" s="1"/>
  <c r="AC29" i="13"/>
  <c r="L59" i="14"/>
  <c r="AA25" i="14"/>
  <c r="M61" i="15"/>
  <c r="AB27" i="15"/>
  <c r="AD23" i="16"/>
  <c r="R82" i="16"/>
  <c r="AC26" i="16"/>
  <c r="M64" i="16"/>
  <c r="AB30" i="16"/>
  <c r="Z40" i="17"/>
  <c r="N34" i="1"/>
  <c r="V32" i="1"/>
  <c r="W32" i="1" s="1"/>
  <c r="T39" i="8"/>
  <c r="S39" i="8"/>
  <c r="T41" i="8"/>
  <c r="S41" i="8"/>
  <c r="T43" i="8"/>
  <c r="S43" i="8"/>
  <c r="S44" i="8"/>
  <c r="AC38" i="8"/>
  <c r="S54" i="8"/>
  <c r="AC81" i="8"/>
  <c r="AN8" i="8"/>
  <c r="V50" i="7"/>
  <c r="L53" i="7"/>
  <c r="AH25" i="7"/>
  <c r="O63" i="7"/>
  <c r="AD29" i="7"/>
  <c r="Q44" i="9"/>
  <c r="N55" i="9"/>
  <c r="AC21" i="9"/>
  <c r="Z54" i="9"/>
  <c r="L54" i="10"/>
  <c r="AA20" i="10"/>
  <c r="M55" i="10"/>
  <c r="AB21" i="10"/>
  <c r="AE21" i="10" s="1"/>
  <c r="O58" i="10"/>
  <c r="R82" i="10" s="1"/>
  <c r="AD24" i="10"/>
  <c r="Q59" i="10"/>
  <c r="Q61" i="10"/>
  <c r="V67" i="10"/>
  <c r="M63" i="10"/>
  <c r="AB29" i="10"/>
  <c r="AG29" i="10" s="1"/>
  <c r="L58" i="11"/>
  <c r="AA24" i="11"/>
  <c r="O60" i="11"/>
  <c r="V81" i="11" s="1"/>
  <c r="AD26" i="11"/>
  <c r="AB30" i="11"/>
  <c r="AF30" i="11" s="1"/>
  <c r="AD10" i="12"/>
  <c r="L60" i="12"/>
  <c r="AA26" i="12"/>
  <c r="AD28" i="12"/>
  <c r="M54" i="13"/>
  <c r="AB20" i="13"/>
  <c r="N55" i="13"/>
  <c r="AC21" i="13"/>
  <c r="N65" i="14"/>
  <c r="AC31" i="14"/>
  <c r="AA22" i="15"/>
  <c r="AG22" i="15" s="1"/>
  <c r="O45" i="16"/>
  <c r="AD11" i="16"/>
  <c r="O54" i="16"/>
  <c r="AD20" i="16"/>
  <c r="M60" i="17"/>
  <c r="V71" i="17" s="1"/>
  <c r="AB26" i="17"/>
  <c r="E54" i="3"/>
  <c r="M54" i="3" s="1"/>
  <c r="F54" i="3"/>
  <c r="N54" i="3" s="1"/>
  <c r="G54" i="3"/>
  <c r="O54" i="3" s="1"/>
  <c r="Z53" i="3" s="1"/>
  <c r="F62" i="3"/>
  <c r="N62" i="3" s="1"/>
  <c r="V78" i="3" s="1"/>
  <c r="G62" i="3"/>
  <c r="O62" i="3" s="1"/>
  <c r="V83" i="3" s="1"/>
  <c r="D62" i="3"/>
  <c r="L62" i="3" s="1"/>
  <c r="E62" i="3"/>
  <c r="M62" i="3" s="1"/>
  <c r="V73" i="3" s="1"/>
  <c r="AC29" i="3"/>
  <c r="AC31" i="3"/>
  <c r="Y43" i="8"/>
  <c r="Y40" i="8"/>
  <c r="Q55" i="8"/>
  <c r="AC49" i="8" s="1"/>
  <c r="AC80" i="8"/>
  <c r="AD80" i="8" s="1"/>
  <c r="AE80" i="8" s="1"/>
  <c r="AC92" i="8"/>
  <c r="AO6" i="8"/>
  <c r="AM8" i="8"/>
  <c r="BD8" i="8"/>
  <c r="AL9" i="8"/>
  <c r="R73" i="7"/>
  <c r="R83" i="7"/>
  <c r="V76" i="7"/>
  <c r="P60" i="7"/>
  <c r="Q60" i="7"/>
  <c r="V66" i="7"/>
  <c r="M58" i="9"/>
  <c r="R72" i="9" s="1"/>
  <c r="AB24" i="9"/>
  <c r="AC25" i="9"/>
  <c r="AG25" i="9" s="1"/>
  <c r="AA26" i="9"/>
  <c r="V72" i="9"/>
  <c r="AD28" i="9"/>
  <c r="AB31" i="9"/>
  <c r="AH31" i="9" s="1"/>
  <c r="N44" i="10"/>
  <c r="AC10" i="10"/>
  <c r="AE29" i="10"/>
  <c r="AB30" i="10"/>
  <c r="M65" i="10"/>
  <c r="AB31" i="10"/>
  <c r="O44" i="11"/>
  <c r="AD10" i="11"/>
  <c r="O45" i="11"/>
  <c r="AD11" i="11"/>
  <c r="AG30" i="11"/>
  <c r="L65" i="11"/>
  <c r="AA31" i="11"/>
  <c r="N45" i="12"/>
  <c r="AC11" i="12"/>
  <c r="AC20" i="12"/>
  <c r="M56" i="12"/>
  <c r="Z45" i="12" s="1"/>
  <c r="AB22" i="12"/>
  <c r="AD26" i="12"/>
  <c r="O60" i="12"/>
  <c r="V81" i="12" s="1"/>
  <c r="V82" i="12"/>
  <c r="AD30" i="12"/>
  <c r="O64" i="12"/>
  <c r="Z82" i="12" s="1"/>
  <c r="N59" i="13"/>
  <c r="R78" i="13" s="1"/>
  <c r="AC25" i="13"/>
  <c r="L62" i="13"/>
  <c r="AA28" i="13"/>
  <c r="M63" i="13"/>
  <c r="AB29" i="13"/>
  <c r="O59" i="14"/>
  <c r="AD25" i="14"/>
  <c r="L62" i="14"/>
  <c r="AA28" i="14"/>
  <c r="N60" i="15"/>
  <c r="AC26" i="15"/>
  <c r="AA30" i="15"/>
  <c r="AC10" i="16"/>
  <c r="M56" i="16"/>
  <c r="AB22" i="16"/>
  <c r="AH22" i="16" s="1"/>
  <c r="AC24" i="16"/>
  <c r="AB26" i="16"/>
  <c r="L64" i="16"/>
  <c r="AA30" i="16"/>
  <c r="M55" i="17"/>
  <c r="Z44" i="17" s="1"/>
  <c r="AB21" i="17"/>
  <c r="AC27" i="17"/>
  <c r="N61" i="17"/>
  <c r="L65" i="17"/>
  <c r="AA31" i="17"/>
  <c r="D33" i="1"/>
  <c r="G33" i="1"/>
  <c r="F33" i="1"/>
  <c r="N33" i="1" s="1"/>
  <c r="E33" i="1"/>
  <c r="M33" i="1" s="1"/>
  <c r="AC4" i="1"/>
  <c r="P31" i="1"/>
  <c r="Q31" i="1"/>
  <c r="L37" i="1"/>
  <c r="G39" i="3"/>
  <c r="O39" i="3" s="1"/>
  <c r="V53" i="3" s="1"/>
  <c r="D39" i="3"/>
  <c r="L39" i="3" s="1"/>
  <c r="F39" i="3"/>
  <c r="N39" i="3" s="1"/>
  <c r="AH15" i="8"/>
  <c r="AM15" i="8" s="1"/>
  <c r="U45" i="8"/>
  <c r="AJ19" i="8"/>
  <c r="AK19" i="8"/>
  <c r="AP19" i="8" s="1"/>
  <c r="AC48" i="8"/>
  <c r="AD48" i="8" s="1"/>
  <c r="AE48" i="8" s="1"/>
  <c r="AD53" i="8"/>
  <c r="AH23" i="8"/>
  <c r="Y70" i="8"/>
  <c r="AK27" i="8"/>
  <c r="AN27" i="8" s="1"/>
  <c r="AC91" i="8"/>
  <c r="AH31" i="8"/>
  <c r="AL31" i="8" s="1"/>
  <c r="AI4" i="8"/>
  <c r="AL4" i="8" s="1"/>
  <c r="AI5" i="8"/>
  <c r="AP5" i="8" s="1"/>
  <c r="AH7" i="8"/>
  <c r="AB29" i="7"/>
  <c r="AD31" i="7"/>
  <c r="AH31" i="7" s="1"/>
  <c r="N57" i="9"/>
  <c r="R76" i="9" s="1"/>
  <c r="AC23" i="9"/>
  <c r="AG23" i="9" s="1"/>
  <c r="N62" i="9"/>
  <c r="V78" i="9" s="1"/>
  <c r="AC28" i="9"/>
  <c r="AD11" i="10"/>
  <c r="AD20" i="10"/>
  <c r="N58" i="10"/>
  <c r="AC24" i="10"/>
  <c r="O59" i="10"/>
  <c r="R83" i="10" s="1"/>
  <c r="AD25" i="10"/>
  <c r="AH25" i="10" s="1"/>
  <c r="Q63" i="10"/>
  <c r="Z66" i="10"/>
  <c r="P63" i="10"/>
  <c r="N60" i="11"/>
  <c r="V76" i="11" s="1"/>
  <c r="AC26" i="11"/>
  <c r="N61" i="11"/>
  <c r="V77" i="11" s="1"/>
  <c r="AC27" i="11"/>
  <c r="M62" i="11"/>
  <c r="AB28" i="11"/>
  <c r="AB11" i="12"/>
  <c r="M55" i="12"/>
  <c r="Z44" i="12" s="1"/>
  <c r="AB21" i="12"/>
  <c r="AA22" i="12"/>
  <c r="L54" i="13"/>
  <c r="AA20" i="13"/>
  <c r="M55" i="13"/>
  <c r="AB21" i="13"/>
  <c r="AC26" i="13"/>
  <c r="AA21" i="14"/>
  <c r="AC25" i="14"/>
  <c r="AD28" i="14"/>
  <c r="AF31" i="14"/>
  <c r="N44" i="15"/>
  <c r="AC10" i="15"/>
  <c r="AA28" i="15"/>
  <c r="AB10" i="16"/>
  <c r="AF24" i="16"/>
  <c r="AB25" i="16"/>
  <c r="AA29" i="16"/>
  <c r="O63" i="17"/>
  <c r="AD29" i="17"/>
  <c r="P45" i="8"/>
  <c r="P55" i="8"/>
  <c r="AC59" i="8" s="1"/>
  <c r="AC77" i="8"/>
  <c r="Z71" i="7"/>
  <c r="O54" i="9"/>
  <c r="Z53" i="9" s="1"/>
  <c r="AD20" i="9"/>
  <c r="AH20" i="9" s="1"/>
  <c r="AA29" i="9"/>
  <c r="Z53" i="10"/>
  <c r="AA53" i="10" s="1"/>
  <c r="L55" i="10"/>
  <c r="O61" i="10"/>
  <c r="AD27" i="10"/>
  <c r="AH27" i="10" s="1"/>
  <c r="L65" i="10"/>
  <c r="AA31" i="10"/>
  <c r="AG31" i="10" s="1"/>
  <c r="N55" i="11"/>
  <c r="Z49" i="11" s="1"/>
  <c r="AC21" i="11"/>
  <c r="Z40" i="12"/>
  <c r="N61" i="12"/>
  <c r="V77" i="12" s="1"/>
  <c r="AC27" i="12"/>
  <c r="N44" i="13"/>
  <c r="AC10" i="13"/>
  <c r="M65" i="13"/>
  <c r="AB31" i="13"/>
  <c r="O54" i="14"/>
  <c r="Z53" i="14" s="1"/>
  <c r="AD20" i="14"/>
  <c r="Z39" i="14"/>
  <c r="N58" i="14"/>
  <c r="R77" i="14" s="1"/>
  <c r="AC24" i="14"/>
  <c r="R78" i="14"/>
  <c r="AD29" i="14"/>
  <c r="M44" i="15"/>
  <c r="AB10" i="15"/>
  <c r="AD21" i="15"/>
  <c r="AH21" i="15" s="1"/>
  <c r="AB25" i="15"/>
  <c r="AA10" i="16"/>
  <c r="L55" i="17"/>
  <c r="AA21" i="17"/>
  <c r="AC23" i="17"/>
  <c r="AA25" i="17"/>
  <c r="O28" i="1"/>
  <c r="V42" i="1" s="1"/>
  <c r="D43" i="4"/>
  <c r="L43" i="4" s="1"/>
  <c r="F43" i="4"/>
  <c r="N43" i="4" s="1"/>
  <c r="Z77" i="4" s="1"/>
  <c r="G43" i="4"/>
  <c r="O43" i="4" s="1"/>
  <c r="D62" i="4"/>
  <c r="L62" i="4" s="1"/>
  <c r="G62" i="4"/>
  <c r="O62" i="4" s="1"/>
  <c r="V83" i="4" s="1"/>
  <c r="E62" i="4"/>
  <c r="M62" i="4" s="1"/>
  <c r="V73" i="4" s="1"/>
  <c r="F62" i="4"/>
  <c r="N62" i="4" s="1"/>
  <c r="V78" i="4" s="1"/>
  <c r="D56" i="4"/>
  <c r="L56" i="4" s="1"/>
  <c r="G56" i="4"/>
  <c r="O56" i="4" s="1"/>
  <c r="Z55" i="4" s="1"/>
  <c r="E56" i="4"/>
  <c r="M56" i="4" s="1"/>
  <c r="Z45" i="4" s="1"/>
  <c r="F56" i="4"/>
  <c r="N56" i="4" s="1"/>
  <c r="Z50" i="4" s="1"/>
  <c r="AA23" i="10"/>
  <c r="AB26" i="10"/>
  <c r="AF26" i="10" s="1"/>
  <c r="AD28" i="10"/>
  <c r="AH28" i="10" s="1"/>
  <c r="AB11" i="11"/>
  <c r="AC23" i="11"/>
  <c r="AG23" i="11" s="1"/>
  <c r="AD24" i="11"/>
  <c r="AB27" i="11"/>
  <c r="AF31" i="11"/>
  <c r="N55" i="12"/>
  <c r="AC21" i="12"/>
  <c r="O44" i="13"/>
  <c r="AD10" i="13"/>
  <c r="AB25" i="13"/>
  <c r="M59" i="13"/>
  <c r="AD26" i="13"/>
  <c r="AD21" i="14"/>
  <c r="AA24" i="14"/>
  <c r="L63" i="14"/>
  <c r="AA29" i="14"/>
  <c r="Z50" i="15"/>
  <c r="AD25" i="15"/>
  <c r="L60" i="15"/>
  <c r="AA26" i="15"/>
  <c r="AF26" i="15" s="1"/>
  <c r="M45" i="16"/>
  <c r="AB11" i="16"/>
  <c r="AF11" i="16" s="1"/>
  <c r="AA26" i="16"/>
  <c r="M44" i="17"/>
  <c r="AB10" i="17"/>
  <c r="AA28" i="17"/>
  <c r="G34" i="1"/>
  <c r="O34" i="1" s="1"/>
  <c r="D34" i="1"/>
  <c r="L34" i="1" s="1"/>
  <c r="F34" i="1"/>
  <c r="E34" i="1"/>
  <c r="M34" i="1" s="1"/>
  <c r="O37" i="1"/>
  <c r="AA27" i="9"/>
  <c r="AC29" i="9"/>
  <c r="AD30" i="9"/>
  <c r="AE30" i="9" s="1"/>
  <c r="Q57" i="10"/>
  <c r="L44" i="11"/>
  <c r="AA10" i="11"/>
  <c r="AA25" i="11"/>
  <c r="V72" i="11"/>
  <c r="AB20" i="12"/>
  <c r="M57" i="12"/>
  <c r="AB23" i="12"/>
  <c r="O65" i="12"/>
  <c r="Z83" i="12" s="1"/>
  <c r="AD31" i="12"/>
  <c r="AB11" i="13"/>
  <c r="M45" i="13"/>
  <c r="AC22" i="13"/>
  <c r="AH22" i="13" s="1"/>
  <c r="AA23" i="13"/>
  <c r="AF24" i="13"/>
  <c r="M61" i="13"/>
  <c r="V72" i="13" s="1"/>
  <c r="AB27" i="13"/>
  <c r="AC30" i="13"/>
  <c r="N64" i="13"/>
  <c r="Z77" i="13" s="1"/>
  <c r="L65" i="13"/>
  <c r="AA31" i="13"/>
  <c r="L44" i="14"/>
  <c r="AA10" i="14"/>
  <c r="M54" i="14"/>
  <c r="AB20" i="14"/>
  <c r="AA22" i="14"/>
  <c r="AF22" i="14" s="1"/>
  <c r="N62" i="14"/>
  <c r="AC28" i="14"/>
  <c r="AB22" i="15"/>
  <c r="N58" i="15"/>
  <c r="R77" i="15" s="1"/>
  <c r="AC24" i="15"/>
  <c r="O60" i="15"/>
  <c r="AD26" i="15"/>
  <c r="AH26" i="15" s="1"/>
  <c r="AF29" i="15"/>
  <c r="N64" i="15"/>
  <c r="AC30" i="15"/>
  <c r="AD25" i="16"/>
  <c r="N63" i="16"/>
  <c r="AC29" i="16"/>
  <c r="O64" i="16"/>
  <c r="Z82" i="16" s="1"/>
  <c r="AD30" i="16"/>
  <c r="AC11" i="17"/>
  <c r="M54" i="17"/>
  <c r="AB20" i="17"/>
  <c r="O56" i="17"/>
  <c r="Z55" i="17" s="1"/>
  <c r="AD22" i="17"/>
  <c r="N58" i="17"/>
  <c r="R77" i="17" s="1"/>
  <c r="AC24" i="17"/>
  <c r="N59" i="17"/>
  <c r="R78" i="17" s="1"/>
  <c r="AC25" i="17"/>
  <c r="L60" i="17"/>
  <c r="AA26" i="17"/>
  <c r="Q62" i="17"/>
  <c r="D27" i="1"/>
  <c r="L27" i="1" s="1"/>
  <c r="F27" i="1"/>
  <c r="N27" i="1" s="1"/>
  <c r="R39" i="1" s="1"/>
  <c r="E27" i="1"/>
  <c r="M27" i="1" s="1"/>
  <c r="G27" i="1"/>
  <c r="O27" i="1" s="1"/>
  <c r="D37" i="1"/>
  <c r="E37" i="1"/>
  <c r="M37" i="1" s="1"/>
  <c r="F37" i="1"/>
  <c r="N37" i="1" s="1"/>
  <c r="G37" i="1"/>
  <c r="V43" i="1"/>
  <c r="F45" i="4"/>
  <c r="N45" i="4" s="1"/>
  <c r="D45" i="4"/>
  <c r="L45" i="4" s="1"/>
  <c r="E45" i="4"/>
  <c r="M45" i="4" s="1"/>
  <c r="F50" i="4"/>
  <c r="N50" i="4" s="1"/>
  <c r="R50" i="4" s="1"/>
  <c r="D50" i="4"/>
  <c r="L50" i="4" s="1"/>
  <c r="G50" i="4"/>
  <c r="O50" i="4" s="1"/>
  <c r="R55" i="4" s="1"/>
  <c r="E50" i="4"/>
  <c r="M50" i="4" s="1"/>
  <c r="R45" i="4" s="1"/>
  <c r="D63" i="4"/>
  <c r="L63" i="4" s="1"/>
  <c r="F63" i="4"/>
  <c r="N63" i="4" s="1"/>
  <c r="G63" i="4"/>
  <c r="O63" i="4" s="1"/>
  <c r="E63" i="4"/>
  <c r="M63" i="4" s="1"/>
  <c r="Z71" i="4" s="1"/>
  <c r="AA71" i="4" s="1"/>
  <c r="AB71" i="4" s="1"/>
  <c r="AC23" i="10"/>
  <c r="AB20" i="11"/>
  <c r="M56" i="11"/>
  <c r="AB22" i="11"/>
  <c r="AA27" i="11"/>
  <c r="AA11" i="12"/>
  <c r="AE11" i="12" s="1"/>
  <c r="L45" i="12"/>
  <c r="O56" i="12"/>
  <c r="AD22" i="12"/>
  <c r="AB27" i="12"/>
  <c r="AF27" i="12" s="1"/>
  <c r="AA30" i="12"/>
  <c r="O54" i="13"/>
  <c r="AD20" i="13"/>
  <c r="O62" i="13"/>
  <c r="V83" i="13" s="1"/>
  <c r="AD28" i="13"/>
  <c r="AB30" i="13"/>
  <c r="AC10" i="14"/>
  <c r="AA20" i="14"/>
  <c r="AE20" i="14" s="1"/>
  <c r="Z49" i="14"/>
  <c r="M59" i="14"/>
  <c r="R73" i="14" s="1"/>
  <c r="AB25" i="14"/>
  <c r="AB28" i="14"/>
  <c r="AB24" i="15"/>
  <c r="O61" i="15"/>
  <c r="AD27" i="15"/>
  <c r="AB30" i="15"/>
  <c r="L45" i="16"/>
  <c r="AA11" i="16"/>
  <c r="Q55" i="16"/>
  <c r="Z39" i="16"/>
  <c r="L61" i="16"/>
  <c r="AA27" i="16"/>
  <c r="AA10" i="17"/>
  <c r="AE10" i="17" s="1"/>
  <c r="AD11" i="17"/>
  <c r="Q29" i="1"/>
  <c r="P29" i="1"/>
  <c r="M42" i="1"/>
  <c r="V34" i="1" s="1"/>
  <c r="N38" i="1"/>
  <c r="L45" i="11"/>
  <c r="AA11" i="11"/>
  <c r="AE11" i="11" s="1"/>
  <c r="Z43" i="11"/>
  <c r="M63" i="11"/>
  <c r="Z71" i="11" s="1"/>
  <c r="AB29" i="11"/>
  <c r="AA20" i="12"/>
  <c r="N56" i="12"/>
  <c r="Q56" i="12" s="1"/>
  <c r="AC22" i="12"/>
  <c r="L57" i="12"/>
  <c r="AA23" i="12"/>
  <c r="V72" i="12"/>
  <c r="AC28" i="12"/>
  <c r="O63" i="12"/>
  <c r="Z81" i="12" s="1"/>
  <c r="AA81" i="12" s="1"/>
  <c r="AD29" i="12"/>
  <c r="Q64" i="12"/>
  <c r="Z67" i="12"/>
  <c r="AB10" i="13"/>
  <c r="N54" i="13"/>
  <c r="AC20" i="13"/>
  <c r="L55" i="13"/>
  <c r="AA21" i="13"/>
  <c r="AC23" i="13"/>
  <c r="O57" i="13"/>
  <c r="AD23" i="13"/>
  <c r="AB26" i="13"/>
  <c r="AE27" i="13"/>
  <c r="AC28" i="13"/>
  <c r="N62" i="13"/>
  <c r="V78" i="13" s="1"/>
  <c r="L63" i="13"/>
  <c r="AA29" i="13"/>
  <c r="N65" i="13"/>
  <c r="Z78" i="13" s="1"/>
  <c r="AC31" i="13"/>
  <c r="O65" i="13"/>
  <c r="Z83" i="13" s="1"/>
  <c r="AD31" i="13"/>
  <c r="AH31" i="13" s="1"/>
  <c r="AF11" i="14"/>
  <c r="Z38" i="14"/>
  <c r="AB21" i="14"/>
  <c r="AF23" i="14"/>
  <c r="O58" i="14"/>
  <c r="P58" i="14" s="1"/>
  <c r="AD24" i="14"/>
  <c r="O60" i="14"/>
  <c r="AD26" i="14"/>
  <c r="AC29" i="14"/>
  <c r="AG29" i="14" s="1"/>
  <c r="AA30" i="14"/>
  <c r="AC25" i="16"/>
  <c r="AG25" i="16" s="1"/>
  <c r="M63" i="16"/>
  <c r="AB29" i="16"/>
  <c r="Q44" i="17"/>
  <c r="N55" i="17"/>
  <c r="Z49" i="17" s="1"/>
  <c r="AC21" i="17"/>
  <c r="M58" i="17"/>
  <c r="AB24" i="17"/>
  <c r="AF25" i="17"/>
  <c r="O60" i="17"/>
  <c r="V81" i="17" s="1"/>
  <c r="AD26" i="17"/>
  <c r="AA27" i="17"/>
  <c r="L63" i="17"/>
  <c r="AA29" i="17"/>
  <c r="M64" i="17"/>
  <c r="Z72" i="17" s="1"/>
  <c r="AB30" i="17"/>
  <c r="O33" i="1"/>
  <c r="L42" i="1"/>
  <c r="F41" i="5"/>
  <c r="N41" i="5" s="1"/>
  <c r="R78" i="5" s="1"/>
  <c r="D41" i="5"/>
  <c r="L41" i="5" s="1"/>
  <c r="G41" i="5"/>
  <c r="O41" i="5" s="1"/>
  <c r="E41" i="5"/>
  <c r="M41" i="5" s="1"/>
  <c r="D50" i="5"/>
  <c r="L50" i="5" s="1"/>
  <c r="G50" i="5"/>
  <c r="O50" i="5" s="1"/>
  <c r="R55" i="5" s="1"/>
  <c r="E50" i="5"/>
  <c r="M50" i="5" s="1"/>
  <c r="R45" i="5" s="1"/>
  <c r="F50" i="5"/>
  <c r="N50" i="5" s="1"/>
  <c r="F58" i="5"/>
  <c r="N58" i="5" s="1"/>
  <c r="G58" i="5"/>
  <c r="O58" i="5" s="1"/>
  <c r="D58" i="5"/>
  <c r="L58" i="5" s="1"/>
  <c r="E58" i="5"/>
  <c r="M58" i="5" s="1"/>
  <c r="D52" i="8"/>
  <c r="N52" i="8" s="1"/>
  <c r="G52" i="8"/>
  <c r="Q52" i="8" s="1"/>
  <c r="Y49" i="8" s="1"/>
  <c r="H52" i="8"/>
  <c r="R52" i="8" s="1"/>
  <c r="Y54" i="8" s="1"/>
  <c r="Z53" i="8" s="1"/>
  <c r="AA53" i="8" s="1"/>
  <c r="E52" i="8"/>
  <c r="O52" i="8" s="1"/>
  <c r="Y44" i="8" s="1"/>
  <c r="T38" i="8"/>
  <c r="AO5" i="1"/>
  <c r="N44" i="11"/>
  <c r="AC10" i="11"/>
  <c r="O55" i="11"/>
  <c r="AD21" i="11"/>
  <c r="AH21" i="11" s="1"/>
  <c r="AF23" i="11"/>
  <c r="O61" i="11"/>
  <c r="V82" i="11" s="1"/>
  <c r="AD27" i="11"/>
  <c r="AH27" i="11" s="1"/>
  <c r="AB24" i="12"/>
  <c r="N63" i="12"/>
  <c r="Z76" i="12" s="1"/>
  <c r="AC29" i="12"/>
  <c r="Q45" i="13"/>
  <c r="P61" i="13"/>
  <c r="V67" i="13"/>
  <c r="Q61" i="13"/>
  <c r="V88" i="13" s="1"/>
  <c r="AC22" i="14"/>
  <c r="AG22" i="14" s="1"/>
  <c r="N60" i="14"/>
  <c r="AC26" i="14"/>
  <c r="AE29" i="15"/>
  <c r="M65" i="15"/>
  <c r="AB31" i="15"/>
  <c r="L62" i="16"/>
  <c r="AA28" i="16"/>
  <c r="AE28" i="16" s="1"/>
  <c r="AC30" i="16"/>
  <c r="AG30" i="16" s="1"/>
  <c r="AG10" i="17"/>
  <c r="Z38" i="17"/>
  <c r="M56" i="17"/>
  <c r="AB22" i="17"/>
  <c r="L58" i="17"/>
  <c r="AA24" i="17"/>
  <c r="AE24" i="17" s="1"/>
  <c r="R73" i="17"/>
  <c r="N60" i="17"/>
  <c r="AC26" i="17"/>
  <c r="M65" i="17"/>
  <c r="AB31" i="17"/>
  <c r="V37" i="1"/>
  <c r="O39" i="1"/>
  <c r="R44" i="1" s="1"/>
  <c r="P30" i="1"/>
  <c r="Q30" i="1"/>
  <c r="D53" i="3"/>
  <c r="L53" i="3" s="1"/>
  <c r="E53" i="3"/>
  <c r="M53" i="3" s="1"/>
  <c r="V45" i="3" s="1"/>
  <c r="F53" i="3"/>
  <c r="N53" i="3" s="1"/>
  <c r="V50" i="3" s="1"/>
  <c r="G53" i="3"/>
  <c r="O53" i="3" s="1"/>
  <c r="V55" i="3" s="1"/>
  <c r="G61" i="3"/>
  <c r="O61" i="3" s="1"/>
  <c r="V82" i="3" s="1"/>
  <c r="E61" i="3"/>
  <c r="M61" i="3" s="1"/>
  <c r="V72" i="3" s="1"/>
  <c r="F61" i="3"/>
  <c r="N61" i="3" s="1"/>
  <c r="V77" i="3" s="1"/>
  <c r="F40" i="6"/>
  <c r="N40" i="6" s="1"/>
  <c r="G40" i="6"/>
  <c r="O40" i="6" s="1"/>
  <c r="D40" i="6"/>
  <c r="L40" i="6" s="1"/>
  <c r="E40" i="6"/>
  <c r="M40" i="6" s="1"/>
  <c r="E60" i="6"/>
  <c r="M60" i="6" s="1"/>
  <c r="V71" i="6" s="1"/>
  <c r="W71" i="6" s="1"/>
  <c r="X71" i="6" s="1"/>
  <c r="G60" i="6"/>
  <c r="O60" i="6" s="1"/>
  <c r="V81" i="6" s="1"/>
  <c r="W81" i="6" s="1"/>
  <c r="X81" i="6" s="1"/>
  <c r="F60" i="6"/>
  <c r="N60" i="6" s="1"/>
  <c r="V76" i="6" s="1"/>
  <c r="R81" i="11"/>
  <c r="S81" i="11" s="1"/>
  <c r="AB10" i="12"/>
  <c r="AF10" i="12" s="1"/>
  <c r="L55" i="12"/>
  <c r="AA21" i="12"/>
  <c r="N57" i="12"/>
  <c r="R76" i="12" s="1"/>
  <c r="AC23" i="12"/>
  <c r="AD24" i="12"/>
  <c r="AB26" i="12"/>
  <c r="M60" i="12"/>
  <c r="V71" i="12" s="1"/>
  <c r="L63" i="12"/>
  <c r="AA29" i="12"/>
  <c r="AE29" i="12" s="1"/>
  <c r="N65" i="12"/>
  <c r="Z78" i="12" s="1"/>
  <c r="AC31" i="12"/>
  <c r="V77" i="13"/>
  <c r="V66" i="14"/>
  <c r="R67" i="15"/>
  <c r="Q58" i="15"/>
  <c r="N59" i="15"/>
  <c r="R78" i="15" s="1"/>
  <c r="AC25" i="15"/>
  <c r="Q61" i="15"/>
  <c r="P61" i="15"/>
  <c r="AC22" i="16"/>
  <c r="M61" i="16"/>
  <c r="AB27" i="16"/>
  <c r="AD31" i="16"/>
  <c r="AB29" i="17"/>
  <c r="AF29" i="17" s="1"/>
  <c r="E39" i="1"/>
  <c r="M39" i="1" s="1"/>
  <c r="D39" i="1"/>
  <c r="L39" i="1" s="1"/>
  <c r="L33" i="1"/>
  <c r="E40" i="3"/>
  <c r="M40" i="3" s="1"/>
  <c r="Z45" i="3" s="1"/>
  <c r="D40" i="3"/>
  <c r="L40" i="3" s="1"/>
  <c r="G55" i="3"/>
  <c r="O55" i="3" s="1"/>
  <c r="Z54" i="3" s="1"/>
  <c r="D55" i="3"/>
  <c r="L55" i="3" s="1"/>
  <c r="E55" i="3"/>
  <c r="M55" i="3" s="1"/>
  <c r="G63" i="3"/>
  <c r="O63" i="3" s="1"/>
  <c r="D63" i="3"/>
  <c r="L63" i="3" s="1"/>
  <c r="E63" i="3"/>
  <c r="M63" i="3" s="1"/>
  <c r="Z71" i="3" s="1"/>
  <c r="E44" i="6"/>
  <c r="M44" i="6" s="1"/>
  <c r="F44" i="6"/>
  <c r="N44" i="6" s="1"/>
  <c r="G44" i="6"/>
  <c r="O44" i="6" s="1"/>
  <c r="F63" i="6"/>
  <c r="N63" i="6" s="1"/>
  <c r="Z76" i="6" s="1"/>
  <c r="G63" i="6"/>
  <c r="O63" i="6" s="1"/>
  <c r="Z81" i="6" s="1"/>
  <c r="E63" i="6"/>
  <c r="M63" i="6" s="1"/>
  <c r="Z71" i="6" s="1"/>
  <c r="D40" i="9"/>
  <c r="L40" i="9" s="1"/>
  <c r="Z38" i="9" s="1"/>
  <c r="E40" i="9"/>
  <c r="M40" i="9" s="1"/>
  <c r="F40" i="9"/>
  <c r="N40" i="9" s="1"/>
  <c r="E50" i="9"/>
  <c r="M50" i="9" s="1"/>
  <c r="D50" i="9"/>
  <c r="L50" i="9" s="1"/>
  <c r="G50" i="9"/>
  <c r="O50" i="9" s="1"/>
  <c r="R55" i="9" s="1"/>
  <c r="F50" i="9"/>
  <c r="N50" i="9" s="1"/>
  <c r="G64" i="9"/>
  <c r="O64" i="9" s="1"/>
  <c r="Z82" i="9" s="1"/>
  <c r="F64" i="9"/>
  <c r="N64" i="9" s="1"/>
  <c r="Z77" i="9" s="1"/>
  <c r="D64" i="9"/>
  <c r="L64" i="9" s="1"/>
  <c r="E64" i="9"/>
  <c r="M64" i="9" s="1"/>
  <c r="Z72" i="9" s="1"/>
  <c r="AC28" i="11"/>
  <c r="AD29" i="11"/>
  <c r="M45" i="14"/>
  <c r="AB20" i="15"/>
  <c r="L54" i="16"/>
  <c r="AA20" i="16"/>
  <c r="AB23" i="16"/>
  <c r="Z54" i="17"/>
  <c r="AD27" i="17"/>
  <c r="O62" i="17"/>
  <c r="AD28" i="17"/>
  <c r="AH28" i="17" s="1"/>
  <c r="AA30" i="17"/>
  <c r="AD31" i="17"/>
  <c r="N29" i="1"/>
  <c r="D41" i="2"/>
  <c r="D51" i="2"/>
  <c r="L51" i="2" s="1"/>
  <c r="E59" i="2"/>
  <c r="M59" i="2" s="1"/>
  <c r="D41" i="3"/>
  <c r="L41" i="3" s="1"/>
  <c r="F41" i="3"/>
  <c r="N41" i="3" s="1"/>
  <c r="E45" i="5"/>
  <c r="M45" i="5" s="1"/>
  <c r="G45" i="5"/>
  <c r="O45" i="5" s="1"/>
  <c r="D45" i="5"/>
  <c r="L45" i="5" s="1"/>
  <c r="D56" i="5"/>
  <c r="L56" i="5" s="1"/>
  <c r="G56" i="5"/>
  <c r="O56" i="5" s="1"/>
  <c r="Z55" i="5" s="1"/>
  <c r="F63" i="5"/>
  <c r="N63" i="5" s="1"/>
  <c r="Z76" i="5" s="1"/>
  <c r="AA76" i="5" s="1"/>
  <c r="AB76" i="5" s="1"/>
  <c r="D63" i="5"/>
  <c r="L63" i="5" s="1"/>
  <c r="G63" i="5"/>
  <c r="O63" i="5" s="1"/>
  <c r="Z81" i="5" s="1"/>
  <c r="D44" i="6"/>
  <c r="L44" i="6" s="1"/>
  <c r="D62" i="8"/>
  <c r="N62" i="8" s="1"/>
  <c r="G62" i="8"/>
  <c r="Q62" i="8" s="1"/>
  <c r="F62" i="8"/>
  <c r="P62" i="8" s="1"/>
  <c r="Y92" i="8" s="1"/>
  <c r="H62" i="8"/>
  <c r="R62" i="8" s="1"/>
  <c r="Y87" i="8" s="1"/>
  <c r="V78" i="11"/>
  <c r="AD24" i="15"/>
  <c r="AE24" i="15" s="1"/>
  <c r="AC27" i="15"/>
  <c r="AG27" i="15" s="1"/>
  <c r="AB28" i="15"/>
  <c r="O55" i="16"/>
  <c r="AD21" i="16"/>
  <c r="AH21" i="16" s="1"/>
  <c r="AB31" i="16"/>
  <c r="V82" i="17"/>
  <c r="P64" i="17"/>
  <c r="N65" i="17"/>
  <c r="Z78" i="17" s="1"/>
  <c r="AC31" i="17"/>
  <c r="AG31" i="17" s="1"/>
  <c r="Z83" i="17"/>
  <c r="N42" i="1"/>
  <c r="V39" i="1" s="1"/>
  <c r="O42" i="1"/>
  <c r="V44" i="1" s="1"/>
  <c r="G50" i="2"/>
  <c r="O50" i="2" s="1"/>
  <c r="R55" i="2" s="1"/>
  <c r="S54" i="2" s="1"/>
  <c r="T54" i="2" s="1"/>
  <c r="F50" i="2"/>
  <c r="D50" i="2"/>
  <c r="L50" i="2" s="1"/>
  <c r="G58" i="2"/>
  <c r="F58" i="2"/>
  <c r="N58" i="2" s="1"/>
  <c r="R77" i="2" s="1"/>
  <c r="S77" i="2" s="1"/>
  <c r="D58" i="2"/>
  <c r="L58" i="2" s="1"/>
  <c r="G66" i="2"/>
  <c r="O66" i="2" s="1"/>
  <c r="Z84" i="2" s="1"/>
  <c r="F66" i="2"/>
  <c r="N66" i="2" s="1"/>
  <c r="Z79" i="2" s="1"/>
  <c r="D66" i="2"/>
  <c r="E41" i="2"/>
  <c r="E51" i="2"/>
  <c r="G40" i="3"/>
  <c r="O40" i="3" s="1"/>
  <c r="Z55" i="3" s="1"/>
  <c r="F40" i="3"/>
  <c r="N40" i="3" s="1"/>
  <c r="D63" i="6"/>
  <c r="L63" i="6" s="1"/>
  <c r="L57" i="15"/>
  <c r="AA23" i="15"/>
  <c r="AF23" i="15" s="1"/>
  <c r="AC20" i="16"/>
  <c r="AG20" i="16" s="1"/>
  <c r="O63" i="16"/>
  <c r="Z81" i="16" s="1"/>
  <c r="AA81" i="16" s="1"/>
  <c r="AD29" i="16"/>
  <c r="AB27" i="17"/>
  <c r="F42" i="2"/>
  <c r="E42" i="2"/>
  <c r="M42" i="2" s="1"/>
  <c r="R72" i="2" s="1"/>
  <c r="G42" i="2"/>
  <c r="O42" i="2" s="1"/>
  <c r="D42" i="2"/>
  <c r="L42" i="2" s="1"/>
  <c r="G59" i="2"/>
  <c r="O59" i="2" s="1"/>
  <c r="R83" i="2" s="1"/>
  <c r="D59" i="2"/>
  <c r="L59" i="2" s="1"/>
  <c r="G51" i="2"/>
  <c r="O51" i="2" s="1"/>
  <c r="R56" i="2" s="1"/>
  <c r="Z77" i="17"/>
  <c r="G28" i="1"/>
  <c r="F28" i="1"/>
  <c r="N28" i="1" s="1"/>
  <c r="V38" i="1" s="1"/>
  <c r="E28" i="1"/>
  <c r="M28" i="1" s="1"/>
  <c r="V33" i="1" s="1"/>
  <c r="D28" i="1"/>
  <c r="L28" i="1" s="1"/>
  <c r="G38" i="1"/>
  <c r="O38" i="1" s="1"/>
  <c r="R43" i="1" s="1"/>
  <c r="F38" i="1"/>
  <c r="E38" i="1"/>
  <c r="M38" i="1" s="1"/>
  <c r="G62" i="5"/>
  <c r="O62" i="5" s="1"/>
  <c r="F57" i="8"/>
  <c r="P57" i="8" s="1"/>
  <c r="U90" i="8" s="1"/>
  <c r="V90" i="8" s="1"/>
  <c r="W90" i="8" s="1"/>
  <c r="D43" i="7"/>
  <c r="L43" i="7" s="1"/>
  <c r="F43" i="7"/>
  <c r="N43" i="7" s="1"/>
  <c r="Z76" i="7" s="1"/>
  <c r="G43" i="7"/>
  <c r="O43" i="7" s="1"/>
  <c r="Z83" i="7" s="1"/>
  <c r="G53" i="7"/>
  <c r="O53" i="7" s="1"/>
  <c r="V55" i="7" s="1"/>
  <c r="D53" i="7"/>
  <c r="E53" i="7"/>
  <c r="M53" i="7" s="1"/>
  <c r="V45" i="7" s="1"/>
  <c r="F61" i="7"/>
  <c r="N61" i="7" s="1"/>
  <c r="V77" i="7" s="1"/>
  <c r="E61" i="7"/>
  <c r="M61" i="7" s="1"/>
  <c r="V72" i="7" s="1"/>
  <c r="D61" i="7"/>
  <c r="L61" i="7" s="1"/>
  <c r="G61" i="7"/>
  <c r="O61" i="7" s="1"/>
  <c r="V82" i="7" s="1"/>
  <c r="AU4" i="4"/>
  <c r="D40" i="5"/>
  <c r="L40" i="5" s="1"/>
  <c r="E40" i="5"/>
  <c r="M40" i="5" s="1"/>
  <c r="Z45" i="5" s="1"/>
  <c r="E55" i="5"/>
  <c r="M55" i="5" s="1"/>
  <c r="Z44" i="5" s="1"/>
  <c r="D55" i="5"/>
  <c r="L55" i="5" s="1"/>
  <c r="G55" i="5"/>
  <c r="O55" i="5" s="1"/>
  <c r="Z54" i="5" s="1"/>
  <c r="F55" i="5"/>
  <c r="N55" i="5" s="1"/>
  <c r="D62" i="5"/>
  <c r="L62" i="5" s="1"/>
  <c r="E62" i="5"/>
  <c r="M62" i="5" s="1"/>
  <c r="V73" i="5" s="1"/>
  <c r="D57" i="8"/>
  <c r="N57" i="8" s="1"/>
  <c r="G57" i="8"/>
  <c r="Q57" i="8" s="1"/>
  <c r="U80" i="8" s="1"/>
  <c r="V80" i="8" s="1"/>
  <c r="W80" i="8" s="1"/>
  <c r="E48" i="10"/>
  <c r="M48" i="10" s="1"/>
  <c r="R43" i="10" s="1"/>
  <c r="S43" i="10" s="1"/>
  <c r="T43" i="10" s="1"/>
  <c r="F48" i="10"/>
  <c r="N48" i="10" s="1"/>
  <c r="R48" i="10" s="1"/>
  <c r="G48" i="10"/>
  <c r="O48" i="10" s="1"/>
  <c r="R53" i="10" s="1"/>
  <c r="S53" i="10" s="1"/>
  <c r="T53" i="10" s="1"/>
  <c r="D48" i="10"/>
  <c r="L48" i="10" s="1"/>
  <c r="L32" i="1"/>
  <c r="F46" i="2"/>
  <c r="N46" i="2" s="1"/>
  <c r="E46" i="2"/>
  <c r="F55" i="2"/>
  <c r="N55" i="2" s="1"/>
  <c r="Z49" i="2" s="1"/>
  <c r="E55" i="2"/>
  <c r="M55" i="2" s="1"/>
  <c r="Z44" i="2" s="1"/>
  <c r="AA44" i="2" s="1"/>
  <c r="D55" i="2"/>
  <c r="F63" i="2"/>
  <c r="N63" i="2" s="1"/>
  <c r="V79" i="2" s="1"/>
  <c r="E63" i="2"/>
  <c r="M63" i="2" s="1"/>
  <c r="V74" i="2" s="1"/>
  <c r="D63" i="2"/>
  <c r="F52" i="3"/>
  <c r="N52" i="3" s="1"/>
  <c r="V49" i="3" s="1"/>
  <c r="G52" i="3"/>
  <c r="O52" i="3" s="1"/>
  <c r="V54" i="3" s="1"/>
  <c r="E44" i="4"/>
  <c r="M44" i="4" s="1"/>
  <c r="D44" i="4"/>
  <c r="L44" i="4" s="1"/>
  <c r="E59" i="4"/>
  <c r="M59" i="4" s="1"/>
  <c r="R73" i="4" s="1"/>
  <c r="G59" i="4"/>
  <c r="O59" i="4" s="1"/>
  <c r="R83" i="4" s="1"/>
  <c r="F40" i="5"/>
  <c r="N40" i="5" s="1"/>
  <c r="E64" i="8"/>
  <c r="O64" i="8" s="1"/>
  <c r="AC76" i="8" s="1"/>
  <c r="H64" i="8"/>
  <c r="R64" i="8" s="1"/>
  <c r="AC86" i="8" s="1"/>
  <c r="D64" i="8"/>
  <c r="N64" i="8" s="1"/>
  <c r="G48" i="8"/>
  <c r="Q48" i="8" s="1"/>
  <c r="U48" i="8" s="1"/>
  <c r="V48" i="8" s="1"/>
  <c r="W48" i="8" s="1"/>
  <c r="D48" i="8"/>
  <c r="N48" i="8" s="1"/>
  <c r="E48" i="8"/>
  <c r="O48" i="8" s="1"/>
  <c r="U43" i="8" s="1"/>
  <c r="V43" i="8" s="1"/>
  <c r="W43" i="8" s="1"/>
  <c r="F48" i="8"/>
  <c r="P48" i="8" s="1"/>
  <c r="U58" i="8" s="1"/>
  <c r="E39" i="9"/>
  <c r="M39" i="9" s="1"/>
  <c r="G39" i="9"/>
  <c r="O39" i="9" s="1"/>
  <c r="D39" i="9"/>
  <c r="L39" i="9" s="1"/>
  <c r="F39" i="9"/>
  <c r="N39" i="9" s="1"/>
  <c r="F49" i="9"/>
  <c r="N49" i="9" s="1"/>
  <c r="E49" i="9"/>
  <c r="M49" i="9" s="1"/>
  <c r="G63" i="9"/>
  <c r="O63" i="9" s="1"/>
  <c r="Z81" i="9" s="1"/>
  <c r="AA81" i="9" s="1"/>
  <c r="D63" i="9"/>
  <c r="L63" i="9" s="1"/>
  <c r="F63" i="9"/>
  <c r="N63" i="9" s="1"/>
  <c r="Z76" i="9" s="1"/>
  <c r="E63" i="9"/>
  <c r="M63" i="9" s="1"/>
  <c r="Z71" i="9" s="1"/>
  <c r="E65" i="9"/>
  <c r="M65" i="9" s="1"/>
  <c r="Z73" i="9" s="1"/>
  <c r="G65" i="9"/>
  <c r="O65" i="9" s="1"/>
  <c r="Z83" i="9" s="1"/>
  <c r="F65" i="9"/>
  <c r="N65" i="9" s="1"/>
  <c r="Z78" i="9" s="1"/>
  <c r="D65" i="9"/>
  <c r="L65" i="9" s="1"/>
  <c r="E44" i="12"/>
  <c r="M44" i="12" s="1"/>
  <c r="G44" i="12"/>
  <c r="O44" i="12" s="1"/>
  <c r="D44" i="12"/>
  <c r="L44" i="12" s="1"/>
  <c r="F44" i="12"/>
  <c r="N44" i="12" s="1"/>
  <c r="E54" i="12"/>
  <c r="M54" i="12" s="1"/>
  <c r="Z43" i="12" s="1"/>
  <c r="AA43" i="12" s="1"/>
  <c r="AB43" i="12" s="1"/>
  <c r="D54" i="12"/>
  <c r="L54" i="12" s="1"/>
  <c r="G54" i="12"/>
  <c r="O54" i="12" s="1"/>
  <c r="Z53" i="12" s="1"/>
  <c r="F54" i="12"/>
  <c r="N54" i="12" s="1"/>
  <c r="E62" i="12"/>
  <c r="M62" i="12" s="1"/>
  <c r="V73" i="12" s="1"/>
  <c r="G62" i="12"/>
  <c r="O62" i="12" s="1"/>
  <c r="V83" i="12" s="1"/>
  <c r="D62" i="12"/>
  <c r="L62" i="12" s="1"/>
  <c r="F62" i="12"/>
  <c r="N62" i="12" s="1"/>
  <c r="V78" i="12" s="1"/>
  <c r="G45" i="14"/>
  <c r="O45" i="14" s="1"/>
  <c r="F45" i="14"/>
  <c r="N45" i="14" s="1"/>
  <c r="D45" i="14"/>
  <c r="L45" i="14" s="1"/>
  <c r="D56" i="14"/>
  <c r="L56" i="14" s="1"/>
  <c r="G56" i="14"/>
  <c r="O56" i="14" s="1"/>
  <c r="Z55" i="14" s="1"/>
  <c r="F56" i="14"/>
  <c r="N56" i="14" s="1"/>
  <c r="Z50" i="14" s="1"/>
  <c r="E56" i="14"/>
  <c r="M56" i="14" s="1"/>
  <c r="Z45" i="14" s="1"/>
  <c r="G64" i="14"/>
  <c r="O64" i="14" s="1"/>
  <c r="Z82" i="14" s="1"/>
  <c r="E64" i="14"/>
  <c r="M64" i="14" s="1"/>
  <c r="Z72" i="14" s="1"/>
  <c r="D64" i="14"/>
  <c r="L64" i="14" s="1"/>
  <c r="F64" i="14"/>
  <c r="N64" i="14" s="1"/>
  <c r="Z77" i="14" s="1"/>
  <c r="D51" i="8"/>
  <c r="N51" i="8" s="1"/>
  <c r="F51" i="8"/>
  <c r="P51" i="8" s="1"/>
  <c r="Y58" i="8" s="1"/>
  <c r="Z58" i="8" s="1"/>
  <c r="AA58" i="8" s="1"/>
  <c r="F48" i="14"/>
  <c r="N48" i="14" s="1"/>
  <c r="R48" i="14" s="1"/>
  <c r="G48" i="14"/>
  <c r="O48" i="14" s="1"/>
  <c r="R53" i="14" s="1"/>
  <c r="S53" i="14" s="1"/>
  <c r="T53" i="14" s="1"/>
  <c r="D48" i="14"/>
  <c r="L48" i="14" s="1"/>
  <c r="E48" i="14"/>
  <c r="M48" i="14" s="1"/>
  <c r="R43" i="14" s="1"/>
  <c r="S43" i="14" s="1"/>
  <c r="T43" i="14" s="1"/>
  <c r="D57" i="14"/>
  <c r="L57" i="14" s="1"/>
  <c r="F57" i="14"/>
  <c r="N57" i="14" s="1"/>
  <c r="R76" i="14" s="1"/>
  <c r="G57" i="14"/>
  <c r="O57" i="14" s="1"/>
  <c r="R81" i="14" s="1"/>
  <c r="E57" i="14"/>
  <c r="M57" i="14" s="1"/>
  <c r="R71" i="14" s="1"/>
  <c r="S71" i="14" s="1"/>
  <c r="T71" i="14" s="1"/>
  <c r="E65" i="14"/>
  <c r="M65" i="14" s="1"/>
  <c r="Z73" i="14" s="1"/>
  <c r="G65" i="14"/>
  <c r="O65" i="14" s="1"/>
  <c r="Z83" i="14" s="1"/>
  <c r="F42" i="15"/>
  <c r="N42" i="15" s="1"/>
  <c r="V77" i="15" s="1"/>
  <c r="G42" i="15"/>
  <c r="O42" i="15" s="1"/>
  <c r="D42" i="15"/>
  <c r="L42" i="15" s="1"/>
  <c r="V67" i="15" s="1"/>
  <c r="E42" i="15"/>
  <c r="M42" i="15" s="1"/>
  <c r="V71" i="15" s="1"/>
  <c r="E54" i="15"/>
  <c r="M54" i="15" s="1"/>
  <c r="Z43" i="15" s="1"/>
  <c r="G54" i="15"/>
  <c r="O54" i="15" s="1"/>
  <c r="Z53" i="15" s="1"/>
  <c r="F54" i="15"/>
  <c r="N54" i="15" s="1"/>
  <c r="Z48" i="15" s="1"/>
  <c r="AA48" i="15" s="1"/>
  <c r="AB48" i="15" s="1"/>
  <c r="D54" i="15"/>
  <c r="L54" i="15" s="1"/>
  <c r="F62" i="15"/>
  <c r="N62" i="15" s="1"/>
  <c r="E62" i="15"/>
  <c r="M62" i="15" s="1"/>
  <c r="D62" i="15"/>
  <c r="L62" i="15" s="1"/>
  <c r="G62" i="15"/>
  <c r="O62" i="15" s="1"/>
  <c r="V83" i="15" s="1"/>
  <c r="F45" i="10"/>
  <c r="N45" i="10" s="1"/>
  <c r="D45" i="10"/>
  <c r="L45" i="10" s="1"/>
  <c r="E45" i="10"/>
  <c r="M45" i="10" s="1"/>
  <c r="F56" i="10"/>
  <c r="N56" i="10" s="1"/>
  <c r="Z50" i="10" s="1"/>
  <c r="E56" i="10"/>
  <c r="M56" i="10" s="1"/>
  <c r="G56" i="10"/>
  <c r="O56" i="10" s="1"/>
  <c r="Z55" i="10" s="1"/>
  <c r="D56" i="10"/>
  <c r="L56" i="10" s="1"/>
  <c r="G43" i="15"/>
  <c r="O43" i="15" s="1"/>
  <c r="E43" i="15"/>
  <c r="M43" i="15" s="1"/>
  <c r="Z72" i="15" s="1"/>
  <c r="D43" i="15"/>
  <c r="L43" i="15" s="1"/>
  <c r="F43" i="15"/>
  <c r="N43" i="15" s="1"/>
  <c r="F55" i="15"/>
  <c r="N55" i="15" s="1"/>
  <c r="Z49" i="15" s="1"/>
  <c r="E55" i="15"/>
  <c r="M55" i="15" s="1"/>
  <c r="G55" i="15"/>
  <c r="O55" i="15" s="1"/>
  <c r="Z54" i="15" s="1"/>
  <c r="D55" i="15"/>
  <c r="L55" i="15" s="1"/>
  <c r="D63" i="15"/>
  <c r="L63" i="15" s="1"/>
  <c r="E63" i="15"/>
  <c r="M63" i="15" s="1"/>
  <c r="G63" i="15"/>
  <c r="O63" i="15" s="1"/>
  <c r="F63" i="15"/>
  <c r="N63" i="15" s="1"/>
  <c r="Z76" i="15" s="1"/>
  <c r="G39" i="16"/>
  <c r="O39" i="16" s="1"/>
  <c r="D39" i="16"/>
  <c r="L39" i="16" s="1"/>
  <c r="E39" i="16"/>
  <c r="M39" i="16" s="1"/>
  <c r="F39" i="16"/>
  <c r="N39" i="16" s="1"/>
  <c r="G49" i="16"/>
  <c r="O49" i="16" s="1"/>
  <c r="R54" i="16" s="1"/>
  <c r="D49" i="16"/>
  <c r="L49" i="16" s="1"/>
  <c r="E49" i="16"/>
  <c r="M49" i="16" s="1"/>
  <c r="F49" i="16"/>
  <c r="N49" i="16" s="1"/>
  <c r="R49" i="16" s="1"/>
  <c r="G57" i="16"/>
  <c r="O57" i="16" s="1"/>
  <c r="R81" i="16" s="1"/>
  <c r="S81" i="16" s="1"/>
  <c r="E57" i="16"/>
  <c r="M57" i="16" s="1"/>
  <c r="F57" i="16"/>
  <c r="N57" i="16" s="1"/>
  <c r="R76" i="16" s="1"/>
  <c r="D57" i="16"/>
  <c r="L57" i="16" s="1"/>
  <c r="G65" i="16"/>
  <c r="O65" i="16" s="1"/>
  <c r="Z83" i="16" s="1"/>
  <c r="D65" i="16"/>
  <c r="L65" i="16" s="1"/>
  <c r="G52" i="2"/>
  <c r="O52" i="2" s="1"/>
  <c r="V54" i="2" s="1"/>
  <c r="W54" i="2" s="1"/>
  <c r="X54" i="2" s="1"/>
  <c r="F52" i="2"/>
  <c r="N52" i="2" s="1"/>
  <c r="V49" i="2" s="1"/>
  <c r="W49" i="2" s="1"/>
  <c r="X49" i="2" s="1"/>
  <c r="G60" i="2"/>
  <c r="O60" i="2" s="1"/>
  <c r="R84" i="2" s="1"/>
  <c r="F60" i="2"/>
  <c r="N60" i="2" s="1"/>
  <c r="R79" i="2" s="1"/>
  <c r="D52" i="2"/>
  <c r="L52" i="2" s="1"/>
  <c r="D60" i="2"/>
  <c r="L60" i="2" s="1"/>
  <c r="G64" i="3"/>
  <c r="O64" i="3" s="1"/>
  <c r="D64" i="3"/>
  <c r="L64" i="3" s="1"/>
  <c r="E42" i="5"/>
  <c r="M42" i="5" s="1"/>
  <c r="G42" i="5"/>
  <c r="O42" i="5" s="1"/>
  <c r="V81" i="5" s="1"/>
  <c r="D64" i="6"/>
  <c r="L64" i="6" s="1"/>
  <c r="G64" i="6"/>
  <c r="O64" i="6" s="1"/>
  <c r="Z82" i="6" s="1"/>
  <c r="F64" i="6"/>
  <c r="N64" i="6" s="1"/>
  <c r="D63" i="8"/>
  <c r="N63" i="8" s="1"/>
  <c r="F63" i="8"/>
  <c r="P63" i="8" s="1"/>
  <c r="AC90" i="8" s="1"/>
  <c r="E56" i="8"/>
  <c r="O56" i="8" s="1"/>
  <c r="AC45" i="8" s="1"/>
  <c r="H56" i="8"/>
  <c r="R56" i="8" s="1"/>
  <c r="AC55" i="8" s="1"/>
  <c r="D56" i="8"/>
  <c r="N56" i="8" s="1"/>
  <c r="D44" i="7"/>
  <c r="L44" i="7" s="1"/>
  <c r="F44" i="7"/>
  <c r="N44" i="7" s="1"/>
  <c r="E44" i="7"/>
  <c r="M44" i="7" s="1"/>
  <c r="D54" i="7"/>
  <c r="L54" i="7" s="1"/>
  <c r="G54" i="7"/>
  <c r="O54" i="7" s="1"/>
  <c r="Z53" i="7" s="1"/>
  <c r="AA53" i="7" s="1"/>
  <c r="AB53" i="7" s="1"/>
  <c r="E54" i="7"/>
  <c r="M54" i="7" s="1"/>
  <c r="Z43" i="7" s="1"/>
  <c r="AA43" i="7" s="1"/>
  <c r="AB43" i="7" s="1"/>
  <c r="F54" i="7"/>
  <c r="N54" i="7" s="1"/>
  <c r="Z48" i="7" s="1"/>
  <c r="AA48" i="7" s="1"/>
  <c r="D62" i="7"/>
  <c r="L62" i="7" s="1"/>
  <c r="G62" i="7"/>
  <c r="O62" i="7" s="1"/>
  <c r="V83" i="7" s="1"/>
  <c r="E62" i="7"/>
  <c r="M62" i="7" s="1"/>
  <c r="V73" i="7" s="1"/>
  <c r="F62" i="7"/>
  <c r="N62" i="7" s="1"/>
  <c r="V78" i="7" s="1"/>
  <c r="G45" i="10"/>
  <c r="O45" i="10" s="1"/>
  <c r="F56" i="11"/>
  <c r="N56" i="11" s="1"/>
  <c r="Z50" i="11" s="1"/>
  <c r="D56" i="11"/>
  <c r="L56" i="11" s="1"/>
  <c r="F64" i="11"/>
  <c r="N64" i="11" s="1"/>
  <c r="G64" i="11"/>
  <c r="O64" i="11" s="1"/>
  <c r="D64" i="11"/>
  <c r="L64" i="11" s="1"/>
  <c r="E64" i="11"/>
  <c r="M64" i="11" s="1"/>
  <c r="Z72" i="11" s="1"/>
  <c r="F65" i="16"/>
  <c r="N65" i="16" s="1"/>
  <c r="Z78" i="16" s="1"/>
  <c r="F44" i="2"/>
  <c r="N44" i="2" s="1"/>
  <c r="E44" i="2"/>
  <c r="M44" i="2" s="1"/>
  <c r="D45" i="2"/>
  <c r="E52" i="2"/>
  <c r="M52" i="2" s="1"/>
  <c r="E60" i="2"/>
  <c r="M60" i="2" s="1"/>
  <c r="R74" i="2" s="1"/>
  <c r="F56" i="3"/>
  <c r="N56" i="3" s="1"/>
  <c r="F64" i="3"/>
  <c r="N64" i="3" s="1"/>
  <c r="Z77" i="3" s="1"/>
  <c r="F43" i="3"/>
  <c r="N43" i="3" s="1"/>
  <c r="Z76" i="3" s="1"/>
  <c r="G43" i="3"/>
  <c r="O43" i="3" s="1"/>
  <c r="Z83" i="3" s="1"/>
  <c r="D57" i="3"/>
  <c r="L57" i="3" s="1"/>
  <c r="G57" i="3"/>
  <c r="O57" i="3" s="1"/>
  <c r="R81" i="3" s="1"/>
  <c r="S81" i="3" s="1"/>
  <c r="D65" i="3"/>
  <c r="L65" i="3" s="1"/>
  <c r="E65" i="3"/>
  <c r="M65" i="3" s="1"/>
  <c r="Z73" i="3" s="1"/>
  <c r="F42" i="5"/>
  <c r="N42" i="5" s="1"/>
  <c r="V77" i="5" s="1"/>
  <c r="E58" i="6"/>
  <c r="M58" i="6" s="1"/>
  <c r="D59" i="8"/>
  <c r="N59" i="8" s="1"/>
  <c r="H59" i="8"/>
  <c r="R59" i="8" s="1"/>
  <c r="U87" i="8" s="1"/>
  <c r="E59" i="8"/>
  <c r="O59" i="8" s="1"/>
  <c r="U77" i="8" s="1"/>
  <c r="W75" i="8" s="1"/>
  <c r="G45" i="9"/>
  <c r="O45" i="9" s="1"/>
  <c r="F45" i="9"/>
  <c r="N45" i="9" s="1"/>
  <c r="F60" i="9"/>
  <c r="N60" i="9" s="1"/>
  <c r="V76" i="9" s="1"/>
  <c r="W76" i="9" s="1"/>
  <c r="X76" i="9" s="1"/>
  <c r="D60" i="9"/>
  <c r="L60" i="9" s="1"/>
  <c r="G60" i="9"/>
  <c r="O60" i="9" s="1"/>
  <c r="V81" i="9" s="1"/>
  <c r="E60" i="9"/>
  <c r="M60" i="9" s="1"/>
  <c r="V71" i="9" s="1"/>
  <c r="F59" i="9"/>
  <c r="N59" i="9" s="1"/>
  <c r="R78" i="9" s="1"/>
  <c r="E59" i="9"/>
  <c r="M59" i="9" s="1"/>
  <c r="R73" i="9" s="1"/>
  <c r="G59" i="9"/>
  <c r="O59" i="9" s="1"/>
  <c r="R83" i="9" s="1"/>
  <c r="D59" i="9"/>
  <c r="L59" i="9" s="1"/>
  <c r="D41" i="16"/>
  <c r="L41" i="16" s="1"/>
  <c r="E41" i="16"/>
  <c r="M41" i="16" s="1"/>
  <c r="E51" i="16"/>
  <c r="M51" i="16" s="1"/>
  <c r="G51" i="16"/>
  <c r="O51" i="16" s="1"/>
  <c r="V53" i="16" s="1"/>
  <c r="W53" i="16" s="1"/>
  <c r="F59" i="16"/>
  <c r="N59" i="16" s="1"/>
  <c r="R78" i="16" s="1"/>
  <c r="G59" i="16"/>
  <c r="O59" i="16" s="1"/>
  <c r="R83" i="16" s="1"/>
  <c r="E59" i="16"/>
  <c r="M59" i="16" s="1"/>
  <c r="D59" i="16"/>
  <c r="L59" i="16" s="1"/>
  <c r="E65" i="16"/>
  <c r="M65" i="16" s="1"/>
  <c r="Z73" i="16" s="1"/>
  <c r="D51" i="16"/>
  <c r="L51" i="16" s="1"/>
  <c r="G54" i="2"/>
  <c r="O54" i="2" s="1"/>
  <c r="V56" i="2" s="1"/>
  <c r="F54" i="2"/>
  <c r="N54" i="2" s="1"/>
  <c r="V51" i="2" s="1"/>
  <c r="G62" i="2"/>
  <c r="O62" i="2" s="1"/>
  <c r="F62" i="2"/>
  <c r="N62" i="2" s="1"/>
  <c r="V78" i="2" s="1"/>
  <c r="E64" i="3"/>
  <c r="M64" i="3" s="1"/>
  <c r="Z72" i="3" s="1"/>
  <c r="F53" i="4"/>
  <c r="N53" i="4" s="1"/>
  <c r="D41" i="4"/>
  <c r="L41" i="4" s="1"/>
  <c r="F39" i="4"/>
  <c r="N39" i="4" s="1"/>
  <c r="G39" i="4"/>
  <c r="O39" i="4" s="1"/>
  <c r="G59" i="5"/>
  <c r="O59" i="5" s="1"/>
  <c r="E54" i="5"/>
  <c r="M54" i="5" s="1"/>
  <c r="G54" i="5"/>
  <c r="O54" i="5" s="1"/>
  <c r="D41" i="6"/>
  <c r="L41" i="6" s="1"/>
  <c r="E41" i="6"/>
  <c r="M41" i="6" s="1"/>
  <c r="G51" i="8"/>
  <c r="Q51" i="8" s="1"/>
  <c r="Y48" i="8" s="1"/>
  <c r="D61" i="8"/>
  <c r="N61" i="8" s="1"/>
  <c r="G61" i="8"/>
  <c r="Q61" i="8" s="1"/>
  <c r="F61" i="8"/>
  <c r="P61" i="8" s="1"/>
  <c r="Y91" i="8" s="1"/>
  <c r="Z90" i="8" s="1"/>
  <c r="D49" i="8"/>
  <c r="N49" i="8" s="1"/>
  <c r="F49" i="8"/>
  <c r="P49" i="8" s="1"/>
  <c r="U59" i="8" s="1"/>
  <c r="G44" i="7"/>
  <c r="O44" i="7" s="1"/>
  <c r="D38" i="7"/>
  <c r="L38" i="7" s="1"/>
  <c r="F38" i="7"/>
  <c r="N38" i="7" s="1"/>
  <c r="G38" i="7"/>
  <c r="O38" i="7" s="1"/>
  <c r="R54" i="7" s="1"/>
  <c r="E38" i="7"/>
  <c r="M38" i="7" s="1"/>
  <c r="R44" i="7" s="1"/>
  <c r="G48" i="7"/>
  <c r="O48" i="7" s="1"/>
  <c r="D48" i="7"/>
  <c r="L48" i="7" s="1"/>
  <c r="F56" i="7"/>
  <c r="N56" i="7" s="1"/>
  <c r="Z50" i="7" s="1"/>
  <c r="D56" i="7"/>
  <c r="L56" i="7" s="1"/>
  <c r="F64" i="7"/>
  <c r="N64" i="7" s="1"/>
  <c r="Z77" i="7" s="1"/>
  <c r="D64" i="7"/>
  <c r="L64" i="7" s="1"/>
  <c r="G64" i="7"/>
  <c r="O64" i="7" s="1"/>
  <c r="Z82" i="7" s="1"/>
  <c r="E64" i="7"/>
  <c r="M64" i="7" s="1"/>
  <c r="Z72" i="7" s="1"/>
  <c r="F38" i="9"/>
  <c r="N38" i="9" s="1"/>
  <c r="D38" i="9"/>
  <c r="L38" i="9" s="1"/>
  <c r="R39" i="9" s="1"/>
  <c r="E38" i="9"/>
  <c r="M38" i="9" s="1"/>
  <c r="G48" i="9"/>
  <c r="O48" i="9" s="1"/>
  <c r="R53" i="9" s="1"/>
  <c r="S53" i="9" s="1"/>
  <c r="D48" i="9"/>
  <c r="L48" i="9" s="1"/>
  <c r="E48" i="9"/>
  <c r="M48" i="9" s="1"/>
  <c r="G62" i="9"/>
  <c r="O62" i="9" s="1"/>
  <c r="V83" i="9" s="1"/>
  <c r="D62" i="9"/>
  <c r="L62" i="9" s="1"/>
  <c r="E62" i="9"/>
  <c r="M62" i="9" s="1"/>
  <c r="V73" i="9" s="1"/>
  <c r="D61" i="9"/>
  <c r="L61" i="9" s="1"/>
  <c r="F61" i="9"/>
  <c r="N61" i="9" s="1"/>
  <c r="V77" i="9" s="1"/>
  <c r="G48" i="11"/>
  <c r="O48" i="11" s="1"/>
  <c r="E48" i="11"/>
  <c r="M48" i="11" s="1"/>
  <c r="R43" i="11" s="1"/>
  <c r="F40" i="13"/>
  <c r="N40" i="13" s="1"/>
  <c r="D40" i="13"/>
  <c r="L40" i="13" s="1"/>
  <c r="G40" i="13"/>
  <c r="O40" i="13" s="1"/>
  <c r="Z55" i="13" s="1"/>
  <c r="E40" i="13"/>
  <c r="M40" i="13" s="1"/>
  <c r="D50" i="13"/>
  <c r="L50" i="13" s="1"/>
  <c r="G50" i="13"/>
  <c r="O50" i="13" s="1"/>
  <c r="R55" i="13" s="1"/>
  <c r="E50" i="13"/>
  <c r="M50" i="13" s="1"/>
  <c r="R45" i="13" s="1"/>
  <c r="F50" i="13"/>
  <c r="N50" i="13" s="1"/>
  <c r="R50" i="13" s="1"/>
  <c r="G53" i="13"/>
  <c r="O53" i="13" s="1"/>
  <c r="V55" i="13" s="1"/>
  <c r="D53" i="13"/>
  <c r="L53" i="13" s="1"/>
  <c r="E53" i="13"/>
  <c r="M53" i="13" s="1"/>
  <c r="V45" i="13" s="1"/>
  <c r="F53" i="13"/>
  <c r="N53" i="13" s="1"/>
  <c r="V50" i="13" s="1"/>
  <c r="F51" i="10"/>
  <c r="N51" i="10" s="1"/>
  <c r="V48" i="10" s="1"/>
  <c r="E51" i="10"/>
  <c r="M51" i="10" s="1"/>
  <c r="V43" i="10" s="1"/>
  <c r="W43" i="10" s="1"/>
  <c r="G51" i="10"/>
  <c r="O51" i="10" s="1"/>
  <c r="F38" i="11"/>
  <c r="N38" i="11" s="1"/>
  <c r="D38" i="11"/>
  <c r="L38" i="11" s="1"/>
  <c r="E49" i="11"/>
  <c r="M49" i="11" s="1"/>
  <c r="R44" i="11" s="1"/>
  <c r="D49" i="11"/>
  <c r="L49" i="11" s="1"/>
  <c r="E65" i="11"/>
  <c r="M65" i="11" s="1"/>
  <c r="Z73" i="11" s="1"/>
  <c r="F65" i="11"/>
  <c r="N65" i="11" s="1"/>
  <c r="D39" i="12"/>
  <c r="L39" i="12" s="1"/>
  <c r="G39" i="12"/>
  <c r="O39" i="12" s="1"/>
  <c r="E50" i="12"/>
  <c r="M50" i="12" s="1"/>
  <c r="R45" i="12" s="1"/>
  <c r="G50" i="12"/>
  <c r="O50" i="12" s="1"/>
  <c r="R55" i="12" s="1"/>
  <c r="D50" i="12"/>
  <c r="L50" i="12" s="1"/>
  <c r="E58" i="12"/>
  <c r="M58" i="12" s="1"/>
  <c r="R72" i="12" s="1"/>
  <c r="G58" i="12"/>
  <c r="O58" i="12" s="1"/>
  <c r="R82" i="12" s="1"/>
  <c r="D58" i="12"/>
  <c r="L58" i="12" s="1"/>
  <c r="F58" i="12"/>
  <c r="N58" i="12" s="1"/>
  <c r="R77" i="12" s="1"/>
  <c r="D45" i="17"/>
  <c r="L45" i="17" s="1"/>
  <c r="E45" i="17"/>
  <c r="M45" i="17" s="1"/>
  <c r="F45" i="17"/>
  <c r="N45" i="17" s="1"/>
  <c r="G45" i="17"/>
  <c r="O45" i="17" s="1"/>
  <c r="F57" i="17"/>
  <c r="N57" i="17" s="1"/>
  <c r="R76" i="17" s="1"/>
  <c r="S76" i="17" s="1"/>
  <c r="T76" i="17" s="1"/>
  <c r="D57" i="17"/>
  <c r="L57" i="17" s="1"/>
  <c r="E57" i="17"/>
  <c r="M57" i="17" s="1"/>
  <c r="R71" i="17" s="1"/>
  <c r="G57" i="17"/>
  <c r="O57" i="17" s="1"/>
  <c r="R81" i="17" s="1"/>
  <c r="D41" i="1"/>
  <c r="E40" i="2"/>
  <c r="M40" i="2" s="1"/>
  <c r="F56" i="2"/>
  <c r="N56" i="2" s="1"/>
  <c r="Z50" i="2" s="1"/>
  <c r="F64" i="2"/>
  <c r="N64" i="2" s="1"/>
  <c r="Z77" i="2" s="1"/>
  <c r="H60" i="8"/>
  <c r="R60" i="8" s="1"/>
  <c r="Y85" i="8" s="1"/>
  <c r="E40" i="10"/>
  <c r="M40" i="10" s="1"/>
  <c r="E64" i="10"/>
  <c r="M64" i="10" s="1"/>
  <c r="Z72" i="10" s="1"/>
  <c r="F64" i="10"/>
  <c r="N64" i="10" s="1"/>
  <c r="Z77" i="10" s="1"/>
  <c r="E41" i="10"/>
  <c r="M41" i="10" s="1"/>
  <c r="D41" i="10"/>
  <c r="L41" i="10" s="1"/>
  <c r="R66" i="10" s="1"/>
  <c r="F52" i="10"/>
  <c r="N52" i="10" s="1"/>
  <c r="V49" i="10" s="1"/>
  <c r="G52" i="10"/>
  <c r="O52" i="10" s="1"/>
  <c r="F49" i="11"/>
  <c r="N49" i="11" s="1"/>
  <c r="R49" i="11" s="1"/>
  <c r="E57" i="11"/>
  <c r="M57" i="11" s="1"/>
  <c r="R71" i="11" s="1"/>
  <c r="D39" i="11"/>
  <c r="L39" i="11" s="1"/>
  <c r="E39" i="11"/>
  <c r="M39" i="11" s="1"/>
  <c r="F39" i="11"/>
  <c r="N39" i="11" s="1"/>
  <c r="D50" i="11"/>
  <c r="L50" i="11" s="1"/>
  <c r="G50" i="11"/>
  <c r="O50" i="11" s="1"/>
  <c r="E50" i="11"/>
  <c r="M50" i="11" s="1"/>
  <c r="R45" i="11" s="1"/>
  <c r="F58" i="11"/>
  <c r="N58" i="11" s="1"/>
  <c r="R77" i="11" s="1"/>
  <c r="E58" i="11"/>
  <c r="M58" i="11" s="1"/>
  <c r="R72" i="11" s="1"/>
  <c r="G38" i="11"/>
  <c r="O38" i="11" s="1"/>
  <c r="F51" i="12"/>
  <c r="N51" i="12" s="1"/>
  <c r="V48" i="12" s="1"/>
  <c r="G51" i="12"/>
  <c r="O51" i="12" s="1"/>
  <c r="V53" i="12" s="1"/>
  <c r="E51" i="12"/>
  <c r="M51" i="12" s="1"/>
  <c r="V43" i="12" s="1"/>
  <c r="W43" i="12" s="1"/>
  <c r="X43" i="12" s="1"/>
  <c r="D59" i="12"/>
  <c r="L59" i="12" s="1"/>
  <c r="E59" i="12"/>
  <c r="M59" i="12" s="1"/>
  <c r="R73" i="12" s="1"/>
  <c r="G59" i="12"/>
  <c r="O59" i="12" s="1"/>
  <c r="R83" i="12" s="1"/>
  <c r="F42" i="14"/>
  <c r="N42" i="14" s="1"/>
  <c r="G42" i="14"/>
  <c r="O42" i="14" s="1"/>
  <c r="V83" i="14" s="1"/>
  <c r="E42" i="14"/>
  <c r="M42" i="14" s="1"/>
  <c r="D53" i="14"/>
  <c r="L53" i="14" s="1"/>
  <c r="E53" i="14"/>
  <c r="M53" i="14" s="1"/>
  <c r="V45" i="14" s="1"/>
  <c r="F53" i="14"/>
  <c r="N53" i="14" s="1"/>
  <c r="V50" i="14" s="1"/>
  <c r="G53" i="14"/>
  <c r="O53" i="14" s="1"/>
  <c r="E61" i="14"/>
  <c r="M61" i="14" s="1"/>
  <c r="V72" i="14" s="1"/>
  <c r="D61" i="14"/>
  <c r="L61" i="14" s="1"/>
  <c r="F61" i="14"/>
  <c r="N61" i="14" s="1"/>
  <c r="V77" i="14" s="1"/>
  <c r="D44" i="13"/>
  <c r="L44" i="13" s="1"/>
  <c r="E44" i="13"/>
  <c r="M44" i="13" s="1"/>
  <c r="D57" i="13"/>
  <c r="L57" i="13" s="1"/>
  <c r="F57" i="13"/>
  <c r="N57" i="13" s="1"/>
  <c r="R76" i="13" s="1"/>
  <c r="S76" i="13" s="1"/>
  <c r="T76" i="13" s="1"/>
  <c r="D60" i="13"/>
  <c r="L60" i="13" s="1"/>
  <c r="E60" i="13"/>
  <c r="M60" i="13" s="1"/>
  <c r="V71" i="13" s="1"/>
  <c r="W71" i="13" s="1"/>
  <c r="G60" i="13"/>
  <c r="O60" i="13" s="1"/>
  <c r="V81" i="13" s="1"/>
  <c r="W81" i="13" s="1"/>
  <c r="X81" i="13" s="1"/>
  <c r="F60" i="13"/>
  <c r="N60" i="13" s="1"/>
  <c r="V76" i="13" s="1"/>
  <c r="W76" i="13" s="1"/>
  <c r="X76" i="13" s="1"/>
  <c r="D57" i="7"/>
  <c r="L57" i="7" s="1"/>
  <c r="G57" i="7"/>
  <c r="O57" i="7" s="1"/>
  <c r="R81" i="7" s="1"/>
  <c r="S81" i="7" s="1"/>
  <c r="F42" i="10"/>
  <c r="N42" i="10" s="1"/>
  <c r="V77" i="10" s="1"/>
  <c r="G42" i="10"/>
  <c r="O42" i="10" s="1"/>
  <c r="D62" i="10"/>
  <c r="L62" i="10" s="1"/>
  <c r="E62" i="10"/>
  <c r="M62" i="10" s="1"/>
  <c r="D40" i="11"/>
  <c r="L40" i="11" s="1"/>
  <c r="G40" i="11"/>
  <c r="O40" i="11" s="1"/>
  <c r="F59" i="11"/>
  <c r="N59" i="11" s="1"/>
  <c r="R78" i="11" s="1"/>
  <c r="D59" i="11"/>
  <c r="L59" i="11" s="1"/>
  <c r="E41" i="13"/>
  <c r="M41" i="13" s="1"/>
  <c r="G41" i="13"/>
  <c r="O41" i="13" s="1"/>
  <c r="R82" i="13" s="1"/>
  <c r="D41" i="13"/>
  <c r="L41" i="13" s="1"/>
  <c r="F51" i="13"/>
  <c r="N51" i="13" s="1"/>
  <c r="V48" i="13" s="1"/>
  <c r="W48" i="13" s="1"/>
  <c r="X48" i="13" s="1"/>
  <c r="E51" i="13"/>
  <c r="M51" i="13" s="1"/>
  <c r="V43" i="13" s="1"/>
  <c r="W43" i="13" s="1"/>
  <c r="D39" i="14"/>
  <c r="L39" i="14" s="1"/>
  <c r="G39" i="14"/>
  <c r="O39" i="14" s="1"/>
  <c r="F39" i="14"/>
  <c r="N39" i="14" s="1"/>
  <c r="AU4" i="13"/>
  <c r="E53" i="8"/>
  <c r="O53" i="8" s="1"/>
  <c r="S53" i="8" s="1"/>
  <c r="F58" i="7"/>
  <c r="N58" i="7" s="1"/>
  <c r="R77" i="7" s="1"/>
  <c r="D58" i="7"/>
  <c r="L58" i="7" s="1"/>
  <c r="G53" i="10"/>
  <c r="O53" i="10" s="1"/>
  <c r="D53" i="10"/>
  <c r="L53" i="10" s="1"/>
  <c r="E59" i="11"/>
  <c r="M59" i="11" s="1"/>
  <c r="R73" i="11" s="1"/>
  <c r="D49" i="7"/>
  <c r="L49" i="7" s="1"/>
  <c r="F57" i="7"/>
  <c r="N57" i="7" s="1"/>
  <c r="R76" i="7" s="1"/>
  <c r="S76" i="7" s="1"/>
  <c r="T76" i="7" s="1"/>
  <c r="E42" i="10"/>
  <c r="M42" i="10" s="1"/>
  <c r="V71" i="10" s="1"/>
  <c r="F52" i="11"/>
  <c r="N52" i="11" s="1"/>
  <c r="G59" i="11"/>
  <c r="O59" i="11" s="1"/>
  <c r="R83" i="11" s="1"/>
  <c r="G51" i="13"/>
  <c r="O51" i="13" s="1"/>
  <c r="V53" i="13" s="1"/>
  <c r="W53" i="13" s="1"/>
  <c r="F54" i="9"/>
  <c r="N54" i="9" s="1"/>
  <c r="Q54" i="9" s="1"/>
  <c r="G57" i="12"/>
  <c r="O57" i="12" s="1"/>
  <c r="R81" i="12" s="1"/>
  <c r="D65" i="12"/>
  <c r="L65" i="12" s="1"/>
  <c r="E58" i="13"/>
  <c r="M58" i="13" s="1"/>
  <c r="R72" i="13" s="1"/>
  <c r="D58" i="13"/>
  <c r="L58" i="13" s="1"/>
  <c r="G51" i="14"/>
  <c r="O51" i="14" s="1"/>
  <c r="V53" i="14" s="1"/>
  <c r="F51" i="14"/>
  <c r="N51" i="14" s="1"/>
  <c r="G49" i="12"/>
  <c r="O49" i="12" s="1"/>
  <c r="R54" i="12" s="1"/>
  <c r="D49" i="12"/>
  <c r="L49" i="12" s="1"/>
  <c r="D43" i="13"/>
  <c r="L43" i="13" s="1"/>
  <c r="E43" i="13"/>
  <c r="M43" i="13" s="1"/>
  <c r="Z72" i="13" s="1"/>
  <c r="F56" i="13"/>
  <c r="N56" i="13" s="1"/>
  <c r="E56" i="13"/>
  <c r="M56" i="13" s="1"/>
  <c r="Z45" i="13" s="1"/>
  <c r="E56" i="15"/>
  <c r="M56" i="15" s="1"/>
  <c r="Z45" i="15" s="1"/>
  <c r="D56" i="15"/>
  <c r="L56" i="15" s="1"/>
  <c r="D64" i="15"/>
  <c r="L64" i="15" s="1"/>
  <c r="G64" i="15"/>
  <c r="O64" i="15" s="1"/>
  <c r="E42" i="16"/>
  <c r="M42" i="16" s="1"/>
  <c r="F42" i="16"/>
  <c r="N42" i="16" s="1"/>
  <c r="G42" i="16"/>
  <c r="O42" i="16" s="1"/>
  <c r="E52" i="16"/>
  <c r="M52" i="16" s="1"/>
  <c r="F52" i="16"/>
  <c r="N52" i="16" s="1"/>
  <c r="G52" i="16"/>
  <c r="O52" i="16" s="1"/>
  <c r="V54" i="16" s="1"/>
  <c r="D52" i="16"/>
  <c r="L52" i="16" s="1"/>
  <c r="E60" i="16"/>
  <c r="M60" i="16" s="1"/>
  <c r="F60" i="16"/>
  <c r="N60" i="16" s="1"/>
  <c r="V76" i="16" s="1"/>
  <c r="G60" i="16"/>
  <c r="O60" i="16" s="1"/>
  <c r="D60" i="16"/>
  <c r="L60" i="16" s="1"/>
  <c r="G44" i="15"/>
  <c r="O44" i="15" s="1"/>
  <c r="D45" i="15"/>
  <c r="L45" i="15" s="1"/>
  <c r="E45" i="15"/>
  <c r="M45" i="15" s="1"/>
  <c r="F57" i="15"/>
  <c r="N57" i="15" s="1"/>
  <c r="R76" i="15" s="1"/>
  <c r="S76" i="15" s="1"/>
  <c r="T76" i="15" s="1"/>
  <c r="G57" i="15"/>
  <c r="O57" i="15" s="1"/>
  <c r="R81" i="15" s="1"/>
  <c r="S81" i="15" s="1"/>
  <c r="E57" i="15"/>
  <c r="M57" i="15" s="1"/>
  <c r="F65" i="15"/>
  <c r="N65" i="15" s="1"/>
  <c r="G65" i="15"/>
  <c r="O65" i="15" s="1"/>
  <c r="Z83" i="15" s="1"/>
  <c r="G55" i="14"/>
  <c r="O55" i="14" s="1"/>
  <c r="Z54" i="14" s="1"/>
  <c r="E55" i="14"/>
  <c r="M55" i="14" s="1"/>
  <c r="F63" i="14"/>
  <c r="N63" i="14" s="1"/>
  <c r="Z76" i="14" s="1"/>
  <c r="AA76" i="14" s="1"/>
  <c r="G63" i="14"/>
  <c r="O63" i="14" s="1"/>
  <c r="Z81" i="14" s="1"/>
  <c r="AA81" i="14" s="1"/>
  <c r="G56" i="15"/>
  <c r="O56" i="15" s="1"/>
  <c r="Z55" i="15" s="1"/>
  <c r="D42" i="16"/>
  <c r="L42" i="16" s="1"/>
  <c r="F49" i="15"/>
  <c r="N49" i="15" s="1"/>
  <c r="R49" i="15" s="1"/>
  <c r="D49" i="15"/>
  <c r="L49" i="15" s="1"/>
  <c r="G49" i="15"/>
  <c r="O49" i="15" s="1"/>
  <c r="R54" i="15" s="1"/>
  <c r="G59" i="15"/>
  <c r="O59" i="15" s="1"/>
  <c r="R83" i="15" s="1"/>
  <c r="D59" i="15"/>
  <c r="L59" i="15" s="1"/>
  <c r="E59" i="15"/>
  <c r="M59" i="15" s="1"/>
  <c r="R73" i="15" s="1"/>
  <c r="AW5" i="1"/>
  <c r="G61" i="16"/>
  <c r="O61" i="16" s="1"/>
  <c r="F50" i="17"/>
  <c r="N50" i="17" s="1"/>
  <c r="R50" i="17" s="1"/>
  <c r="E50" i="17"/>
  <c r="M50" i="17" s="1"/>
  <c r="R45" i="17" s="1"/>
  <c r="G50" i="17"/>
  <c r="O50" i="17" s="1"/>
  <c r="R55" i="17" s="1"/>
  <c r="D59" i="17"/>
  <c r="L59" i="17" s="1"/>
  <c r="G59" i="17"/>
  <c r="O59" i="17" s="1"/>
  <c r="R83" i="17" s="1"/>
  <c r="AV6" i="2"/>
  <c r="E44" i="16"/>
  <c r="M44" i="16" s="1"/>
  <c r="F44" i="16"/>
  <c r="N44" i="16" s="1"/>
  <c r="E54" i="16"/>
  <c r="M54" i="16" s="1"/>
  <c r="F54" i="16"/>
  <c r="N54" i="16" s="1"/>
  <c r="E62" i="16"/>
  <c r="M62" i="16" s="1"/>
  <c r="F62" i="16"/>
  <c r="N62" i="16" s="1"/>
  <c r="V78" i="16" s="1"/>
  <c r="F61" i="16"/>
  <c r="N61" i="16" s="1"/>
  <c r="D44" i="16"/>
  <c r="L44" i="16" s="1"/>
  <c r="G49" i="17"/>
  <c r="O49" i="17" s="1"/>
  <c r="R54" i="17" s="1"/>
  <c r="D49" i="17"/>
  <c r="L49" i="17" s="1"/>
  <c r="D50" i="17"/>
  <c r="L50" i="17" s="1"/>
  <c r="AR6" i="3"/>
  <c r="AQ7" i="6"/>
  <c r="AR8" i="4"/>
  <c r="BC6" i="8"/>
  <c r="AR7" i="9"/>
  <c r="AR8" i="9"/>
  <c r="AQ8" i="6"/>
  <c r="BC9" i="8"/>
  <c r="AR4" i="15"/>
  <c r="E63" i="17"/>
  <c r="M63" i="17" s="1"/>
  <c r="Z71" i="17" s="1"/>
  <c r="AA71" i="17" s="1"/>
  <c r="F63" i="17"/>
  <c r="N63" i="17" s="1"/>
  <c r="Z76" i="17" s="1"/>
  <c r="AA76" i="17" s="1"/>
  <c r="AB76" i="17" s="1"/>
  <c r="AQ7" i="3"/>
  <c r="BB7" i="8"/>
  <c r="AU9" i="9"/>
  <c r="AQ5" i="17"/>
  <c r="E40" i="16"/>
  <c r="M40" i="16" s="1"/>
  <c r="F40" i="16"/>
  <c r="N40" i="16" s="1"/>
  <c r="Z49" i="16" s="1"/>
  <c r="E50" i="16"/>
  <c r="M50" i="16" s="1"/>
  <c r="F50" i="16"/>
  <c r="N50" i="16" s="1"/>
  <c r="R50" i="16" s="1"/>
  <c r="E58" i="16"/>
  <c r="M58" i="16" s="1"/>
  <c r="R72" i="16" s="1"/>
  <c r="F58" i="16"/>
  <c r="N58" i="16" s="1"/>
  <c r="R77" i="16" s="1"/>
  <c r="G44" i="17"/>
  <c r="O44" i="17" s="1"/>
  <c r="P44" i="17" s="1"/>
  <c r="F56" i="17"/>
  <c r="N56" i="17" s="1"/>
  <c r="AR5" i="11"/>
  <c r="AR9" i="11"/>
  <c r="F64" i="16"/>
  <c r="N64" i="16" s="1"/>
  <c r="Z77" i="16" s="1"/>
  <c r="F56" i="16"/>
  <c r="N56" i="16" s="1"/>
  <c r="F48" i="16"/>
  <c r="N48" i="16" s="1"/>
  <c r="R48" i="16" s="1"/>
  <c r="E38" i="16"/>
  <c r="M38" i="16" s="1"/>
  <c r="AS4" i="2"/>
  <c r="AQ7" i="4"/>
  <c r="AQ9" i="5"/>
  <c r="AR4" i="11"/>
  <c r="AR7" i="16"/>
  <c r="AR8" i="16"/>
  <c r="AQ6" i="17"/>
  <c r="E61" i="17"/>
  <c r="M61" i="17" s="1"/>
  <c r="V72" i="17" s="1"/>
  <c r="D61" i="17"/>
  <c r="L61" i="17" s="1"/>
  <c r="AR5" i="3"/>
  <c r="AR9" i="3"/>
  <c r="AR8" i="7"/>
  <c r="AR8" i="11"/>
  <c r="AQ8" i="13"/>
  <c r="AR5" i="15"/>
  <c r="AS7" i="2"/>
  <c r="AQ9" i="4"/>
  <c r="AQ4" i="5"/>
  <c r="BB9" i="8"/>
  <c r="AQ8" i="17"/>
  <c r="AR6" i="5"/>
  <c r="BB5" i="8"/>
  <c r="AQ8" i="7"/>
  <c r="AR4" i="9"/>
  <c r="AQ7" i="16"/>
  <c r="AQ9" i="7"/>
  <c r="AU9" i="7" s="1"/>
  <c r="AQ5" i="10"/>
  <c r="AQ5" i="15"/>
  <c r="AQ8" i="4"/>
  <c r="AR8" i="13"/>
  <c r="AF30" i="17" l="1"/>
  <c r="AF26" i="17"/>
  <c r="AE18" i="17"/>
  <c r="W43" i="17"/>
  <c r="X43" i="17" s="1"/>
  <c r="AH27" i="17"/>
  <c r="W71" i="17"/>
  <c r="X71" i="17" s="1"/>
  <c r="AH20" i="17"/>
  <c r="P56" i="17"/>
  <c r="AG11" i="17"/>
  <c r="Z53" i="17"/>
  <c r="AA53" i="17" s="1"/>
  <c r="AB53" i="17" s="1"/>
  <c r="AH6" i="17"/>
  <c r="AF19" i="17"/>
  <c r="AG14" i="17"/>
  <c r="AG7" i="17"/>
  <c r="R44" i="17"/>
  <c r="AG16" i="17"/>
  <c r="AG28" i="17"/>
  <c r="AF17" i="17"/>
  <c r="AE9" i="16"/>
  <c r="AG24" i="16"/>
  <c r="AH6" i="16"/>
  <c r="AH4" i="16"/>
  <c r="Z55" i="16"/>
  <c r="V72" i="16"/>
  <c r="Z76" i="16"/>
  <c r="AA76" i="16" s="1"/>
  <c r="AB76" i="16" s="1"/>
  <c r="P55" i="16"/>
  <c r="AG19" i="16"/>
  <c r="AH17" i="16"/>
  <c r="AF22" i="16"/>
  <c r="AE31" i="16"/>
  <c r="AE15" i="16"/>
  <c r="AE16" i="16"/>
  <c r="AE29" i="16"/>
  <c r="AG14" i="16"/>
  <c r="R44" i="16"/>
  <c r="AG10" i="16"/>
  <c r="AH23" i="16"/>
  <c r="V73" i="15"/>
  <c r="Z82" i="15"/>
  <c r="V81" i="15"/>
  <c r="AF15" i="15"/>
  <c r="AG24" i="15"/>
  <c r="AF25" i="15"/>
  <c r="AG23" i="15"/>
  <c r="R44" i="15"/>
  <c r="AF14" i="15"/>
  <c r="AH7" i="15"/>
  <c r="AE20" i="15"/>
  <c r="AH10" i="15"/>
  <c r="V43" i="15"/>
  <c r="V82" i="15"/>
  <c r="AG30" i="15"/>
  <c r="AH18" i="15"/>
  <c r="V44" i="15"/>
  <c r="Z81" i="15"/>
  <c r="AA81" i="15" s="1"/>
  <c r="AB81" i="15" s="1"/>
  <c r="AA53" i="15"/>
  <c r="AE9" i="15"/>
  <c r="AH17" i="15"/>
  <c r="AF19" i="15"/>
  <c r="V45" i="15"/>
  <c r="AE19" i="14"/>
  <c r="X43" i="14"/>
  <c r="AE10" i="14"/>
  <c r="AG24" i="14"/>
  <c r="AA48" i="14"/>
  <c r="AF18" i="14"/>
  <c r="AH28" i="14"/>
  <c r="AG25" i="14"/>
  <c r="AF16" i="14"/>
  <c r="Q58" i="14"/>
  <c r="AF15" i="14"/>
  <c r="V48" i="14"/>
  <c r="V78" i="14"/>
  <c r="AH6" i="14"/>
  <c r="AG8" i="14"/>
  <c r="V55" i="14"/>
  <c r="AH22" i="14"/>
  <c r="AG23" i="14"/>
  <c r="AE31" i="14"/>
  <c r="AE28" i="13"/>
  <c r="AE10" i="13"/>
  <c r="AH6" i="13"/>
  <c r="AG14" i="13"/>
  <c r="X43" i="13"/>
  <c r="AH26" i="13"/>
  <c r="AF21" i="13"/>
  <c r="Q48" i="13"/>
  <c r="R59" i="13" s="1"/>
  <c r="AF6" i="13"/>
  <c r="S48" i="13"/>
  <c r="T48" i="13" s="1"/>
  <c r="AE22" i="13"/>
  <c r="AE18" i="13"/>
  <c r="AU8" i="13"/>
  <c r="AE23" i="13"/>
  <c r="R73" i="13"/>
  <c r="AE20" i="13"/>
  <c r="AA81" i="13"/>
  <c r="R71" i="13"/>
  <c r="AH25" i="13"/>
  <c r="AG6" i="13"/>
  <c r="AM6" i="13" s="1"/>
  <c r="P45" i="13"/>
  <c r="AE30" i="13"/>
  <c r="AF16" i="13"/>
  <c r="AF29" i="13"/>
  <c r="AE8" i="13"/>
  <c r="AM8" i="13" s="1"/>
  <c r="AH27" i="13"/>
  <c r="AH5" i="13"/>
  <c r="AM5" i="13" s="1"/>
  <c r="AH22" i="12"/>
  <c r="AE17" i="12"/>
  <c r="AE5" i="12"/>
  <c r="AF16" i="12"/>
  <c r="V50" i="12"/>
  <c r="AH21" i="12"/>
  <c r="AF15" i="12"/>
  <c r="AH31" i="12"/>
  <c r="AF28" i="12"/>
  <c r="AH26" i="12"/>
  <c r="AH20" i="12"/>
  <c r="S53" i="12"/>
  <c r="T53" i="12" s="1"/>
  <c r="AF30" i="12"/>
  <c r="Z72" i="12"/>
  <c r="AE23" i="12"/>
  <c r="AF29" i="11"/>
  <c r="Z78" i="11"/>
  <c r="AE14" i="11"/>
  <c r="S71" i="11"/>
  <c r="T71" i="11" s="1"/>
  <c r="AH26" i="11"/>
  <c r="AH8" i="11"/>
  <c r="T81" i="11"/>
  <c r="W81" i="11"/>
  <c r="X81" i="11" s="1"/>
  <c r="V49" i="11"/>
  <c r="AF15" i="11"/>
  <c r="V50" i="11"/>
  <c r="AH10" i="11"/>
  <c r="Z77" i="11"/>
  <c r="AA48" i="11"/>
  <c r="V81" i="10"/>
  <c r="V83" i="10"/>
  <c r="AG15" i="10"/>
  <c r="AE22" i="10"/>
  <c r="AF24" i="10"/>
  <c r="X43" i="10"/>
  <c r="AE30" i="10"/>
  <c r="V82" i="10"/>
  <c r="AE11" i="10"/>
  <c r="AF10" i="10"/>
  <c r="AE23" i="10"/>
  <c r="AE27" i="10"/>
  <c r="AE20" i="10"/>
  <c r="AE25" i="10"/>
  <c r="AH29" i="10"/>
  <c r="AH31" i="10"/>
  <c r="AE17" i="10"/>
  <c r="AG19" i="10"/>
  <c r="V45" i="10"/>
  <c r="AE11" i="9"/>
  <c r="S81" i="9"/>
  <c r="AG30" i="9"/>
  <c r="AE17" i="9"/>
  <c r="AF30" i="9"/>
  <c r="AE10" i="9"/>
  <c r="AH25" i="9"/>
  <c r="AG22" i="9"/>
  <c r="AE16" i="9"/>
  <c r="AM5" i="9"/>
  <c r="AA71" i="9"/>
  <c r="AB71" i="9" s="1"/>
  <c r="AH29" i="9"/>
  <c r="Z50" i="9"/>
  <c r="AS7" i="9"/>
  <c r="AF6" i="9"/>
  <c r="AE8" i="9"/>
  <c r="AM8" i="9" s="1"/>
  <c r="AA76" i="9"/>
  <c r="AB76" i="9" s="1"/>
  <c r="R50" i="9"/>
  <c r="AG21" i="9"/>
  <c r="P41" i="9"/>
  <c r="AU6" i="9"/>
  <c r="R43" i="9"/>
  <c r="AH28" i="9"/>
  <c r="AG18" i="9"/>
  <c r="AG26" i="9"/>
  <c r="AE31" i="9"/>
  <c r="AF15" i="9"/>
  <c r="AB48" i="7"/>
  <c r="AF15" i="7"/>
  <c r="AG15" i="7"/>
  <c r="AG17" i="7"/>
  <c r="AG4" i="7"/>
  <c r="W48" i="7"/>
  <c r="AH29" i="7"/>
  <c r="AF9" i="7"/>
  <c r="W76" i="7"/>
  <c r="X76" i="7" s="1"/>
  <c r="AF25" i="7"/>
  <c r="AF8" i="7"/>
  <c r="R53" i="7"/>
  <c r="S53" i="7" s="1"/>
  <c r="AA76" i="7"/>
  <c r="AB76" i="7" s="1"/>
  <c r="P55" i="7"/>
  <c r="R55" i="7"/>
  <c r="AG18" i="7"/>
  <c r="AH6" i="7"/>
  <c r="AH24" i="7"/>
  <c r="S38" i="8"/>
  <c r="U53" i="8"/>
  <c r="U54" i="8"/>
  <c r="AP28" i="8"/>
  <c r="AL15" i="8"/>
  <c r="BD4" i="8"/>
  <c r="AA90" i="8"/>
  <c r="AO27" i="8"/>
  <c r="AN14" i="8"/>
  <c r="AP15" i="8"/>
  <c r="Z85" i="8"/>
  <c r="AA85" i="8" s="1"/>
  <c r="AE53" i="8"/>
  <c r="AN20" i="8"/>
  <c r="AD43" i="8"/>
  <c r="AE43" i="8" s="1"/>
  <c r="AC97" i="8"/>
  <c r="Z48" i="8"/>
  <c r="AA48" i="8" s="1"/>
  <c r="V58" i="8"/>
  <c r="W58" i="8" s="1"/>
  <c r="AO22" i="8"/>
  <c r="AP14" i="8"/>
  <c r="U55" i="8"/>
  <c r="AO21" i="8"/>
  <c r="AC85" i="8"/>
  <c r="AD85" i="8" s="1"/>
  <c r="AE85" i="8" s="1"/>
  <c r="BF4" i="8"/>
  <c r="AP22" i="8"/>
  <c r="AP21" i="8"/>
  <c r="BF5" i="8"/>
  <c r="AL21" i="8"/>
  <c r="AP4" i="8"/>
  <c r="AN15" i="8"/>
  <c r="AP17" i="8"/>
  <c r="AC87" i="8"/>
  <c r="AA81" i="6"/>
  <c r="AB81" i="6" s="1"/>
  <c r="AE25" i="6"/>
  <c r="S81" i="6"/>
  <c r="P59" i="6"/>
  <c r="W38" i="6"/>
  <c r="X38" i="6" s="1"/>
  <c r="AE23" i="6"/>
  <c r="R49" i="6"/>
  <c r="AF30" i="6"/>
  <c r="AH10" i="6"/>
  <c r="AF29" i="6"/>
  <c r="R48" i="6"/>
  <c r="S53" i="6"/>
  <c r="P57" i="6"/>
  <c r="AE4" i="6"/>
  <c r="AE7" i="6"/>
  <c r="AG23" i="6"/>
  <c r="T43" i="6"/>
  <c r="AE29" i="6"/>
  <c r="AG25" i="6"/>
  <c r="AH27" i="6"/>
  <c r="AG18" i="5"/>
  <c r="AE27" i="5"/>
  <c r="R53" i="5"/>
  <c r="AG5" i="5"/>
  <c r="AH9" i="5"/>
  <c r="AH26" i="5"/>
  <c r="AG28" i="5"/>
  <c r="AG19" i="5"/>
  <c r="AH10" i="5"/>
  <c r="R48" i="5"/>
  <c r="AG15" i="5"/>
  <c r="AF8" i="5"/>
  <c r="R77" i="5"/>
  <c r="AH31" i="5"/>
  <c r="AE23" i="5"/>
  <c r="AH21" i="5"/>
  <c r="AA71" i="5"/>
  <c r="AB71" i="5" s="1"/>
  <c r="R49" i="5"/>
  <c r="R50" i="5"/>
  <c r="AF17" i="5"/>
  <c r="Z53" i="5"/>
  <c r="AA53" i="5" s="1"/>
  <c r="AF14" i="5"/>
  <c r="AE4" i="5"/>
  <c r="W43" i="5"/>
  <c r="X43" i="5" s="1"/>
  <c r="Z43" i="5"/>
  <c r="AA43" i="5" s="1"/>
  <c r="R43" i="5"/>
  <c r="S43" i="5" s="1"/>
  <c r="V50" i="4"/>
  <c r="AG21" i="4"/>
  <c r="Q39" i="4"/>
  <c r="AF11" i="4"/>
  <c r="AH14" i="4"/>
  <c r="AF19" i="4"/>
  <c r="AG22" i="4"/>
  <c r="AF25" i="4"/>
  <c r="V49" i="4"/>
  <c r="AH16" i="4"/>
  <c r="Z81" i="4"/>
  <c r="R82" i="4"/>
  <c r="Z76" i="4"/>
  <c r="AA76" i="4" s="1"/>
  <c r="AF20" i="4"/>
  <c r="AF15" i="4"/>
  <c r="AH23" i="4"/>
  <c r="AH18" i="4"/>
  <c r="AG30" i="4"/>
  <c r="Z54" i="4"/>
  <c r="S81" i="4"/>
  <c r="AF9" i="4"/>
  <c r="AH10" i="4"/>
  <c r="AG26" i="4"/>
  <c r="AG17" i="4"/>
  <c r="V76" i="4"/>
  <c r="AA71" i="3"/>
  <c r="Z43" i="3"/>
  <c r="AG14" i="3"/>
  <c r="R44" i="3"/>
  <c r="Z78" i="3"/>
  <c r="R77" i="3"/>
  <c r="AG22" i="3"/>
  <c r="AE7" i="3"/>
  <c r="AH16" i="3"/>
  <c r="AE9" i="3"/>
  <c r="AF7" i="3"/>
  <c r="Z82" i="3"/>
  <c r="AE29" i="3"/>
  <c r="W71" i="3"/>
  <c r="AH25" i="3"/>
  <c r="AG15" i="3"/>
  <c r="AF9" i="3"/>
  <c r="AF27" i="3"/>
  <c r="AE23" i="3"/>
  <c r="AE19" i="3"/>
  <c r="W53" i="3"/>
  <c r="X53" i="3" s="1"/>
  <c r="AE31" i="3"/>
  <c r="Z44" i="3"/>
  <c r="AA43" i="3" s="1"/>
  <c r="AB43" i="3" s="1"/>
  <c r="AF18" i="3"/>
  <c r="AH17" i="3"/>
  <c r="AE20" i="3"/>
  <c r="AG7" i="3"/>
  <c r="P40" i="10"/>
  <c r="Q40" i="10"/>
  <c r="R67" i="7"/>
  <c r="P58" i="7"/>
  <c r="Q58" i="7"/>
  <c r="Q49" i="11"/>
  <c r="P49" i="11"/>
  <c r="R39" i="11"/>
  <c r="V68" i="9"/>
  <c r="Q62" i="9"/>
  <c r="V89" i="9" s="1"/>
  <c r="P62" i="9"/>
  <c r="Q61" i="17"/>
  <c r="V67" i="17"/>
  <c r="P61" i="17"/>
  <c r="Q57" i="7"/>
  <c r="P57" i="7"/>
  <c r="R66" i="7"/>
  <c r="S66" i="7" s="1"/>
  <c r="T66" i="7" s="1"/>
  <c r="Q39" i="12"/>
  <c r="P39" i="12"/>
  <c r="Q50" i="13"/>
  <c r="R61" i="13" s="1"/>
  <c r="R40" i="13"/>
  <c r="P50" i="13"/>
  <c r="Q57" i="17"/>
  <c r="P57" i="17"/>
  <c r="R66" i="17"/>
  <c r="R83" i="5"/>
  <c r="P59" i="5"/>
  <c r="Q28" i="1"/>
  <c r="P28" i="1"/>
  <c r="V27" i="1"/>
  <c r="Q42" i="2"/>
  <c r="P42" i="2"/>
  <c r="Q41" i="3"/>
  <c r="P41" i="3"/>
  <c r="Z50" i="6"/>
  <c r="Z49" i="6"/>
  <c r="Z48" i="6"/>
  <c r="Q54" i="15"/>
  <c r="P54" i="15"/>
  <c r="Z38" i="15"/>
  <c r="P48" i="10"/>
  <c r="Q48" i="10"/>
  <c r="R38" i="10"/>
  <c r="R41" i="2"/>
  <c r="P51" i="2"/>
  <c r="Q51" i="2"/>
  <c r="R62" i="2" s="1"/>
  <c r="Z55" i="11"/>
  <c r="Z53" i="11"/>
  <c r="P39" i="11"/>
  <c r="Q39" i="11"/>
  <c r="V68" i="3"/>
  <c r="P62" i="3"/>
  <c r="Q62" i="3"/>
  <c r="Z78" i="15"/>
  <c r="V71" i="14"/>
  <c r="W71" i="14" s="1"/>
  <c r="Q60" i="14"/>
  <c r="P60" i="14"/>
  <c r="AE22" i="9"/>
  <c r="P64" i="5"/>
  <c r="Q64" i="5"/>
  <c r="Z88" i="5" s="1"/>
  <c r="Z67" i="5"/>
  <c r="AH24" i="3"/>
  <c r="Z72" i="2"/>
  <c r="AA72" i="2" s="1"/>
  <c r="R38" i="12"/>
  <c r="P48" i="12"/>
  <c r="Q48" i="12"/>
  <c r="AH7" i="10"/>
  <c r="Z67" i="13"/>
  <c r="Q64" i="13"/>
  <c r="P64" i="13"/>
  <c r="V49" i="9"/>
  <c r="AE19" i="2"/>
  <c r="AH19" i="2"/>
  <c r="Q55" i="2"/>
  <c r="P55" i="2"/>
  <c r="Z39" i="2"/>
  <c r="AA39" i="2" s="1"/>
  <c r="AE8" i="17"/>
  <c r="AF8" i="17"/>
  <c r="AH4" i="3"/>
  <c r="AH28" i="5"/>
  <c r="AF25" i="3"/>
  <c r="AE31" i="2"/>
  <c r="V39" i="10"/>
  <c r="P52" i="10"/>
  <c r="Q52" i="10"/>
  <c r="V60" i="10" s="1"/>
  <c r="V48" i="3"/>
  <c r="W48" i="3" s="1"/>
  <c r="X48" i="3" s="1"/>
  <c r="AE14" i="16"/>
  <c r="Q38" i="14"/>
  <c r="P38" i="14"/>
  <c r="AF19" i="11"/>
  <c r="T81" i="3"/>
  <c r="AE19" i="11"/>
  <c r="AG29" i="17"/>
  <c r="P38" i="7"/>
  <c r="Q38" i="7"/>
  <c r="R40" i="7"/>
  <c r="AE15" i="14"/>
  <c r="AE17" i="3"/>
  <c r="V82" i="2"/>
  <c r="W82" i="2" s="1"/>
  <c r="X82" i="2" s="1"/>
  <c r="AT8" i="17"/>
  <c r="AG8" i="17"/>
  <c r="AS8" i="17"/>
  <c r="AG15" i="11"/>
  <c r="AH6" i="11"/>
  <c r="AF14" i="10"/>
  <c r="V53" i="9"/>
  <c r="AG31" i="16"/>
  <c r="Q62" i="6"/>
  <c r="V68" i="6"/>
  <c r="P62" i="6"/>
  <c r="AE16" i="13"/>
  <c r="W76" i="3"/>
  <c r="X76" i="3" s="1"/>
  <c r="AH14" i="7"/>
  <c r="AE14" i="7"/>
  <c r="AE7" i="11"/>
  <c r="W76" i="4"/>
  <c r="X76" i="4" s="1"/>
  <c r="AS9" i="10"/>
  <c r="AF9" i="10"/>
  <c r="AS6" i="10"/>
  <c r="AF6" i="10"/>
  <c r="AG28" i="4"/>
  <c r="AS8" i="11"/>
  <c r="AF8" i="11"/>
  <c r="AU9" i="5"/>
  <c r="P49" i="15"/>
  <c r="Q49" i="15"/>
  <c r="R60" i="15" s="1"/>
  <c r="R39" i="15"/>
  <c r="V68" i="10"/>
  <c r="Q62" i="10"/>
  <c r="P62" i="10"/>
  <c r="Q50" i="12"/>
  <c r="P50" i="12"/>
  <c r="R40" i="12"/>
  <c r="T61" i="8"/>
  <c r="Y96" i="8" s="1"/>
  <c r="S61" i="8"/>
  <c r="Y71" i="8"/>
  <c r="P40" i="5"/>
  <c r="Q40" i="5"/>
  <c r="Q56" i="5"/>
  <c r="Z61" i="5" s="1"/>
  <c r="P56" i="5"/>
  <c r="Z40" i="5"/>
  <c r="T52" i="8"/>
  <c r="Y64" i="8" s="1"/>
  <c r="S52" i="8"/>
  <c r="Y39" i="8"/>
  <c r="AF21" i="14"/>
  <c r="AG21" i="14"/>
  <c r="Q39" i="3"/>
  <c r="P39" i="3"/>
  <c r="AF24" i="9"/>
  <c r="AG24" i="9"/>
  <c r="X32" i="1"/>
  <c r="P61" i="12"/>
  <c r="Q61" i="12"/>
  <c r="V67" i="12"/>
  <c r="Z83" i="5"/>
  <c r="P65" i="5"/>
  <c r="AF20" i="5"/>
  <c r="AE20" i="5"/>
  <c r="AH20" i="5"/>
  <c r="AE19" i="13"/>
  <c r="AE9" i="12"/>
  <c r="AG9" i="12"/>
  <c r="P49" i="12"/>
  <c r="R39" i="12"/>
  <c r="Q49" i="12"/>
  <c r="AF19" i="13"/>
  <c r="Q42" i="11"/>
  <c r="P42" i="11"/>
  <c r="V66" i="11"/>
  <c r="V67" i="11"/>
  <c r="V68" i="11"/>
  <c r="P56" i="2"/>
  <c r="Q56" i="2"/>
  <c r="Z40" i="2"/>
  <c r="Q63" i="2"/>
  <c r="P63" i="2"/>
  <c r="V69" i="2"/>
  <c r="AM6" i="2"/>
  <c r="AN6" i="2"/>
  <c r="Q43" i="16"/>
  <c r="P43" i="16"/>
  <c r="AH8" i="2"/>
  <c r="AF8" i="2"/>
  <c r="AG8" i="2"/>
  <c r="AE8" i="2"/>
  <c r="P42" i="4"/>
  <c r="Q42" i="4"/>
  <c r="V67" i="4"/>
  <c r="R50" i="7"/>
  <c r="R48" i="7"/>
  <c r="Z48" i="16"/>
  <c r="AA48" i="16" s="1"/>
  <c r="P55" i="3"/>
  <c r="Q55" i="3"/>
  <c r="Z39" i="3"/>
  <c r="W71" i="12"/>
  <c r="X71" i="12" s="1"/>
  <c r="R72" i="5"/>
  <c r="AE27" i="11"/>
  <c r="AE31" i="15"/>
  <c r="AG31" i="15"/>
  <c r="AH31" i="15"/>
  <c r="P65" i="16"/>
  <c r="Z68" i="16"/>
  <c r="Q65" i="16"/>
  <c r="Z89" i="16" s="1"/>
  <c r="Q54" i="5"/>
  <c r="P54" i="5"/>
  <c r="Z38" i="5"/>
  <c r="Q53" i="13"/>
  <c r="V61" i="13" s="1"/>
  <c r="V40" i="13"/>
  <c r="P53" i="13"/>
  <c r="AE5" i="10"/>
  <c r="AG5" i="10"/>
  <c r="AF26" i="14"/>
  <c r="AE26" i="14"/>
  <c r="AT4" i="17"/>
  <c r="AG4" i="17"/>
  <c r="Q42" i="16"/>
  <c r="P42" i="16"/>
  <c r="Q53" i="12"/>
  <c r="V61" i="12" s="1"/>
  <c r="P53" i="12"/>
  <c r="V40" i="12"/>
  <c r="AE24" i="5"/>
  <c r="AH24" i="5"/>
  <c r="AE10" i="3"/>
  <c r="AF10" i="3"/>
  <c r="T43" i="5"/>
  <c r="X53" i="13"/>
  <c r="Z69" i="2"/>
  <c r="Q66" i="2"/>
  <c r="P66" i="2"/>
  <c r="AG17" i="3"/>
  <c r="AE4" i="14"/>
  <c r="AH4" i="14"/>
  <c r="AF4" i="14"/>
  <c r="V45" i="11"/>
  <c r="Q53" i="11"/>
  <c r="P53" i="11"/>
  <c r="V40" i="11"/>
  <c r="AG30" i="5"/>
  <c r="AS5" i="4"/>
  <c r="AF5" i="4"/>
  <c r="AE5" i="4"/>
  <c r="AH26" i="2"/>
  <c r="AE26" i="2"/>
  <c r="S53" i="17"/>
  <c r="T53" i="17" s="1"/>
  <c r="Q51" i="16"/>
  <c r="P51" i="16"/>
  <c r="V38" i="16"/>
  <c r="AE28" i="6"/>
  <c r="AH28" i="6"/>
  <c r="AA76" i="10"/>
  <c r="AB76" i="10" s="1"/>
  <c r="R38" i="14"/>
  <c r="P48" i="14"/>
  <c r="Q48" i="14"/>
  <c r="R59" i="14" s="1"/>
  <c r="AH16" i="13"/>
  <c r="R44" i="9"/>
  <c r="P49" i="9"/>
  <c r="AT5" i="3"/>
  <c r="AG5" i="3"/>
  <c r="R68" i="17"/>
  <c r="P59" i="17"/>
  <c r="Q59" i="17"/>
  <c r="R71" i="15"/>
  <c r="Z50" i="13"/>
  <c r="Q57" i="13"/>
  <c r="R66" i="13"/>
  <c r="P57" i="13"/>
  <c r="P50" i="11"/>
  <c r="Q50" i="11"/>
  <c r="R40" i="11"/>
  <c r="S43" i="11"/>
  <c r="T43" i="11" s="1"/>
  <c r="P59" i="16"/>
  <c r="Q59" i="16"/>
  <c r="R68" i="16"/>
  <c r="V44" i="2"/>
  <c r="W44" i="2" s="1"/>
  <c r="X44" i="2" s="1"/>
  <c r="V78" i="15"/>
  <c r="P32" i="1"/>
  <c r="Q32" i="1"/>
  <c r="V68" i="5"/>
  <c r="P62" i="5"/>
  <c r="Q62" i="5"/>
  <c r="T62" i="8"/>
  <c r="Y97" i="8" s="1"/>
  <c r="S62" i="8"/>
  <c r="Y72" i="8"/>
  <c r="AE20" i="16"/>
  <c r="AH29" i="11"/>
  <c r="R40" i="9"/>
  <c r="Q50" i="9"/>
  <c r="P50" i="9"/>
  <c r="AF26" i="12"/>
  <c r="Z45" i="6"/>
  <c r="Z43" i="6"/>
  <c r="AA43" i="6" s="1"/>
  <c r="AB43" i="6" s="1"/>
  <c r="Z44" i="6"/>
  <c r="P61" i="11"/>
  <c r="AG22" i="11"/>
  <c r="AF22" i="11"/>
  <c r="AH22" i="11"/>
  <c r="AF27" i="11"/>
  <c r="P55" i="17"/>
  <c r="Q55" i="17"/>
  <c r="Z39" i="17"/>
  <c r="Q62" i="15"/>
  <c r="P62" i="15"/>
  <c r="V68" i="15"/>
  <c r="AE26" i="12"/>
  <c r="P53" i="7"/>
  <c r="Q53" i="7"/>
  <c r="V61" i="7" s="1"/>
  <c r="V40" i="7"/>
  <c r="S42" i="8"/>
  <c r="Z43" i="10"/>
  <c r="AF30" i="7"/>
  <c r="AG30" i="7"/>
  <c r="S45" i="8"/>
  <c r="T45" i="8"/>
  <c r="Q65" i="15"/>
  <c r="P65" i="15"/>
  <c r="Z68" i="15"/>
  <c r="Q54" i="11"/>
  <c r="P54" i="11"/>
  <c r="Z38" i="11"/>
  <c r="R78" i="10"/>
  <c r="P59" i="10"/>
  <c r="R72" i="6"/>
  <c r="AT8" i="15"/>
  <c r="AU8" i="15" s="1"/>
  <c r="AG8" i="15"/>
  <c r="AO10" i="8"/>
  <c r="AL10" i="8"/>
  <c r="AM10" i="8"/>
  <c r="AP10" i="8"/>
  <c r="AE20" i="4"/>
  <c r="AE11" i="14"/>
  <c r="AG11" i="14"/>
  <c r="P63" i="6"/>
  <c r="Q63" i="6"/>
  <c r="Z66" i="6"/>
  <c r="AE5" i="15"/>
  <c r="AF5" i="15"/>
  <c r="AE10" i="5"/>
  <c r="AH20" i="15"/>
  <c r="AH11" i="5"/>
  <c r="AE11" i="5"/>
  <c r="AF20" i="16"/>
  <c r="V78" i="5"/>
  <c r="AH14" i="13"/>
  <c r="AH9" i="9"/>
  <c r="AG9" i="9"/>
  <c r="AF9" i="9"/>
  <c r="Q38" i="16"/>
  <c r="P38" i="16"/>
  <c r="Q59" i="15"/>
  <c r="P59" i="15"/>
  <c r="R68" i="15"/>
  <c r="V71" i="16"/>
  <c r="W71" i="16" s="1"/>
  <c r="P65" i="12"/>
  <c r="Z68" i="12"/>
  <c r="Q65" i="12"/>
  <c r="Z89" i="12" s="1"/>
  <c r="P49" i="7"/>
  <c r="R39" i="7"/>
  <c r="Q49" i="7"/>
  <c r="R60" i="7" s="1"/>
  <c r="V40" i="14"/>
  <c r="Q53" i="14"/>
  <c r="P53" i="14"/>
  <c r="P45" i="17"/>
  <c r="Q45" i="17"/>
  <c r="T53" i="9"/>
  <c r="Z82" i="11"/>
  <c r="AA81" i="11" s="1"/>
  <c r="P62" i="7"/>
  <c r="Q62" i="7"/>
  <c r="V68" i="7"/>
  <c r="T81" i="16"/>
  <c r="P62" i="12"/>
  <c r="Q62" i="12"/>
  <c r="V68" i="12"/>
  <c r="Z49" i="5"/>
  <c r="V67" i="7"/>
  <c r="W66" i="7" s="1"/>
  <c r="X66" i="7" s="1"/>
  <c r="Q61" i="7"/>
  <c r="P61" i="7"/>
  <c r="P43" i="7"/>
  <c r="Z66" i="7"/>
  <c r="Z68" i="7"/>
  <c r="R66" i="15"/>
  <c r="S66" i="15" s="1"/>
  <c r="Q57" i="15"/>
  <c r="P57" i="15"/>
  <c r="AF31" i="16"/>
  <c r="P44" i="6"/>
  <c r="Q44" i="6"/>
  <c r="AE30" i="17"/>
  <c r="AG30" i="17"/>
  <c r="P54" i="16"/>
  <c r="Z38" i="16"/>
  <c r="AA38" i="16" s="1"/>
  <c r="Q54" i="16"/>
  <c r="AG28" i="11"/>
  <c r="R45" i="9"/>
  <c r="P40" i="3"/>
  <c r="Q40" i="3"/>
  <c r="AF27" i="16"/>
  <c r="Z83" i="11"/>
  <c r="P40" i="6"/>
  <c r="Z39" i="6"/>
  <c r="Z40" i="6"/>
  <c r="Q40" i="6"/>
  <c r="Z38" i="6"/>
  <c r="P41" i="5"/>
  <c r="Q41" i="5"/>
  <c r="R89" i="5" s="1"/>
  <c r="R68" i="5"/>
  <c r="AH10" i="14"/>
  <c r="AG28" i="13"/>
  <c r="AE21" i="13"/>
  <c r="Z88" i="12"/>
  <c r="AE22" i="11"/>
  <c r="AE30" i="12"/>
  <c r="Z45" i="11"/>
  <c r="AG29" i="11"/>
  <c r="Q60" i="16"/>
  <c r="V87" i="16" s="1"/>
  <c r="P60" i="16"/>
  <c r="V66" i="16"/>
  <c r="P45" i="15"/>
  <c r="Q45" i="15"/>
  <c r="AF25" i="13"/>
  <c r="P63" i="16"/>
  <c r="P64" i="7"/>
  <c r="Z67" i="7"/>
  <c r="Q64" i="7"/>
  <c r="Z88" i="7" s="1"/>
  <c r="AA87" i="7" s="1"/>
  <c r="AE27" i="15"/>
  <c r="AG26" i="15"/>
  <c r="Z71" i="13"/>
  <c r="AA71" i="13" s="1"/>
  <c r="W81" i="12"/>
  <c r="X81" i="12" s="1"/>
  <c r="AE31" i="11"/>
  <c r="AH31" i="11"/>
  <c r="P60" i="12"/>
  <c r="V66" i="12"/>
  <c r="Q60" i="12"/>
  <c r="AF21" i="10"/>
  <c r="AG21" i="10"/>
  <c r="AF21" i="15"/>
  <c r="R83" i="13"/>
  <c r="V77" i="16"/>
  <c r="W76" i="16" s="1"/>
  <c r="X76" i="16" s="1"/>
  <c r="AG31" i="7"/>
  <c r="AE31" i="7"/>
  <c r="T81" i="7"/>
  <c r="AE22" i="7"/>
  <c r="AF22" i="7"/>
  <c r="AH16" i="7"/>
  <c r="AH31" i="6"/>
  <c r="AE31" i="6"/>
  <c r="P54" i="4"/>
  <c r="Z38" i="4"/>
  <c r="AA38" i="4" s="1"/>
  <c r="Q54" i="4"/>
  <c r="Z59" i="4" s="1"/>
  <c r="AF10" i="14"/>
  <c r="Q44" i="5"/>
  <c r="P44" i="5"/>
  <c r="AS7" i="15"/>
  <c r="AF7" i="15"/>
  <c r="AG24" i="7"/>
  <c r="AG26" i="5"/>
  <c r="S48" i="8"/>
  <c r="T48" i="8"/>
  <c r="U63" i="8" s="1"/>
  <c r="U38" i="8"/>
  <c r="AE16" i="14"/>
  <c r="AS4" i="3"/>
  <c r="AF4" i="3"/>
  <c r="AE4" i="3"/>
  <c r="AG11" i="11"/>
  <c r="AG23" i="5"/>
  <c r="AH18" i="3"/>
  <c r="AE9" i="14"/>
  <c r="AH9" i="14"/>
  <c r="Q52" i="12"/>
  <c r="V60" i="12" s="1"/>
  <c r="P52" i="12"/>
  <c r="V39" i="12"/>
  <c r="Q41" i="10"/>
  <c r="P41" i="10"/>
  <c r="R68" i="10"/>
  <c r="P52" i="9"/>
  <c r="Q52" i="9"/>
  <c r="V39" i="9"/>
  <c r="AG30" i="12"/>
  <c r="AN26" i="8"/>
  <c r="AE4" i="17"/>
  <c r="W53" i="6"/>
  <c r="X53" i="6" s="1"/>
  <c r="R53" i="3"/>
  <c r="R54" i="3"/>
  <c r="AH6" i="4"/>
  <c r="V83" i="5"/>
  <c r="AE29" i="2"/>
  <c r="AA71" i="14"/>
  <c r="AB71" i="14" s="1"/>
  <c r="P48" i="16"/>
  <c r="Q48" i="16"/>
  <c r="R59" i="16" s="1"/>
  <c r="R38" i="16"/>
  <c r="R39" i="14"/>
  <c r="P49" i="14"/>
  <c r="Q49" i="14"/>
  <c r="R60" i="14" s="1"/>
  <c r="AG15" i="9"/>
  <c r="AH31" i="2"/>
  <c r="Q50" i="16"/>
  <c r="R61" i="16" s="1"/>
  <c r="R40" i="16"/>
  <c r="P50" i="16"/>
  <c r="AG19" i="11"/>
  <c r="P39" i="4"/>
  <c r="P43" i="17"/>
  <c r="Q43" i="17"/>
  <c r="Z67" i="17"/>
  <c r="S43" i="13"/>
  <c r="T43" i="13" s="1"/>
  <c r="AS4" i="11"/>
  <c r="AF4" i="11"/>
  <c r="AE14" i="13"/>
  <c r="Q49" i="9"/>
  <c r="AG30" i="3"/>
  <c r="AH14" i="16"/>
  <c r="AG29" i="2"/>
  <c r="P43" i="5"/>
  <c r="Z82" i="5"/>
  <c r="AA81" i="5" s="1"/>
  <c r="AG11" i="2"/>
  <c r="P41" i="11"/>
  <c r="Q41" i="11"/>
  <c r="V53" i="7"/>
  <c r="P39" i="7"/>
  <c r="AT9" i="11"/>
  <c r="AG9" i="11"/>
  <c r="AG14" i="11"/>
  <c r="AT5" i="11"/>
  <c r="AG5" i="11"/>
  <c r="P51" i="9"/>
  <c r="Q51" i="9"/>
  <c r="V38" i="9"/>
  <c r="W38" i="9" s="1"/>
  <c r="V55" i="4"/>
  <c r="AH5" i="4"/>
  <c r="AF29" i="5"/>
  <c r="AE29" i="5"/>
  <c r="AS7" i="16"/>
  <c r="AF7" i="16"/>
  <c r="AH16" i="12"/>
  <c r="AH22" i="10"/>
  <c r="S53" i="16"/>
  <c r="T53" i="16" s="1"/>
  <c r="AM30" i="8"/>
  <c r="AP30" i="8"/>
  <c r="AN30" i="8"/>
  <c r="AL30" i="8"/>
  <c r="AO30" i="8"/>
  <c r="AG29" i="5"/>
  <c r="Z50" i="3"/>
  <c r="AF18" i="9"/>
  <c r="P48" i="5"/>
  <c r="Q48" i="5"/>
  <c r="R38" i="5"/>
  <c r="P42" i="3"/>
  <c r="Q42" i="3"/>
  <c r="AF19" i="5"/>
  <c r="AT8" i="3"/>
  <c r="AG8" i="3"/>
  <c r="AH8" i="3"/>
  <c r="AS8" i="3"/>
  <c r="AH10" i="3"/>
  <c r="AA76" i="11"/>
  <c r="AB76" i="11" s="1"/>
  <c r="Y45" i="8"/>
  <c r="T53" i="8"/>
  <c r="Y65" i="8" s="1"/>
  <c r="P45" i="5"/>
  <c r="Q45" i="5"/>
  <c r="AH31" i="16"/>
  <c r="AA71" i="11"/>
  <c r="AB71" i="11" s="1"/>
  <c r="P44" i="14"/>
  <c r="Q44" i="14"/>
  <c r="Q61" i="9"/>
  <c r="V88" i="9" s="1"/>
  <c r="V67" i="9"/>
  <c r="P61" i="9"/>
  <c r="AE20" i="11"/>
  <c r="AH20" i="11"/>
  <c r="X53" i="15"/>
  <c r="AB81" i="14"/>
  <c r="Q64" i="15"/>
  <c r="Z88" i="15" s="1"/>
  <c r="P64" i="15"/>
  <c r="Z67" i="15"/>
  <c r="Q42" i="14"/>
  <c r="P42" i="14"/>
  <c r="V73" i="14"/>
  <c r="R66" i="3"/>
  <c r="P57" i="3"/>
  <c r="Q57" i="3"/>
  <c r="R87" i="3" s="1"/>
  <c r="Q63" i="9"/>
  <c r="Z87" i="9" s="1"/>
  <c r="Z66" i="9"/>
  <c r="P63" i="9"/>
  <c r="Q53" i="3"/>
  <c r="P53" i="3"/>
  <c r="V40" i="3"/>
  <c r="P55" i="13"/>
  <c r="Z39" i="13"/>
  <c r="Q55" i="13"/>
  <c r="Z71" i="15"/>
  <c r="AA71" i="15" s="1"/>
  <c r="AF20" i="11"/>
  <c r="R87" i="10"/>
  <c r="AE29" i="14"/>
  <c r="P65" i="11"/>
  <c r="Z68" i="11"/>
  <c r="Q65" i="11"/>
  <c r="R66" i="5"/>
  <c r="Q57" i="5"/>
  <c r="R87" i="5" s="1"/>
  <c r="P57" i="5"/>
  <c r="AG20" i="17"/>
  <c r="AO26" i="8"/>
  <c r="AM26" i="8"/>
  <c r="AL26" i="8"/>
  <c r="Q52" i="17"/>
  <c r="V39" i="17"/>
  <c r="P52" i="17"/>
  <c r="AE8" i="12"/>
  <c r="AF8" i="12"/>
  <c r="AH8" i="12"/>
  <c r="AF15" i="16"/>
  <c r="Q41" i="14"/>
  <c r="P41" i="14"/>
  <c r="AE4" i="12"/>
  <c r="AG4" i="12"/>
  <c r="V83" i="16"/>
  <c r="AP16" i="8"/>
  <c r="AO16" i="8"/>
  <c r="P38" i="5"/>
  <c r="Q38" i="5"/>
  <c r="AF14" i="12"/>
  <c r="S76" i="11"/>
  <c r="T76" i="11" s="1"/>
  <c r="S71" i="9"/>
  <c r="T71" i="9" s="1"/>
  <c r="P58" i="3"/>
  <c r="Q58" i="3"/>
  <c r="R67" i="3"/>
  <c r="AG18" i="11"/>
  <c r="AE18" i="4"/>
  <c r="AH18" i="14"/>
  <c r="AH17" i="2"/>
  <c r="AH7" i="11"/>
  <c r="V44" i="9"/>
  <c r="AH21" i="2"/>
  <c r="Z68" i="2"/>
  <c r="Q65" i="2"/>
  <c r="P65" i="2"/>
  <c r="AG27" i="7"/>
  <c r="AF27" i="7"/>
  <c r="Q42" i="15"/>
  <c r="V88" i="15" s="1"/>
  <c r="P42" i="15"/>
  <c r="T57" i="8"/>
  <c r="U95" i="8" s="1"/>
  <c r="S57" i="8"/>
  <c r="U70" i="8"/>
  <c r="W37" i="1"/>
  <c r="X37" i="1" s="1"/>
  <c r="AE27" i="9"/>
  <c r="AF27" i="9"/>
  <c r="AH27" i="9"/>
  <c r="P56" i="15"/>
  <c r="Z40" i="15"/>
  <c r="Q56" i="15"/>
  <c r="R89" i="10"/>
  <c r="Q41" i="6"/>
  <c r="P41" i="6"/>
  <c r="R68" i="6"/>
  <c r="R88" i="14"/>
  <c r="AE8" i="16"/>
  <c r="AF8" i="16"/>
  <c r="AF27" i="5"/>
  <c r="AG27" i="5"/>
  <c r="AH14" i="5"/>
  <c r="P58" i="13"/>
  <c r="Q58" i="13"/>
  <c r="R67" i="13"/>
  <c r="P41" i="16"/>
  <c r="Q41" i="16"/>
  <c r="P39" i="9"/>
  <c r="Q39" i="9"/>
  <c r="Q27" i="1"/>
  <c r="P27" i="1"/>
  <c r="R28" i="1"/>
  <c r="AE24" i="11"/>
  <c r="AG24" i="11"/>
  <c r="AF24" i="11"/>
  <c r="Q45" i="14"/>
  <c r="P45" i="14"/>
  <c r="Z67" i="4"/>
  <c r="P64" i="4"/>
  <c r="Q64" i="4"/>
  <c r="P63" i="5"/>
  <c r="Z66" i="5"/>
  <c r="Q63" i="5"/>
  <c r="Z87" i="5" s="1"/>
  <c r="Z43" i="16"/>
  <c r="P52" i="16"/>
  <c r="V39" i="16"/>
  <c r="Q52" i="16"/>
  <c r="AB53" i="5"/>
  <c r="Z74" i="2"/>
  <c r="P44" i="2"/>
  <c r="Q44" i="2"/>
  <c r="AH24" i="12"/>
  <c r="AG24" i="12"/>
  <c r="Z53" i="6"/>
  <c r="Z55" i="6"/>
  <c r="Z54" i="6"/>
  <c r="Q63" i="16"/>
  <c r="Z87" i="16" s="1"/>
  <c r="AA71" i="7"/>
  <c r="V76" i="15"/>
  <c r="W76" i="15" s="1"/>
  <c r="Z44" i="10"/>
  <c r="AF29" i="14"/>
  <c r="T63" i="8"/>
  <c r="AC95" i="8" s="1"/>
  <c r="AC70" i="8"/>
  <c r="S63" i="8"/>
  <c r="P56" i="10"/>
  <c r="Z40" i="10"/>
  <c r="Q56" i="10"/>
  <c r="Z61" i="10" s="1"/>
  <c r="R66" i="6"/>
  <c r="AO25" i="8"/>
  <c r="AP25" i="8"/>
  <c r="Z50" i="5"/>
  <c r="P41" i="15"/>
  <c r="Q41" i="15"/>
  <c r="R72" i="15"/>
  <c r="AF24" i="6"/>
  <c r="AE24" i="6"/>
  <c r="S71" i="13"/>
  <c r="T71" i="13" s="1"/>
  <c r="AE19" i="17"/>
  <c r="Q43" i="14"/>
  <c r="P43" i="14"/>
  <c r="AT4" i="10"/>
  <c r="AG4" i="10"/>
  <c r="AS4" i="10"/>
  <c r="AF4" i="10"/>
  <c r="Z73" i="7"/>
  <c r="Q65" i="7"/>
  <c r="Z89" i="7" s="1"/>
  <c r="V38" i="10"/>
  <c r="Q51" i="10"/>
  <c r="V59" i="10" s="1"/>
  <c r="P51" i="10"/>
  <c r="AT7" i="10"/>
  <c r="AU7" i="10" s="1"/>
  <c r="AG7" i="10"/>
  <c r="AT5" i="14"/>
  <c r="AG5" i="14"/>
  <c r="AE5" i="14"/>
  <c r="AF5" i="14"/>
  <c r="AS5" i="14"/>
  <c r="AE27" i="16"/>
  <c r="AG27" i="16"/>
  <c r="AG10" i="14"/>
  <c r="AF20" i="17"/>
  <c r="AE25" i="11"/>
  <c r="AH25" i="11"/>
  <c r="AF25" i="11"/>
  <c r="W42" i="1"/>
  <c r="X42" i="1" s="1"/>
  <c r="Z66" i="16"/>
  <c r="AF25" i="16"/>
  <c r="AE25" i="16"/>
  <c r="AF29" i="7"/>
  <c r="AG29" i="7"/>
  <c r="AE29" i="7"/>
  <c r="T81" i="15"/>
  <c r="Z81" i="7"/>
  <c r="AA81" i="7" s="1"/>
  <c r="AB81" i="7" s="1"/>
  <c r="P63" i="7"/>
  <c r="AE25" i="14"/>
  <c r="Z45" i="9"/>
  <c r="AF28" i="17"/>
  <c r="AH21" i="13"/>
  <c r="AH24" i="9"/>
  <c r="Q61" i="4"/>
  <c r="P62" i="4"/>
  <c r="V68" i="4"/>
  <c r="Q62" i="4"/>
  <c r="AM25" i="8"/>
  <c r="AF21" i="5"/>
  <c r="AG21" i="5"/>
  <c r="AS4" i="15"/>
  <c r="AF4" i="15"/>
  <c r="AB81" i="9"/>
  <c r="V44" i="16"/>
  <c r="AF23" i="13"/>
  <c r="R45" i="7"/>
  <c r="Q50" i="7"/>
  <c r="P50" i="7"/>
  <c r="AF11" i="6"/>
  <c r="P53" i="17"/>
  <c r="V40" i="17"/>
  <c r="Q53" i="17"/>
  <c r="AS6" i="3"/>
  <c r="AF6" i="3"/>
  <c r="AE6" i="3"/>
  <c r="P38" i="12"/>
  <c r="Q38" i="12"/>
  <c r="V48" i="15"/>
  <c r="V82" i="16"/>
  <c r="Z44" i="14"/>
  <c r="P55" i="14"/>
  <c r="Q55" i="14"/>
  <c r="P40" i="11"/>
  <c r="Q40" i="11"/>
  <c r="T53" i="7"/>
  <c r="W71" i="9"/>
  <c r="X71" i="9" s="1"/>
  <c r="T59" i="8"/>
  <c r="U97" i="8" s="1"/>
  <c r="U72" i="8"/>
  <c r="S59" i="8"/>
  <c r="AA76" i="3"/>
  <c r="AB76" i="3" s="1"/>
  <c r="AD90" i="8"/>
  <c r="AE90" i="8" s="1"/>
  <c r="Q56" i="14"/>
  <c r="P56" i="14"/>
  <c r="Z40" i="14"/>
  <c r="P65" i="9"/>
  <c r="Q65" i="9"/>
  <c r="Z89" i="9" s="1"/>
  <c r="Z68" i="9"/>
  <c r="P44" i="4"/>
  <c r="Q44" i="4"/>
  <c r="R33" i="1"/>
  <c r="Q38" i="1"/>
  <c r="P38" i="1"/>
  <c r="AH29" i="16"/>
  <c r="R67" i="2"/>
  <c r="S67" i="2" s="1"/>
  <c r="P58" i="2"/>
  <c r="Q58" i="2"/>
  <c r="R88" i="2" s="1"/>
  <c r="S88" i="2" s="1"/>
  <c r="T88" i="2" s="1"/>
  <c r="R73" i="2"/>
  <c r="S72" i="2" s="1"/>
  <c r="T72" i="2" s="1"/>
  <c r="Z66" i="3"/>
  <c r="Q63" i="3"/>
  <c r="P63" i="3"/>
  <c r="P39" i="1"/>
  <c r="R29" i="1"/>
  <c r="Q39" i="1"/>
  <c r="R50" i="1" s="1"/>
  <c r="AE21" i="15"/>
  <c r="AG26" i="14"/>
  <c r="AH26" i="17"/>
  <c r="AE30" i="14"/>
  <c r="AF30" i="14"/>
  <c r="AH30" i="14"/>
  <c r="Q45" i="11"/>
  <c r="P45" i="11"/>
  <c r="V67" i="16"/>
  <c r="P61" i="16"/>
  <c r="Q61" i="16"/>
  <c r="AF30" i="13"/>
  <c r="Z55" i="12"/>
  <c r="P56" i="12"/>
  <c r="AG25" i="17"/>
  <c r="Z43" i="17"/>
  <c r="AA43" i="17" s="1"/>
  <c r="Q54" i="17"/>
  <c r="P54" i="17"/>
  <c r="AH25" i="16"/>
  <c r="Z43" i="14"/>
  <c r="Q54" i="14"/>
  <c r="P54" i="14"/>
  <c r="AF27" i="13"/>
  <c r="AG27" i="13"/>
  <c r="R68" i="11"/>
  <c r="P59" i="11"/>
  <c r="Q59" i="11"/>
  <c r="AG29" i="9"/>
  <c r="AA53" i="14"/>
  <c r="AB53" i="14" s="1"/>
  <c r="Z44" i="13"/>
  <c r="V73" i="11"/>
  <c r="P62" i="11"/>
  <c r="Q62" i="11"/>
  <c r="V89" i="11" s="1"/>
  <c r="BD7" i="8"/>
  <c r="AM7" i="8"/>
  <c r="BE7" i="8"/>
  <c r="AP7" i="8"/>
  <c r="AL7" i="8"/>
  <c r="AN7" i="8"/>
  <c r="BF7" i="8"/>
  <c r="AO7" i="8"/>
  <c r="AG27" i="17"/>
  <c r="S76" i="16"/>
  <c r="T76" i="16" s="1"/>
  <c r="AH11" i="11"/>
  <c r="AG27" i="10"/>
  <c r="Z49" i="13"/>
  <c r="AG26" i="16"/>
  <c r="AH26" i="16"/>
  <c r="AH21" i="9"/>
  <c r="AE23" i="17"/>
  <c r="AH23" i="17"/>
  <c r="Z54" i="13"/>
  <c r="Q43" i="6"/>
  <c r="Z89" i="6" s="1"/>
  <c r="P43" i="6"/>
  <c r="Z68" i="6"/>
  <c r="AG11" i="3"/>
  <c r="AE11" i="3"/>
  <c r="AH11" i="3"/>
  <c r="Q56" i="16"/>
  <c r="Z40" i="16"/>
  <c r="P56" i="16"/>
  <c r="AG20" i="11"/>
  <c r="AH27" i="5"/>
  <c r="AH20" i="4"/>
  <c r="AH25" i="4"/>
  <c r="AH27" i="3"/>
  <c r="AF23" i="10"/>
  <c r="AE11" i="6"/>
  <c r="Q61" i="2"/>
  <c r="V88" i="2" s="1"/>
  <c r="P38" i="15"/>
  <c r="AG20" i="14"/>
  <c r="AG25" i="11"/>
  <c r="AF28" i="9"/>
  <c r="AE28" i="9"/>
  <c r="X43" i="7"/>
  <c r="AN16" i="8"/>
  <c r="Z73" i="2"/>
  <c r="AF11" i="15"/>
  <c r="AH11" i="15"/>
  <c r="AG11" i="15"/>
  <c r="AE11" i="15"/>
  <c r="AF26" i="11"/>
  <c r="AE26" i="11"/>
  <c r="AF31" i="3"/>
  <c r="AE17" i="17"/>
  <c r="AT8" i="7"/>
  <c r="AU8" i="7" s="1"/>
  <c r="AG8" i="7"/>
  <c r="AH8" i="7"/>
  <c r="P38" i="17"/>
  <c r="AH4" i="15"/>
  <c r="V43" i="11"/>
  <c r="Q39" i="16"/>
  <c r="P39" i="16"/>
  <c r="Q51" i="11"/>
  <c r="V59" i="11" s="1"/>
  <c r="V38" i="11"/>
  <c r="P51" i="11"/>
  <c r="AE7" i="4"/>
  <c r="AF23" i="7"/>
  <c r="AE23" i="7"/>
  <c r="AG23" i="7"/>
  <c r="AE28" i="3"/>
  <c r="AS9" i="15"/>
  <c r="AU9" i="15" s="1"/>
  <c r="AF9" i="15"/>
  <c r="AH8" i="1"/>
  <c r="AI8" i="1"/>
  <c r="AG8" i="1"/>
  <c r="AF8" i="1"/>
  <c r="AT9" i="15"/>
  <c r="AG9" i="15"/>
  <c r="Z48" i="17"/>
  <c r="AA48" i="17" s="1"/>
  <c r="Y80" i="8"/>
  <c r="T60" i="8"/>
  <c r="Y95" i="8" s="1"/>
  <c r="Z95" i="8" s="1"/>
  <c r="S60" i="8"/>
  <c r="AE6" i="10"/>
  <c r="AE26" i="6"/>
  <c r="AF26" i="6"/>
  <c r="AG25" i="3"/>
  <c r="AG18" i="16"/>
  <c r="P42" i="12"/>
  <c r="Q42" i="12"/>
  <c r="AE14" i="2"/>
  <c r="AE7" i="15"/>
  <c r="AE5" i="7"/>
  <c r="P38" i="3"/>
  <c r="T44" i="2"/>
  <c r="P48" i="9"/>
  <c r="Q48" i="9"/>
  <c r="R38" i="9"/>
  <c r="S38" i="9" s="1"/>
  <c r="T38" i="9" s="1"/>
  <c r="Q46" i="2"/>
  <c r="P46" i="2"/>
  <c r="R43" i="12"/>
  <c r="S43" i="12" s="1"/>
  <c r="T43" i="12" s="1"/>
  <c r="AB71" i="3"/>
  <c r="AT5" i="17"/>
  <c r="AU5" i="17" s="1"/>
  <c r="AG5" i="17"/>
  <c r="AG11" i="5"/>
  <c r="V39" i="4"/>
  <c r="P52" i="4"/>
  <c r="Q52" i="4"/>
  <c r="V60" i="4" s="1"/>
  <c r="AH26" i="3"/>
  <c r="V54" i="14"/>
  <c r="W53" i="14" s="1"/>
  <c r="X53" i="14" s="1"/>
  <c r="AE15" i="11"/>
  <c r="AP24" i="8"/>
  <c r="AO24" i="8"/>
  <c r="AN24" i="8"/>
  <c r="P48" i="13"/>
  <c r="R43" i="3"/>
  <c r="S43" i="3" s="1"/>
  <c r="T43" i="3" s="1"/>
  <c r="T53" i="4"/>
  <c r="W48" i="5"/>
  <c r="X48" i="5" s="1"/>
  <c r="AT4" i="15"/>
  <c r="AG4" i="15"/>
  <c r="AE4" i="2"/>
  <c r="AH4" i="2"/>
  <c r="AT7" i="5"/>
  <c r="AG7" i="5"/>
  <c r="AS7" i="5"/>
  <c r="AU7" i="5" s="1"/>
  <c r="V66" i="13"/>
  <c r="W66" i="13" s="1"/>
  <c r="P60" i="13"/>
  <c r="Q60" i="13"/>
  <c r="V87" i="13" s="1"/>
  <c r="W87" i="13" s="1"/>
  <c r="Q60" i="9"/>
  <c r="V87" i="9" s="1"/>
  <c r="P60" i="9"/>
  <c r="V66" i="9"/>
  <c r="W66" i="9" s="1"/>
  <c r="X66" i="9" s="1"/>
  <c r="Q52" i="2"/>
  <c r="V60" i="2" s="1"/>
  <c r="W60" i="2" s="1"/>
  <c r="X60" i="2" s="1"/>
  <c r="P52" i="2"/>
  <c r="V39" i="2"/>
  <c r="W39" i="2" s="1"/>
  <c r="P57" i="14"/>
  <c r="Q57" i="14"/>
  <c r="R66" i="14"/>
  <c r="S66" i="14" s="1"/>
  <c r="AF28" i="15"/>
  <c r="AG28" i="15"/>
  <c r="AF22" i="17"/>
  <c r="AE22" i="17"/>
  <c r="AG22" i="17"/>
  <c r="Q50" i="5"/>
  <c r="R40" i="5"/>
  <c r="P50" i="5"/>
  <c r="P44" i="12"/>
  <c r="Q44" i="12"/>
  <c r="AH30" i="17"/>
  <c r="AF11" i="10"/>
  <c r="AG11" i="10"/>
  <c r="AT9" i="6"/>
  <c r="AG9" i="6"/>
  <c r="X71" i="3"/>
  <c r="AF5" i="6"/>
  <c r="AH5" i="6"/>
  <c r="AE5" i="6"/>
  <c r="R38" i="17"/>
  <c r="P48" i="17"/>
  <c r="Q48" i="17"/>
  <c r="R59" i="17" s="1"/>
  <c r="AE6" i="4"/>
  <c r="AG6" i="4"/>
  <c r="AS6" i="5"/>
  <c r="AF6" i="5"/>
  <c r="AG6" i="5"/>
  <c r="AT6" i="5"/>
  <c r="AS6" i="11"/>
  <c r="AF6" i="11"/>
  <c r="AE7" i="2"/>
  <c r="AF7" i="2"/>
  <c r="AH7" i="2"/>
  <c r="V81" i="16"/>
  <c r="W81" i="16" s="1"/>
  <c r="X81" i="16" s="1"/>
  <c r="Q42" i="10"/>
  <c r="V88" i="10" s="1"/>
  <c r="P42" i="10"/>
  <c r="S43" i="9"/>
  <c r="T43" i="9" s="1"/>
  <c r="R40" i="2"/>
  <c r="P50" i="2"/>
  <c r="Q50" i="2"/>
  <c r="R61" i="2" s="1"/>
  <c r="P63" i="4"/>
  <c r="Z66" i="4"/>
  <c r="AA66" i="4" s="1"/>
  <c r="Q63" i="4"/>
  <c r="AG28" i="14"/>
  <c r="Q64" i="11"/>
  <c r="Z67" i="11"/>
  <c r="P64" i="11"/>
  <c r="AM31" i="8"/>
  <c r="AP31" i="8"/>
  <c r="AN31" i="8"/>
  <c r="AO31" i="8"/>
  <c r="V66" i="5"/>
  <c r="W66" i="5" s="1"/>
  <c r="X66" i="5" s="1"/>
  <c r="P60" i="5"/>
  <c r="Q60" i="5"/>
  <c r="AH28" i="3"/>
  <c r="Q44" i="13"/>
  <c r="P44" i="13"/>
  <c r="AE30" i="5"/>
  <c r="AF30" i="5"/>
  <c r="Q50" i="17"/>
  <c r="R61" i="17" s="1"/>
  <c r="P50" i="17"/>
  <c r="R40" i="17"/>
  <c r="V71" i="5"/>
  <c r="P42" i="5"/>
  <c r="Q42" i="5"/>
  <c r="V88" i="5" s="1"/>
  <c r="R88" i="15"/>
  <c r="P50" i="4"/>
  <c r="R40" i="4"/>
  <c r="Q50" i="4"/>
  <c r="R61" i="4" s="1"/>
  <c r="Q60" i="17"/>
  <c r="P60" i="17"/>
  <c r="V66" i="17"/>
  <c r="Z50" i="17"/>
  <c r="Q56" i="17"/>
  <c r="AF11" i="13"/>
  <c r="AG11" i="13"/>
  <c r="AE11" i="13"/>
  <c r="Q43" i="4"/>
  <c r="P43" i="4"/>
  <c r="AH25" i="12"/>
  <c r="P59" i="9"/>
  <c r="R68" i="9"/>
  <c r="Q59" i="9"/>
  <c r="R89" i="9" s="1"/>
  <c r="Q58" i="16"/>
  <c r="R88" i="16" s="1"/>
  <c r="R67" i="16"/>
  <c r="P58" i="16"/>
  <c r="W77" i="2"/>
  <c r="X77" i="2" s="1"/>
  <c r="Z40" i="7"/>
  <c r="P56" i="7"/>
  <c r="Q56" i="7"/>
  <c r="Z61" i="7" s="1"/>
  <c r="P61" i="4"/>
  <c r="AL25" i="8"/>
  <c r="AA53" i="3"/>
  <c r="AB53" i="3" s="1"/>
  <c r="AF16" i="7"/>
  <c r="AG16" i="7"/>
  <c r="V50" i="16"/>
  <c r="P50" i="14"/>
  <c r="Q50" i="14"/>
  <c r="R61" i="14" s="1"/>
  <c r="R40" i="14"/>
  <c r="AT8" i="6"/>
  <c r="AG8" i="6"/>
  <c r="AS8" i="6"/>
  <c r="AU8" i="6" s="1"/>
  <c r="AE24" i="7"/>
  <c r="AF24" i="7"/>
  <c r="AH23" i="5"/>
  <c r="Q50" i="15"/>
  <c r="R61" i="15" s="1"/>
  <c r="P50" i="15"/>
  <c r="R40" i="15"/>
  <c r="AE7" i="14"/>
  <c r="AF7" i="14"/>
  <c r="AG7" i="14"/>
  <c r="AG17" i="13"/>
  <c r="V45" i="2"/>
  <c r="P53" i="2"/>
  <c r="Q53" i="2"/>
  <c r="V61" i="2" s="1"/>
  <c r="AN25" i="8"/>
  <c r="AT7" i="11"/>
  <c r="AG7" i="11"/>
  <c r="AE24" i="3"/>
  <c r="Z50" i="16"/>
  <c r="Q49" i="17"/>
  <c r="R60" i="17" s="1"/>
  <c r="R39" i="17"/>
  <c r="P49" i="17"/>
  <c r="Z48" i="9"/>
  <c r="P54" i="9"/>
  <c r="V40" i="10"/>
  <c r="Q53" i="10"/>
  <c r="V61" i="10" s="1"/>
  <c r="P53" i="10"/>
  <c r="Q39" i="14"/>
  <c r="P39" i="14"/>
  <c r="P58" i="12"/>
  <c r="Q58" i="12"/>
  <c r="R88" i="12" s="1"/>
  <c r="R67" i="12"/>
  <c r="W48" i="10"/>
  <c r="X48" i="10" s="1"/>
  <c r="P38" i="9"/>
  <c r="Q38" i="9"/>
  <c r="P48" i="7"/>
  <c r="R38" i="7"/>
  <c r="Q48" i="7"/>
  <c r="R59" i="7" s="1"/>
  <c r="U39" i="8"/>
  <c r="S49" i="8"/>
  <c r="T49" i="8"/>
  <c r="U64" i="8" s="1"/>
  <c r="AB43" i="5"/>
  <c r="V83" i="2"/>
  <c r="P56" i="11"/>
  <c r="Z40" i="11"/>
  <c r="Q56" i="11"/>
  <c r="Z67" i="3"/>
  <c r="Q64" i="3"/>
  <c r="P64" i="3"/>
  <c r="Q43" i="15"/>
  <c r="P43" i="15"/>
  <c r="P45" i="10"/>
  <c r="Q45" i="10"/>
  <c r="AB53" i="15"/>
  <c r="P55" i="5"/>
  <c r="Z39" i="5"/>
  <c r="Q55" i="5"/>
  <c r="V83" i="17"/>
  <c r="P62" i="17"/>
  <c r="P55" i="15"/>
  <c r="Q55" i="15"/>
  <c r="Z39" i="15"/>
  <c r="Q64" i="9"/>
  <c r="Z88" i="9" s="1"/>
  <c r="Z67" i="9"/>
  <c r="P64" i="9"/>
  <c r="P33" i="1"/>
  <c r="Q33" i="1"/>
  <c r="Q61" i="14"/>
  <c r="V67" i="14"/>
  <c r="P61" i="14"/>
  <c r="Q42" i="1"/>
  <c r="V50" i="1" s="1"/>
  <c r="V29" i="1"/>
  <c r="P42" i="1"/>
  <c r="AE20" i="17"/>
  <c r="R82" i="14"/>
  <c r="S81" i="14" s="1"/>
  <c r="AF26" i="13"/>
  <c r="AH27" i="15"/>
  <c r="V73" i="16"/>
  <c r="Q34" i="1"/>
  <c r="P34" i="1"/>
  <c r="P63" i="14"/>
  <c r="Q63" i="14"/>
  <c r="Z66" i="14"/>
  <c r="Z40" i="4"/>
  <c r="Q56" i="4"/>
  <c r="Z61" i="4" s="1"/>
  <c r="P56" i="4"/>
  <c r="AH20" i="14"/>
  <c r="P55" i="10"/>
  <c r="Z39" i="10"/>
  <c r="Q55" i="10"/>
  <c r="Z60" i="10" s="1"/>
  <c r="AF28" i="11"/>
  <c r="AE28" i="11"/>
  <c r="AH11" i="10"/>
  <c r="AG21" i="13"/>
  <c r="W85" i="8"/>
  <c r="AA53" i="12"/>
  <c r="AB53" i="12" s="1"/>
  <c r="AE9" i="6"/>
  <c r="AH21" i="7"/>
  <c r="AE21" i="7"/>
  <c r="T56" i="8"/>
  <c r="S56" i="8"/>
  <c r="AC40" i="8"/>
  <c r="R89" i="6"/>
  <c r="BD5" i="8"/>
  <c r="AM5" i="8"/>
  <c r="AL5" i="8"/>
  <c r="AO5" i="8"/>
  <c r="V82" i="14"/>
  <c r="Q63" i="11"/>
  <c r="Z66" i="11"/>
  <c r="AA66" i="11" s="1"/>
  <c r="AB66" i="11" s="1"/>
  <c r="P63" i="11"/>
  <c r="R67" i="6"/>
  <c r="Q58" i="6"/>
  <c r="R88" i="6" s="1"/>
  <c r="P58" i="6"/>
  <c r="AH15" i="17"/>
  <c r="R39" i="16"/>
  <c r="Q49" i="16"/>
  <c r="R60" i="16" s="1"/>
  <c r="P49" i="16"/>
  <c r="AE25" i="15"/>
  <c r="AN10" i="8"/>
  <c r="R45" i="16"/>
  <c r="V73" i="10"/>
  <c r="X71" i="13"/>
  <c r="Y81" i="8"/>
  <c r="V43" i="16"/>
  <c r="W43" i="16" s="1"/>
  <c r="W81" i="9"/>
  <c r="X81" i="9" s="1"/>
  <c r="Z38" i="7"/>
  <c r="AA38" i="7" s="1"/>
  <c r="P54" i="7"/>
  <c r="Q54" i="7"/>
  <c r="Z59" i="7" s="1"/>
  <c r="P60" i="2"/>
  <c r="Q60" i="2"/>
  <c r="R90" i="2" s="1"/>
  <c r="R69" i="2"/>
  <c r="AA49" i="2"/>
  <c r="AB49" i="2" s="1"/>
  <c r="Q59" i="2"/>
  <c r="R89" i="2" s="1"/>
  <c r="R68" i="2"/>
  <c r="P59" i="2"/>
  <c r="AB81" i="16"/>
  <c r="T77" i="2"/>
  <c r="Q63" i="15"/>
  <c r="Z87" i="15" s="1"/>
  <c r="AA87" i="15" s="1"/>
  <c r="Z66" i="15"/>
  <c r="AA66" i="15" s="1"/>
  <c r="AB66" i="15" s="1"/>
  <c r="P63" i="15"/>
  <c r="AA71" i="6"/>
  <c r="AB71" i="6" s="1"/>
  <c r="Z81" i="3"/>
  <c r="AA81" i="3" s="1"/>
  <c r="AB81" i="3" s="1"/>
  <c r="R34" i="1"/>
  <c r="Q58" i="17"/>
  <c r="R67" i="17"/>
  <c r="P58" i="17"/>
  <c r="AG10" i="11"/>
  <c r="W81" i="17"/>
  <c r="X81" i="17" s="1"/>
  <c r="Q64" i="14"/>
  <c r="Z67" i="14"/>
  <c r="P64" i="14"/>
  <c r="Q54" i="12"/>
  <c r="Z38" i="12"/>
  <c r="P54" i="12"/>
  <c r="R38" i="1"/>
  <c r="AF24" i="15"/>
  <c r="AH28" i="13"/>
  <c r="P45" i="4"/>
  <c r="Q45" i="4"/>
  <c r="AH11" i="14"/>
  <c r="Z49" i="12"/>
  <c r="W81" i="10"/>
  <c r="X81" i="10" s="1"/>
  <c r="AE25" i="17"/>
  <c r="AH25" i="17"/>
  <c r="AF31" i="13"/>
  <c r="Y38" i="8"/>
  <c r="Z38" i="8" s="1"/>
  <c r="AA38" i="8" s="1"/>
  <c r="T51" i="8"/>
  <c r="Y63" i="8" s="1"/>
  <c r="Z63" i="8" s="1"/>
  <c r="AA63" i="8" s="1"/>
  <c r="S51" i="8"/>
  <c r="AG27" i="11"/>
  <c r="AM23" i="8"/>
  <c r="AN23" i="8"/>
  <c r="AL23" i="8"/>
  <c r="AP23" i="8"/>
  <c r="AO23" i="8"/>
  <c r="AF21" i="17"/>
  <c r="AH21" i="17"/>
  <c r="AF22" i="10"/>
  <c r="AE22" i="15"/>
  <c r="AH22" i="15"/>
  <c r="P61" i="10"/>
  <c r="AE27" i="12"/>
  <c r="AH27" i="12"/>
  <c r="AE10" i="12"/>
  <c r="Z60" i="7"/>
  <c r="AG20" i="15"/>
  <c r="AB48" i="11"/>
  <c r="V82" i="5"/>
  <c r="W81" i="5" s="1"/>
  <c r="X81" i="5" s="1"/>
  <c r="Q61" i="3"/>
  <c r="V88" i="3" s="1"/>
  <c r="V67" i="3"/>
  <c r="P61" i="3"/>
  <c r="Q51" i="15"/>
  <c r="P51" i="15"/>
  <c r="V38" i="15"/>
  <c r="AT5" i="15"/>
  <c r="AG5" i="15"/>
  <c r="AS5" i="15"/>
  <c r="AU5" i="15" s="1"/>
  <c r="R71" i="10"/>
  <c r="P57" i="10"/>
  <c r="Q58" i="10"/>
  <c r="R88" i="10" s="1"/>
  <c r="P58" i="10"/>
  <c r="R67" i="10"/>
  <c r="S66" i="10" s="1"/>
  <c r="T66" i="10" s="1"/>
  <c r="AE30" i="7"/>
  <c r="P65" i="6"/>
  <c r="Q45" i="6"/>
  <c r="P45" i="6"/>
  <c r="AF24" i="2"/>
  <c r="AH24" i="2"/>
  <c r="AH30" i="13"/>
  <c r="AE16" i="7"/>
  <c r="AG27" i="4"/>
  <c r="AG11" i="4"/>
  <c r="AT7" i="7"/>
  <c r="AG7" i="7"/>
  <c r="AS7" i="7"/>
  <c r="AF7" i="7"/>
  <c r="AH7" i="7"/>
  <c r="AS7" i="4"/>
  <c r="AF7" i="4"/>
  <c r="Q43" i="2"/>
  <c r="P43" i="2"/>
  <c r="AF14" i="14"/>
  <c r="AE17" i="11"/>
  <c r="P41" i="4"/>
  <c r="Q41" i="4"/>
  <c r="R87" i="4" s="1"/>
  <c r="R66" i="4"/>
  <c r="S71" i="7"/>
  <c r="T71" i="7" s="1"/>
  <c r="BD6" i="8"/>
  <c r="AM6" i="8"/>
  <c r="AL6" i="8"/>
  <c r="AP6" i="8"/>
  <c r="BE6" i="8"/>
  <c r="BF6" i="8"/>
  <c r="AN6" i="8"/>
  <c r="AF18" i="10"/>
  <c r="R55" i="3"/>
  <c r="AH11" i="6"/>
  <c r="AF22" i="3"/>
  <c r="AF25" i="10"/>
  <c r="AH5" i="12"/>
  <c r="Q51" i="5"/>
  <c r="V59" i="5" s="1"/>
  <c r="P51" i="5"/>
  <c r="V38" i="5"/>
  <c r="AE8" i="11"/>
  <c r="Q60" i="6"/>
  <c r="V66" i="6"/>
  <c r="P60" i="6"/>
  <c r="R78" i="3"/>
  <c r="AG17" i="10"/>
  <c r="R39" i="2"/>
  <c r="S39" i="2" s="1"/>
  <c r="T39" i="2" s="1"/>
  <c r="Q49" i="2"/>
  <c r="R60" i="2" s="1"/>
  <c r="S60" i="2" s="1"/>
  <c r="T60" i="2" s="1"/>
  <c r="P49" i="2"/>
  <c r="Q45" i="3"/>
  <c r="AE21" i="2"/>
  <c r="AG9" i="5"/>
  <c r="Q38" i="3"/>
  <c r="AF31" i="12"/>
  <c r="Q45" i="9"/>
  <c r="P45" i="9"/>
  <c r="AH22" i="3"/>
  <c r="AS9" i="12"/>
  <c r="AF9" i="12"/>
  <c r="AT9" i="12"/>
  <c r="AG14" i="5"/>
  <c r="W81" i="3"/>
  <c r="X81" i="3" s="1"/>
  <c r="AS5" i="3"/>
  <c r="AF5" i="12"/>
  <c r="AH18" i="11"/>
  <c r="T81" i="9"/>
  <c r="AS4" i="5"/>
  <c r="AF4" i="5"/>
  <c r="P43" i="3"/>
  <c r="Q43" i="3"/>
  <c r="R53" i="11"/>
  <c r="AH6" i="5"/>
  <c r="AB53" i="10"/>
  <c r="R73" i="16"/>
  <c r="Q54" i="13"/>
  <c r="P54" i="13"/>
  <c r="Z38" i="13"/>
  <c r="AA38" i="13" s="1"/>
  <c r="AG28" i="9"/>
  <c r="V68" i="13"/>
  <c r="Q62" i="13"/>
  <c r="V89" i="13" s="1"/>
  <c r="P62" i="13"/>
  <c r="AG10" i="10"/>
  <c r="Z44" i="15"/>
  <c r="AA43" i="15" s="1"/>
  <c r="AB43" i="15" s="1"/>
  <c r="R67" i="11"/>
  <c r="Q58" i="11"/>
  <c r="P58" i="11"/>
  <c r="R68" i="14"/>
  <c r="Q59" i="14"/>
  <c r="P59" i="14"/>
  <c r="AH23" i="10"/>
  <c r="AG11" i="9"/>
  <c r="T55" i="8"/>
  <c r="S55" i="8"/>
  <c r="AC39" i="8"/>
  <c r="AD38" i="8" s="1"/>
  <c r="AE38" i="8" s="1"/>
  <c r="AE23" i="16"/>
  <c r="AG30" i="2"/>
  <c r="AF10" i="6"/>
  <c r="AG15" i="15"/>
  <c r="AG26" i="6"/>
  <c r="Q39" i="15"/>
  <c r="P39" i="15"/>
  <c r="AH26" i="9"/>
  <c r="AC71" i="8"/>
  <c r="T64" i="8"/>
  <c r="AC96" i="8" s="1"/>
  <c r="S64" i="8"/>
  <c r="AH30" i="4"/>
  <c r="AG17" i="16"/>
  <c r="W71" i="11"/>
  <c r="P41" i="2"/>
  <c r="Q41" i="2"/>
  <c r="AF17" i="3"/>
  <c r="AH15" i="10"/>
  <c r="P56" i="9"/>
  <c r="Q56" i="9"/>
  <c r="Z40" i="9"/>
  <c r="R76" i="5"/>
  <c r="S76" i="5" s="1"/>
  <c r="T76" i="5" s="1"/>
  <c r="AH14" i="2"/>
  <c r="AF19" i="16"/>
  <c r="AE8" i="15"/>
  <c r="AT9" i="4"/>
  <c r="AG9" i="4"/>
  <c r="Q44" i="3"/>
  <c r="P44" i="3"/>
  <c r="AS7" i="11"/>
  <c r="AU7" i="11" s="1"/>
  <c r="AF7" i="11"/>
  <c r="V41" i="2"/>
  <c r="Q54" i="2"/>
  <c r="V62" i="2" s="1"/>
  <c r="P54" i="2"/>
  <c r="AG25" i="4"/>
  <c r="P41" i="13"/>
  <c r="Q41" i="13"/>
  <c r="Q42" i="17"/>
  <c r="V89" i="17" s="1"/>
  <c r="P42" i="17"/>
  <c r="AE15" i="4"/>
  <c r="V72" i="5"/>
  <c r="V49" i="16"/>
  <c r="X48" i="7"/>
  <c r="R81" i="5"/>
  <c r="AF24" i="3"/>
  <c r="P43" i="13"/>
  <c r="Q43" i="13"/>
  <c r="V54" i="4"/>
  <c r="Q57" i="2"/>
  <c r="P57" i="2"/>
  <c r="Z41" i="2"/>
  <c r="AS9" i="11"/>
  <c r="AU9" i="11" s="1"/>
  <c r="AF9" i="11"/>
  <c r="AG10" i="12"/>
  <c r="AH18" i="16"/>
  <c r="AG28" i="7"/>
  <c r="AF28" i="7"/>
  <c r="AF28" i="2"/>
  <c r="R49" i="9"/>
  <c r="AH22" i="2"/>
  <c r="AE7" i="16"/>
  <c r="AE18" i="14"/>
  <c r="AH6" i="10"/>
  <c r="S48" i="6"/>
  <c r="T48" i="6" s="1"/>
  <c r="AG14" i="4"/>
  <c r="AE17" i="13"/>
  <c r="AE6" i="11"/>
  <c r="AH29" i="2"/>
  <c r="T53" i="6"/>
  <c r="V54" i="11"/>
  <c r="W53" i="11" s="1"/>
  <c r="X53" i="11" s="1"/>
  <c r="AT4" i="3"/>
  <c r="AG4" i="3"/>
  <c r="AS5" i="10"/>
  <c r="AU5" i="10" s="1"/>
  <c r="AF5" i="10"/>
  <c r="AF15" i="2"/>
  <c r="AE9" i="10"/>
  <c r="AH16" i="2"/>
  <c r="AE7" i="5"/>
  <c r="P39" i="2"/>
  <c r="Q39" i="2"/>
  <c r="AG25" i="2"/>
  <c r="AF15" i="10"/>
  <c r="AH10" i="2"/>
  <c r="AF7" i="9"/>
  <c r="AM7" i="9" s="1"/>
  <c r="R49" i="10"/>
  <c r="S48" i="10" s="1"/>
  <c r="AU9" i="4"/>
  <c r="AH24" i="15"/>
  <c r="AF20" i="15"/>
  <c r="AG23" i="12"/>
  <c r="AF31" i="17"/>
  <c r="AG31" i="13"/>
  <c r="AG20" i="13"/>
  <c r="Q57" i="12"/>
  <c r="R87" i="12" s="1"/>
  <c r="S87" i="12" s="1"/>
  <c r="P57" i="12"/>
  <c r="R66" i="12"/>
  <c r="AG24" i="17"/>
  <c r="AE31" i="13"/>
  <c r="AF23" i="12"/>
  <c r="AE26" i="15"/>
  <c r="AH24" i="11"/>
  <c r="S76" i="14"/>
  <c r="T76" i="14" s="1"/>
  <c r="AE29" i="9"/>
  <c r="AF29" i="9"/>
  <c r="P60" i="11"/>
  <c r="AE21" i="14"/>
  <c r="AG26" i="11"/>
  <c r="AG24" i="10"/>
  <c r="BE5" i="8"/>
  <c r="AN5" i="8"/>
  <c r="AO19" i="8"/>
  <c r="P64" i="16"/>
  <c r="Q64" i="16"/>
  <c r="Z88" i="16" s="1"/>
  <c r="Z67" i="16"/>
  <c r="Q62" i="14"/>
  <c r="P62" i="14"/>
  <c r="V68" i="14"/>
  <c r="AG25" i="13"/>
  <c r="AH30" i="11"/>
  <c r="AH20" i="16"/>
  <c r="Z43" i="13"/>
  <c r="S81" i="10"/>
  <c r="T81" i="10" s="1"/>
  <c r="AE11" i="17"/>
  <c r="AF11" i="17"/>
  <c r="AG30" i="10"/>
  <c r="AE15" i="7"/>
  <c r="Z67" i="6"/>
  <c r="P64" i="6"/>
  <c r="Q64" i="6"/>
  <c r="Z44" i="9"/>
  <c r="AN19" i="8"/>
  <c r="Z46" i="2"/>
  <c r="AB44" i="2" s="1"/>
  <c r="AG18" i="14"/>
  <c r="Q65" i="14"/>
  <c r="P65" i="14"/>
  <c r="Z68" i="14"/>
  <c r="AF27" i="6"/>
  <c r="AG24" i="5"/>
  <c r="Z82" i="4"/>
  <c r="AA81" i="4" s="1"/>
  <c r="AE15" i="15"/>
  <c r="AB81" i="13"/>
  <c r="AG20" i="9"/>
  <c r="R49" i="7"/>
  <c r="AD58" i="8"/>
  <c r="AE58" i="8" s="1"/>
  <c r="AF25" i="5"/>
  <c r="AH28" i="4"/>
  <c r="V71" i="4"/>
  <c r="W71" i="4" s="1"/>
  <c r="X71" i="4" s="1"/>
  <c r="V48" i="16"/>
  <c r="W48" i="16" s="1"/>
  <c r="X48" i="16" s="1"/>
  <c r="AH7" i="16"/>
  <c r="AG11" i="16"/>
  <c r="Q59" i="13"/>
  <c r="P59" i="13"/>
  <c r="R68" i="13"/>
  <c r="AF10" i="11"/>
  <c r="P45" i="7"/>
  <c r="Q45" i="7"/>
  <c r="AF31" i="6"/>
  <c r="AH17" i="5"/>
  <c r="AF29" i="4"/>
  <c r="AE29" i="4"/>
  <c r="AH31" i="3"/>
  <c r="R76" i="3"/>
  <c r="S76" i="3" s="1"/>
  <c r="AE16" i="17"/>
  <c r="AT7" i="16"/>
  <c r="AG7" i="16"/>
  <c r="AH6" i="15"/>
  <c r="AS7" i="13"/>
  <c r="AF7" i="13"/>
  <c r="AH6" i="9"/>
  <c r="AE6" i="9"/>
  <c r="AM6" i="9" s="1"/>
  <c r="AG19" i="3"/>
  <c r="AF4" i="1"/>
  <c r="AI4" i="1"/>
  <c r="AF23" i="6"/>
  <c r="AG31" i="2"/>
  <c r="AT4" i="16"/>
  <c r="AG4" i="16"/>
  <c r="V55" i="12"/>
  <c r="S38" i="6"/>
  <c r="T38" i="6" s="1"/>
  <c r="W43" i="3"/>
  <c r="X43" i="3" s="1"/>
  <c r="S48" i="3"/>
  <c r="T48" i="3" s="1"/>
  <c r="AE28" i="10"/>
  <c r="AF28" i="10"/>
  <c r="AH30" i="7"/>
  <c r="AH7" i="6"/>
  <c r="AE31" i="4"/>
  <c r="AE30" i="3"/>
  <c r="AF23" i="3"/>
  <c r="V45" i="16"/>
  <c r="V38" i="12"/>
  <c r="W38" i="12" s="1"/>
  <c r="X38" i="12" s="1"/>
  <c r="Q51" i="12"/>
  <c r="V59" i="12" s="1"/>
  <c r="W59" i="12" s="1"/>
  <c r="P51" i="12"/>
  <c r="AF17" i="10"/>
  <c r="V55" i="9"/>
  <c r="AF18" i="5"/>
  <c r="AG18" i="2"/>
  <c r="AH19" i="7"/>
  <c r="AH31" i="4"/>
  <c r="AH27" i="2"/>
  <c r="Q40" i="16"/>
  <c r="Z60" i="16" s="1"/>
  <c r="P40" i="16"/>
  <c r="AE15" i="2"/>
  <c r="AF10" i="7"/>
  <c r="AG10" i="7"/>
  <c r="R78" i="4"/>
  <c r="AG18" i="12"/>
  <c r="AH15" i="9"/>
  <c r="AH17" i="4"/>
  <c r="Q64" i="10"/>
  <c r="Z67" i="10"/>
  <c r="AA66" i="10" s="1"/>
  <c r="P64" i="10"/>
  <c r="AE27" i="6"/>
  <c r="AH20" i="3"/>
  <c r="AS4" i="17"/>
  <c r="AU4" i="17" s="1"/>
  <c r="AF4" i="17"/>
  <c r="AG18" i="10"/>
  <c r="Q49" i="4"/>
  <c r="R60" i="4" s="1"/>
  <c r="P49" i="4"/>
  <c r="R39" i="4"/>
  <c r="AG26" i="12"/>
  <c r="AF10" i="5"/>
  <c r="AH20" i="2"/>
  <c r="AH8" i="16"/>
  <c r="AF17" i="12"/>
  <c r="BF9" i="8"/>
  <c r="AP9" i="8"/>
  <c r="AO9" i="8"/>
  <c r="AV9" i="8" s="1"/>
  <c r="AF27" i="4"/>
  <c r="AE25" i="2"/>
  <c r="Q40" i="15"/>
  <c r="P40" i="15"/>
  <c r="AH16" i="14"/>
  <c r="P40" i="14"/>
  <c r="Q40" i="14"/>
  <c r="AT7" i="13"/>
  <c r="AG7" i="13"/>
  <c r="AG24" i="4"/>
  <c r="P52" i="15"/>
  <c r="V39" i="15"/>
  <c r="Q52" i="15"/>
  <c r="AS6" i="4"/>
  <c r="AU6" i="4" s="1"/>
  <c r="AF6" i="4"/>
  <c r="AH25" i="6"/>
  <c r="AG19" i="17"/>
  <c r="Z48" i="5"/>
  <c r="W53" i="5"/>
  <c r="X53" i="5" s="1"/>
  <c r="AF17" i="2"/>
  <c r="AE15" i="13"/>
  <c r="AT4" i="11"/>
  <c r="AG4" i="11"/>
  <c r="R39" i="5"/>
  <c r="Q49" i="5"/>
  <c r="R60" i="5" s="1"/>
  <c r="P49" i="5"/>
  <c r="AH18" i="2"/>
  <c r="AG20" i="10"/>
  <c r="W81" i="7"/>
  <c r="X81" i="7" s="1"/>
  <c r="AE8" i="6"/>
  <c r="AF8" i="6"/>
  <c r="Z44" i="4"/>
  <c r="AA43" i="4" s="1"/>
  <c r="AB43" i="4" s="1"/>
  <c r="AH29" i="3"/>
  <c r="AE21" i="3"/>
  <c r="V39" i="14"/>
  <c r="Q52" i="14"/>
  <c r="V60" i="14" s="1"/>
  <c r="P52" i="14"/>
  <c r="AG17" i="11"/>
  <c r="AE9" i="11"/>
  <c r="AE16" i="10"/>
  <c r="S48" i="4"/>
  <c r="T48" i="4" s="1"/>
  <c r="R55" i="15"/>
  <c r="AH4" i="12"/>
  <c r="AH16" i="9"/>
  <c r="AE17" i="4"/>
  <c r="V38" i="13"/>
  <c r="Q51" i="13"/>
  <c r="V59" i="13" s="1"/>
  <c r="P51" i="13"/>
  <c r="AH9" i="7"/>
  <c r="AE22" i="5"/>
  <c r="AA82" i="2"/>
  <c r="AB82" i="2" s="1"/>
  <c r="P53" i="15"/>
  <c r="Q53" i="15"/>
  <c r="V40" i="15"/>
  <c r="AF18" i="12"/>
  <c r="AF19" i="9"/>
  <c r="AE10" i="10"/>
  <c r="AS9" i="6"/>
  <c r="AU9" i="6" s="1"/>
  <c r="AF9" i="6"/>
  <c r="AT7" i="15"/>
  <c r="AG7" i="15"/>
  <c r="AF19" i="12"/>
  <c r="R39" i="3"/>
  <c r="Q49" i="3"/>
  <c r="R60" i="3" s="1"/>
  <c r="P49" i="3"/>
  <c r="V55" i="17"/>
  <c r="Q43" i="10"/>
  <c r="Z87" i="10" s="1"/>
  <c r="P43" i="10"/>
  <c r="AU7" i="2"/>
  <c r="AV7" i="2" s="1"/>
  <c r="AG7" i="2"/>
  <c r="AF16" i="9"/>
  <c r="Q41" i="7"/>
  <c r="R89" i="7" s="1"/>
  <c r="P41" i="7"/>
  <c r="AE22" i="3"/>
  <c r="AE8" i="7"/>
  <c r="V48" i="4"/>
  <c r="W48" i="4" s="1"/>
  <c r="X48" i="4" s="1"/>
  <c r="AS4" i="9"/>
  <c r="AU4" i="9" s="1"/>
  <c r="AF4" i="9"/>
  <c r="AE4" i="9"/>
  <c r="AM4" i="9" s="1"/>
  <c r="AF17" i="4"/>
  <c r="AT4" i="5"/>
  <c r="AG4" i="5"/>
  <c r="AE17" i="2"/>
  <c r="V45" i="4"/>
  <c r="AT6" i="7"/>
  <c r="AU6" i="7" s="1"/>
  <c r="AG6" i="7"/>
  <c r="AE19" i="4"/>
  <c r="AS5" i="11"/>
  <c r="AU5" i="11" s="1"/>
  <c r="AF5" i="11"/>
  <c r="AN22" i="8"/>
  <c r="Z73" i="13"/>
  <c r="Y82" i="8"/>
  <c r="Z45" i="16"/>
  <c r="AF22" i="12"/>
  <c r="Z43" i="8"/>
  <c r="AA43" i="8" s="1"/>
  <c r="Q54" i="10"/>
  <c r="Z59" i="10" s="1"/>
  <c r="AA59" i="10" s="1"/>
  <c r="AB59" i="10" s="1"/>
  <c r="P54" i="10"/>
  <c r="Z38" i="10"/>
  <c r="AA38" i="10" s="1"/>
  <c r="Q59" i="12"/>
  <c r="R89" i="12" s="1"/>
  <c r="R68" i="12"/>
  <c r="P59" i="12"/>
  <c r="AE30" i="6"/>
  <c r="AF16" i="16"/>
  <c r="AF21" i="9"/>
  <c r="AA53" i="4"/>
  <c r="AB53" i="4" s="1"/>
  <c r="AF22" i="2"/>
  <c r="AG27" i="3"/>
  <c r="AH23" i="6"/>
  <c r="AF26" i="4"/>
  <c r="AE15" i="17"/>
  <c r="AT6" i="15"/>
  <c r="AG6" i="15"/>
  <c r="AE25" i="13"/>
  <c r="S48" i="16"/>
  <c r="T48" i="16" s="1"/>
  <c r="AL22" i="8"/>
  <c r="AT9" i="14"/>
  <c r="AG9" i="14"/>
  <c r="AG22" i="7"/>
  <c r="AS7" i="17"/>
  <c r="AU7" i="17" s="1"/>
  <c r="AF7" i="17"/>
  <c r="AT5" i="12"/>
  <c r="AU5" i="12" s="1"/>
  <c r="AG5" i="12"/>
  <c r="R67" i="5"/>
  <c r="P58" i="5"/>
  <c r="Q58" i="5"/>
  <c r="R88" i="5" s="1"/>
  <c r="AE6" i="16"/>
  <c r="AH17" i="12"/>
  <c r="AH9" i="16"/>
  <c r="AH18" i="5"/>
  <c r="AF17" i="14"/>
  <c r="AG27" i="14"/>
  <c r="AF27" i="14"/>
  <c r="AH9" i="6"/>
  <c r="P64" i="2"/>
  <c r="Z67" i="2"/>
  <c r="Q64" i="2"/>
  <c r="Z88" i="2" s="1"/>
  <c r="AT5" i="16"/>
  <c r="AU5" i="16" s="1"/>
  <c r="AG5" i="16"/>
  <c r="AE6" i="15"/>
  <c r="AE6" i="14"/>
  <c r="AT6" i="11"/>
  <c r="AG6" i="11"/>
  <c r="AE18" i="15"/>
  <c r="AF14" i="11"/>
  <c r="AF24" i="14"/>
  <c r="AE16" i="4"/>
  <c r="AG20" i="5"/>
  <c r="AT8" i="12"/>
  <c r="AU8" i="12" s="1"/>
  <c r="AG8" i="12"/>
  <c r="AH29" i="5"/>
  <c r="Q51" i="3"/>
  <c r="V38" i="3"/>
  <c r="P51" i="3"/>
  <c r="AF21" i="4"/>
  <c r="AH4" i="17"/>
  <c r="R48" i="11"/>
  <c r="S48" i="11" s="1"/>
  <c r="AH16" i="15"/>
  <c r="AE19" i="15"/>
  <c r="Q48" i="11"/>
  <c r="R38" i="11"/>
  <c r="P48" i="11"/>
  <c r="AF24" i="5"/>
  <c r="Q40" i="13"/>
  <c r="P40" i="13"/>
  <c r="P40" i="9"/>
  <c r="Q40" i="9"/>
  <c r="Z59" i="9" s="1"/>
  <c r="AE15" i="3"/>
  <c r="AH7" i="4"/>
  <c r="AH19" i="17"/>
  <c r="AH4" i="6"/>
  <c r="AE7" i="7"/>
  <c r="AG31" i="12"/>
  <c r="Z45" i="17"/>
  <c r="V76" i="14"/>
  <c r="W76" i="14" s="1"/>
  <c r="X76" i="14" s="1"/>
  <c r="AF24" i="17"/>
  <c r="P64" i="12"/>
  <c r="Q61" i="11"/>
  <c r="V88" i="11" s="1"/>
  <c r="AH11" i="17"/>
  <c r="AF28" i="14"/>
  <c r="Q45" i="12"/>
  <c r="P45" i="12"/>
  <c r="AE21" i="16"/>
  <c r="AE22" i="14"/>
  <c r="AE28" i="17"/>
  <c r="AE24" i="14"/>
  <c r="AF10" i="15"/>
  <c r="AG21" i="11"/>
  <c r="AE22" i="12"/>
  <c r="AP27" i="8"/>
  <c r="AM27" i="8"/>
  <c r="AL27" i="8"/>
  <c r="P37" i="1"/>
  <c r="R27" i="1"/>
  <c r="Q37" i="1"/>
  <c r="R48" i="1" s="1"/>
  <c r="AF31" i="10"/>
  <c r="AG31" i="14"/>
  <c r="AE20" i="9"/>
  <c r="S40" i="8"/>
  <c r="AE31" i="12"/>
  <c r="Q41" i="1"/>
  <c r="V49" i="1" s="1"/>
  <c r="V28" i="1"/>
  <c r="P41" i="1"/>
  <c r="Q57" i="16"/>
  <c r="R87" i="16" s="1"/>
  <c r="S87" i="16" s="1"/>
  <c r="P57" i="16"/>
  <c r="R66" i="16"/>
  <c r="AH11" i="13"/>
  <c r="Z43" i="9"/>
  <c r="AA43" i="9" s="1"/>
  <c r="AG28" i="16"/>
  <c r="AF31" i="5"/>
  <c r="Z78" i="2"/>
  <c r="AA77" i="2" s="1"/>
  <c r="AB77" i="2" s="1"/>
  <c r="AH27" i="16"/>
  <c r="V78" i="10"/>
  <c r="AG23" i="4"/>
  <c r="AV4" i="1"/>
  <c r="AH4" i="1"/>
  <c r="AF25" i="9"/>
  <c r="AF14" i="17"/>
  <c r="AG7" i="6"/>
  <c r="AH17" i="11"/>
  <c r="Z77" i="6"/>
  <c r="AA76" i="6" s="1"/>
  <c r="AB76" i="6" s="1"/>
  <c r="AF27" i="17"/>
  <c r="Z54" i="16"/>
  <c r="AF23" i="16"/>
  <c r="AG25" i="15"/>
  <c r="S76" i="12"/>
  <c r="T76" i="12" s="1"/>
  <c r="Z73" i="17"/>
  <c r="AB71" i="17" s="1"/>
  <c r="P62" i="16"/>
  <c r="Q62" i="16"/>
  <c r="V89" i="16" s="1"/>
  <c r="V68" i="16"/>
  <c r="AG29" i="12"/>
  <c r="AE29" i="17"/>
  <c r="R72" i="17"/>
  <c r="S71" i="17" s="1"/>
  <c r="T71" i="17" s="1"/>
  <c r="AF29" i="16"/>
  <c r="AH26" i="14"/>
  <c r="AA38" i="14"/>
  <c r="AB38" i="14" s="1"/>
  <c r="AH23" i="13"/>
  <c r="Z48" i="13"/>
  <c r="AH29" i="12"/>
  <c r="AG22" i="12"/>
  <c r="AE11" i="16"/>
  <c r="AF25" i="14"/>
  <c r="AH20" i="13"/>
  <c r="R37" i="1"/>
  <c r="S37" i="1" s="1"/>
  <c r="T37" i="1" s="1"/>
  <c r="V68" i="17"/>
  <c r="AH30" i="16"/>
  <c r="AH10" i="16"/>
  <c r="Q65" i="13"/>
  <c r="Z89" i="13" s="1"/>
  <c r="P65" i="13"/>
  <c r="Z68" i="13"/>
  <c r="AG22" i="13"/>
  <c r="R71" i="12"/>
  <c r="S71" i="12" s="1"/>
  <c r="T71" i="12" s="1"/>
  <c r="AF10" i="17"/>
  <c r="Q60" i="15"/>
  <c r="P60" i="15"/>
  <c r="V66" i="15"/>
  <c r="W66" i="15" s="1"/>
  <c r="X66" i="15" s="1"/>
  <c r="AH10" i="13"/>
  <c r="AG23" i="17"/>
  <c r="AE10" i="16"/>
  <c r="AG10" i="13"/>
  <c r="Q60" i="11"/>
  <c r="V87" i="11" s="1"/>
  <c r="W87" i="11" s="1"/>
  <c r="X87" i="11" s="1"/>
  <c r="AF10" i="16"/>
  <c r="AG26" i="13"/>
  <c r="AF21" i="12"/>
  <c r="W76" i="11"/>
  <c r="X76" i="11" s="1"/>
  <c r="R77" i="10"/>
  <c r="S76" i="10" s="1"/>
  <c r="T76" i="10" s="1"/>
  <c r="AE31" i="17"/>
  <c r="AF26" i="16"/>
  <c r="AH25" i="14"/>
  <c r="AG20" i="12"/>
  <c r="AE30" i="11"/>
  <c r="Z73" i="10"/>
  <c r="Z53" i="16"/>
  <c r="AA53" i="16" s="1"/>
  <c r="AB53" i="16" s="1"/>
  <c r="Z78" i="14"/>
  <c r="AB76" i="14" s="1"/>
  <c r="AH10" i="12"/>
  <c r="AF29" i="10"/>
  <c r="AH24" i="10"/>
  <c r="BD9" i="8"/>
  <c r="BG9" i="8" s="1"/>
  <c r="T40" i="8"/>
  <c r="AC63" i="8" s="1"/>
  <c r="AF30" i="16"/>
  <c r="AG29" i="13"/>
  <c r="AH23" i="12"/>
  <c r="AE23" i="11"/>
  <c r="AH23" i="11"/>
  <c r="AG22" i="10"/>
  <c r="AG31" i="9"/>
  <c r="AH23" i="9"/>
  <c r="AE23" i="9"/>
  <c r="AF21" i="16"/>
  <c r="AG21" i="16"/>
  <c r="AG21" i="15"/>
  <c r="AF25" i="12"/>
  <c r="AG27" i="9"/>
  <c r="AF20" i="9"/>
  <c r="AF21" i="11"/>
  <c r="AE21" i="9"/>
  <c r="AH29" i="6"/>
  <c r="AG28" i="2"/>
  <c r="AG15" i="16"/>
  <c r="P56" i="13"/>
  <c r="Z40" i="13"/>
  <c r="Q56" i="13"/>
  <c r="AF27" i="10"/>
  <c r="AM16" i="8"/>
  <c r="AL16" i="8"/>
  <c r="AH30" i="5"/>
  <c r="Z78" i="4"/>
  <c r="AB76" i="4" s="1"/>
  <c r="R76" i="4"/>
  <c r="AG10" i="2"/>
  <c r="AG14" i="15"/>
  <c r="P57" i="4"/>
  <c r="AE22" i="4"/>
  <c r="S43" i="17"/>
  <c r="T43" i="17" s="1"/>
  <c r="V49" i="14"/>
  <c r="W48" i="14" s="1"/>
  <c r="X48" i="14" s="1"/>
  <c r="AA81" i="10"/>
  <c r="AB81" i="10" s="1"/>
  <c r="AH18" i="7"/>
  <c r="AM24" i="8"/>
  <c r="AL24" i="8"/>
  <c r="AT7" i="6"/>
  <c r="AG31" i="5"/>
  <c r="AE23" i="4"/>
  <c r="AE25" i="3"/>
  <c r="AG30" i="14"/>
  <c r="AF29" i="12"/>
  <c r="AH30" i="10"/>
  <c r="AF14" i="7"/>
  <c r="AG14" i="7"/>
  <c r="AP18" i="8"/>
  <c r="AG30" i="6"/>
  <c r="R73" i="5"/>
  <c r="AE24" i="4"/>
  <c r="AG17" i="17"/>
  <c r="AH7" i="17"/>
  <c r="AH16" i="16"/>
  <c r="AG16" i="14"/>
  <c r="AH24" i="13"/>
  <c r="AE15" i="9"/>
  <c r="AM29" i="8"/>
  <c r="AO29" i="8"/>
  <c r="AH19" i="3"/>
  <c r="AG10" i="3"/>
  <c r="AE4" i="16"/>
  <c r="AM4" i="16" s="1"/>
  <c r="AH15" i="11"/>
  <c r="AT8" i="5"/>
  <c r="AU8" i="5" s="1"/>
  <c r="AG8" i="5"/>
  <c r="AM8" i="5" s="1"/>
  <c r="R71" i="6"/>
  <c r="S71" i="6" s="1"/>
  <c r="AH15" i="12"/>
  <c r="AS6" i="14"/>
  <c r="AF6" i="14"/>
  <c r="AG17" i="12"/>
  <c r="AG17" i="9"/>
  <c r="AM9" i="2"/>
  <c r="AE14" i="4"/>
  <c r="AG21" i="7"/>
  <c r="AF21" i="7"/>
  <c r="Z68" i="4"/>
  <c r="Q65" i="4"/>
  <c r="P65" i="4"/>
  <c r="S71" i="3"/>
  <c r="T71" i="3" s="1"/>
  <c r="AG23" i="2"/>
  <c r="AH17" i="17"/>
  <c r="AE6" i="17"/>
  <c r="AF17" i="16"/>
  <c r="AS4" i="16"/>
  <c r="AF4" i="16"/>
  <c r="AH18" i="13"/>
  <c r="AE16" i="12"/>
  <c r="AE19" i="9"/>
  <c r="AU8" i="9"/>
  <c r="Z83" i="4"/>
  <c r="AH5" i="16"/>
  <c r="AS8" i="14"/>
  <c r="AU8" i="14" s="1"/>
  <c r="AF8" i="14"/>
  <c r="AH9" i="12"/>
  <c r="AH17" i="10"/>
  <c r="AE18" i="5"/>
  <c r="AG28" i="3"/>
  <c r="AG17" i="14"/>
  <c r="V49" i="12"/>
  <c r="W48" i="12" s="1"/>
  <c r="X48" i="12" s="1"/>
  <c r="V53" i="4"/>
  <c r="W53" i="4" s="1"/>
  <c r="X53" i="4" s="1"/>
  <c r="AG26" i="10"/>
  <c r="V67" i="6"/>
  <c r="P61" i="6"/>
  <c r="Q61" i="6"/>
  <c r="P40" i="12"/>
  <c r="Q40" i="12"/>
  <c r="Z61" i="12" s="1"/>
  <c r="AE16" i="5"/>
  <c r="W76" i="12"/>
  <c r="X76" i="12" s="1"/>
  <c r="AA54" i="2"/>
  <c r="AB54" i="2" s="1"/>
  <c r="AH16" i="10"/>
  <c r="AE26" i="4"/>
  <c r="AF11" i="3"/>
  <c r="AE5" i="17"/>
  <c r="AF17" i="15"/>
  <c r="AH5" i="15"/>
  <c r="AG14" i="14"/>
  <c r="AT4" i="14"/>
  <c r="AU4" i="14" s="1"/>
  <c r="AG4" i="14"/>
  <c r="AS7" i="12"/>
  <c r="AU7" i="12" s="1"/>
  <c r="AF7" i="12"/>
  <c r="AE19" i="10"/>
  <c r="AH18" i="9"/>
  <c r="AF6" i="7"/>
  <c r="AM6" i="7" s="1"/>
  <c r="AF6" i="1"/>
  <c r="AI6" i="1"/>
  <c r="AH6" i="1"/>
  <c r="AG6" i="1"/>
  <c r="AE18" i="7"/>
  <c r="R77" i="4"/>
  <c r="AE14" i="15"/>
  <c r="AH18" i="12"/>
  <c r="AH19" i="10"/>
  <c r="AH19" i="5"/>
  <c r="AH21" i="10"/>
  <c r="R83" i="6"/>
  <c r="T81" i="6" s="1"/>
  <c r="V50" i="17"/>
  <c r="AG16" i="12"/>
  <c r="AE24" i="9"/>
  <c r="AH15" i="3"/>
  <c r="AT8" i="16"/>
  <c r="AU8" i="16" s="1"/>
  <c r="AG8" i="16"/>
  <c r="AE16" i="11"/>
  <c r="AE10" i="2"/>
  <c r="AH8" i="15"/>
  <c r="Q49" i="13"/>
  <c r="R60" i="13" s="1"/>
  <c r="S59" i="13" s="1"/>
  <c r="T59" i="13" s="1"/>
  <c r="P49" i="13"/>
  <c r="R39" i="13"/>
  <c r="S38" i="13" s="1"/>
  <c r="AE15" i="5"/>
  <c r="Z48" i="10"/>
  <c r="AA48" i="10" s="1"/>
  <c r="AB48" i="10" s="1"/>
  <c r="AE20" i="7"/>
  <c r="Q42" i="6"/>
  <c r="P42" i="6"/>
  <c r="AG29" i="4"/>
  <c r="AF26" i="2"/>
  <c r="AH18" i="17"/>
  <c r="AE19" i="16"/>
  <c r="AG19" i="15"/>
  <c r="AG19" i="13"/>
  <c r="AH7" i="12"/>
  <c r="V48" i="11"/>
  <c r="W48" i="11" s="1"/>
  <c r="X48" i="11" s="1"/>
  <c r="Q43" i="11"/>
  <c r="P43" i="11"/>
  <c r="Q50" i="10"/>
  <c r="R40" i="10"/>
  <c r="P50" i="10"/>
  <c r="AG19" i="9"/>
  <c r="AE19" i="5"/>
  <c r="AS8" i="4"/>
  <c r="AU8" i="4" s="1"/>
  <c r="AF8" i="4"/>
  <c r="AH23" i="2"/>
  <c r="AG15" i="14"/>
  <c r="V38" i="4"/>
  <c r="W38" i="4" s="1"/>
  <c r="P51" i="4"/>
  <c r="Q51" i="4"/>
  <c r="V59" i="4" s="1"/>
  <c r="W59" i="4" s="1"/>
  <c r="AH15" i="2"/>
  <c r="AE17" i="7"/>
  <c r="AH19" i="16"/>
  <c r="AG19" i="12"/>
  <c r="AT9" i="10"/>
  <c r="AG9" i="10"/>
  <c r="AG25" i="12"/>
  <c r="AS9" i="17"/>
  <c r="AU9" i="17" s="1"/>
  <c r="AF9" i="17"/>
  <c r="AH19" i="14"/>
  <c r="V45" i="9"/>
  <c r="AE18" i="3"/>
  <c r="P44" i="10"/>
  <c r="Q44" i="10"/>
  <c r="AF31" i="4"/>
  <c r="AS8" i="10"/>
  <c r="AF8" i="10"/>
  <c r="AM8" i="10" s="1"/>
  <c r="AH15" i="4"/>
  <c r="AF17" i="9"/>
  <c r="AE14" i="3"/>
  <c r="AU9" i="2"/>
  <c r="AV9" i="2" s="1"/>
  <c r="AG9" i="2"/>
  <c r="AN9" i="2" s="1"/>
  <c r="AM4" i="4"/>
  <c r="AG16" i="16"/>
  <c r="AH7" i="9"/>
  <c r="AF19" i="2"/>
  <c r="AT5" i="2"/>
  <c r="AV5" i="2" s="1"/>
  <c r="AF5" i="2"/>
  <c r="AN5" i="2" s="1"/>
  <c r="AH10" i="7"/>
  <c r="AF18" i="4"/>
  <c r="Z40" i="3"/>
  <c r="Q56" i="3"/>
  <c r="Z61" i="3" s="1"/>
  <c r="P56" i="3"/>
  <c r="AE4" i="11"/>
  <c r="AM4" i="11" s="1"/>
  <c r="Q42" i="7"/>
  <c r="P42" i="7"/>
  <c r="AG15" i="4"/>
  <c r="V43" i="4"/>
  <c r="AH8" i="10"/>
  <c r="AT7" i="4"/>
  <c r="AG7" i="4"/>
  <c r="AH16" i="11"/>
  <c r="P53" i="4"/>
  <c r="Q53" i="4"/>
  <c r="V61" i="4" s="1"/>
  <c r="V40" i="4"/>
  <c r="AE18" i="16"/>
  <c r="AT8" i="10"/>
  <c r="R71" i="16"/>
  <c r="S71" i="16" s="1"/>
  <c r="T71" i="16" s="1"/>
  <c r="AA38" i="17"/>
  <c r="AB38" i="17" s="1"/>
  <c r="AA76" i="12"/>
  <c r="AB76" i="12" s="1"/>
  <c r="Z71" i="16"/>
  <c r="V81" i="14"/>
  <c r="R81" i="13"/>
  <c r="S81" i="13" s="1"/>
  <c r="Z50" i="12"/>
  <c r="R32" i="1"/>
  <c r="S32" i="1" s="1"/>
  <c r="T32" i="1" s="1"/>
  <c r="AH22" i="17"/>
  <c r="AF20" i="12"/>
  <c r="AH30" i="9"/>
  <c r="AH21" i="14"/>
  <c r="AF11" i="11"/>
  <c r="Q44" i="16"/>
  <c r="P44" i="16"/>
  <c r="AE31" i="10"/>
  <c r="AH29" i="17"/>
  <c r="AG10" i="15"/>
  <c r="Z45" i="10"/>
  <c r="BE4" i="8"/>
  <c r="AN4" i="8"/>
  <c r="AM4" i="8"/>
  <c r="AV4" i="8" s="1"/>
  <c r="R83" i="14"/>
  <c r="Z48" i="12"/>
  <c r="AF30" i="10"/>
  <c r="V87" i="7"/>
  <c r="AG31" i="3"/>
  <c r="AH11" i="16"/>
  <c r="AH28" i="12"/>
  <c r="AA76" i="13"/>
  <c r="AB76" i="13" s="1"/>
  <c r="AE28" i="12"/>
  <c r="Q57" i="11"/>
  <c r="R66" i="11"/>
  <c r="S66" i="11" s="1"/>
  <c r="P57" i="11"/>
  <c r="Z44" i="16"/>
  <c r="AH10" i="10"/>
  <c r="P55" i="9"/>
  <c r="Z39" i="9"/>
  <c r="AA38" i="9" s="1"/>
  <c r="Q55" i="9"/>
  <c r="AE28" i="5"/>
  <c r="AF28" i="5"/>
  <c r="AF30" i="4"/>
  <c r="AG31" i="11"/>
  <c r="R73" i="6"/>
  <c r="AB48" i="14"/>
  <c r="AH22" i="9"/>
  <c r="T58" i="8"/>
  <c r="U96" i="8" s="1"/>
  <c r="U71" i="8"/>
  <c r="S58" i="8"/>
  <c r="Q55" i="4"/>
  <c r="Z60" i="4" s="1"/>
  <c r="AG19" i="7"/>
  <c r="AE19" i="7"/>
  <c r="AF19" i="7"/>
  <c r="AG10" i="6"/>
  <c r="AH30" i="6"/>
  <c r="AE25" i="4"/>
  <c r="AH11" i="2"/>
  <c r="AG18" i="15"/>
  <c r="AH5" i="14"/>
  <c r="AT9" i="3"/>
  <c r="AG9" i="3"/>
  <c r="AM9" i="3" s="1"/>
  <c r="AH14" i="15"/>
  <c r="AE4" i="10"/>
  <c r="V48" i="1"/>
  <c r="W48" i="1" s="1"/>
  <c r="X48" i="1" s="1"/>
  <c r="Q40" i="17"/>
  <c r="P40" i="17"/>
  <c r="AM4" i="13"/>
  <c r="AH24" i="17"/>
  <c r="AF23" i="4"/>
  <c r="P52" i="5"/>
  <c r="Q52" i="5"/>
  <c r="V60" i="5" s="1"/>
  <c r="V39" i="5"/>
  <c r="V76" i="10"/>
  <c r="W76" i="10" s="1"/>
  <c r="X76" i="10" s="1"/>
  <c r="AH28" i="2"/>
  <c r="AH9" i="10"/>
  <c r="AE10" i="4"/>
  <c r="AS6" i="16"/>
  <c r="AF6" i="16"/>
  <c r="AG26" i="7"/>
  <c r="AF26" i="7"/>
  <c r="AE26" i="7"/>
  <c r="AG27" i="6"/>
  <c r="W43" i="15"/>
  <c r="X43" i="15" s="1"/>
  <c r="AS5" i="7"/>
  <c r="AU5" i="7" s="1"/>
  <c r="AF5" i="7"/>
  <c r="Q48" i="15"/>
  <c r="R59" i="15" s="1"/>
  <c r="S59" i="15" s="1"/>
  <c r="T59" i="15" s="1"/>
  <c r="P48" i="15"/>
  <c r="R38" i="15"/>
  <c r="S38" i="15" s="1"/>
  <c r="T38" i="15" s="1"/>
  <c r="V55" i="10"/>
  <c r="Q58" i="9"/>
  <c r="R88" i="9" s="1"/>
  <c r="R67" i="9"/>
  <c r="P58" i="9"/>
  <c r="Q45" i="2"/>
  <c r="P45" i="2"/>
  <c r="AE26" i="3"/>
  <c r="W72" i="2"/>
  <c r="X72" i="2" s="1"/>
  <c r="Q53" i="16"/>
  <c r="V61" i="16" s="1"/>
  <c r="V40" i="16"/>
  <c r="P53" i="16"/>
  <c r="AE15" i="10"/>
  <c r="V50" i="9"/>
  <c r="V59" i="6"/>
  <c r="V60" i="6"/>
  <c r="V61" i="6"/>
  <c r="P53" i="5"/>
  <c r="Q53" i="5"/>
  <c r="V61" i="5" s="1"/>
  <c r="V40" i="5"/>
  <c r="R82" i="2"/>
  <c r="S82" i="2" s="1"/>
  <c r="T82" i="2" s="1"/>
  <c r="R49" i="14"/>
  <c r="S48" i="14" s="1"/>
  <c r="T48" i="14" s="1"/>
  <c r="AE9" i="4"/>
  <c r="AM9" i="4" s="1"/>
  <c r="V38" i="7"/>
  <c r="P51" i="7"/>
  <c r="Q51" i="7"/>
  <c r="V59" i="7" s="1"/>
  <c r="W59" i="7" s="1"/>
  <c r="X59" i="7" s="1"/>
  <c r="AF16" i="3"/>
  <c r="V55" i="16"/>
  <c r="X53" i="16" s="1"/>
  <c r="AH26" i="4"/>
  <c r="P41" i="12"/>
  <c r="AG16" i="9"/>
  <c r="V39" i="3"/>
  <c r="Q52" i="3"/>
  <c r="V60" i="3" s="1"/>
  <c r="P52" i="3"/>
  <c r="AF10" i="9"/>
  <c r="AG29" i="6"/>
  <c r="AT6" i="14"/>
  <c r="AG6" i="14"/>
  <c r="P43" i="12"/>
  <c r="Z48" i="3"/>
  <c r="V43" i="9"/>
  <c r="W43" i="9" s="1"/>
  <c r="X43" i="9" s="1"/>
  <c r="R38" i="3"/>
  <c r="S38" i="3" s="1"/>
  <c r="Q48" i="3"/>
  <c r="P48" i="3"/>
  <c r="AG5" i="6"/>
  <c r="AE16" i="3"/>
  <c r="AG20" i="4"/>
  <c r="V46" i="2"/>
  <c r="AS4" i="7"/>
  <c r="AU4" i="7" s="1"/>
  <c r="AF4" i="7"/>
  <c r="AM4" i="7" s="1"/>
  <c r="V44" i="4"/>
  <c r="AE27" i="2"/>
  <c r="P38" i="11"/>
  <c r="Q38" i="11"/>
  <c r="AH15" i="5"/>
  <c r="AH16" i="5"/>
  <c r="AF19" i="3"/>
  <c r="AU4" i="2"/>
  <c r="AV4" i="2" s="1"/>
  <c r="AG4" i="2"/>
  <c r="AG19" i="4"/>
  <c r="R55" i="11"/>
  <c r="AF6" i="6"/>
  <c r="AG6" i="6"/>
  <c r="AE5" i="3"/>
  <c r="AF5" i="3"/>
  <c r="AG14" i="9"/>
  <c r="AF14" i="9"/>
  <c r="AE30" i="16"/>
  <c r="AE28" i="14"/>
  <c r="AE26" i="9"/>
  <c r="AF20" i="13"/>
  <c r="Z49" i="9"/>
  <c r="P44" i="7"/>
  <c r="Q44" i="7"/>
  <c r="AF26" i="9"/>
  <c r="R87" i="6"/>
  <c r="AG22" i="2"/>
  <c r="AG28" i="10"/>
  <c r="AG25" i="5"/>
  <c r="Q65" i="3"/>
  <c r="P65" i="3"/>
  <c r="Z68" i="3"/>
  <c r="AE25" i="5"/>
  <c r="AH29" i="13"/>
  <c r="V76" i="5"/>
  <c r="W76" i="5" s="1"/>
  <c r="X76" i="5" s="1"/>
  <c r="AF10" i="4"/>
  <c r="AF18" i="17"/>
  <c r="AG23" i="3"/>
  <c r="P51" i="17"/>
  <c r="Q51" i="17"/>
  <c r="V38" i="17"/>
  <c r="S53" i="13"/>
  <c r="T53" i="13" s="1"/>
  <c r="AT7" i="9"/>
  <c r="AU7" i="9" s="1"/>
  <c r="AG7" i="9"/>
  <c r="V54" i="10"/>
  <c r="AG22" i="16"/>
  <c r="W66" i="14"/>
  <c r="X66" i="14" s="1"/>
  <c r="AE21" i="12"/>
  <c r="AG26" i="17"/>
  <c r="AF31" i="15"/>
  <c r="Z66" i="17"/>
  <c r="AA66" i="17" s="1"/>
  <c r="AB66" i="17" s="1"/>
  <c r="Q63" i="17"/>
  <c r="Z87" i="17" s="1"/>
  <c r="P63" i="17"/>
  <c r="AE29" i="13"/>
  <c r="AB81" i="12"/>
  <c r="P45" i="16"/>
  <c r="Q45" i="16"/>
  <c r="Z53" i="13"/>
  <c r="AG23" i="10"/>
  <c r="AF22" i="15"/>
  <c r="AE10" i="11"/>
  <c r="R42" i="1"/>
  <c r="S42" i="1" s="1"/>
  <c r="T42" i="1" s="1"/>
  <c r="AH25" i="15"/>
  <c r="AH29" i="14"/>
  <c r="Q65" i="17"/>
  <c r="Z89" i="17" s="1"/>
  <c r="Z68" i="17"/>
  <c r="P65" i="17"/>
  <c r="AF31" i="9"/>
  <c r="Z71" i="10"/>
  <c r="AA71" i="10" s="1"/>
  <c r="AB71" i="10" s="1"/>
  <c r="Z72" i="16"/>
  <c r="AF27" i="15"/>
  <c r="S81" i="12"/>
  <c r="T81" i="12" s="1"/>
  <c r="Q57" i="9"/>
  <c r="R87" i="9" s="1"/>
  <c r="S87" i="9" s="1"/>
  <c r="T87" i="9" s="1"/>
  <c r="P57" i="9"/>
  <c r="R66" i="9"/>
  <c r="AH10" i="17"/>
  <c r="AE26" i="13"/>
  <c r="AE21" i="11"/>
  <c r="Z44" i="11"/>
  <c r="AA43" i="11" s="1"/>
  <c r="AB43" i="11" s="1"/>
  <c r="AG20" i="2"/>
  <c r="V72" i="10"/>
  <c r="W71" i="10" s="1"/>
  <c r="U40" i="8"/>
  <c r="T50" i="8"/>
  <c r="U65" i="8" s="1"/>
  <c r="S50" i="8"/>
  <c r="AG10" i="5"/>
  <c r="AF22" i="4"/>
  <c r="R48" i="15"/>
  <c r="S48" i="15" s="1"/>
  <c r="T48" i="15" s="1"/>
  <c r="AE10" i="15"/>
  <c r="AF14" i="16"/>
  <c r="AH15" i="14"/>
  <c r="V54" i="7"/>
  <c r="AF23" i="5"/>
  <c r="P59" i="3"/>
  <c r="Q59" i="3"/>
  <c r="R89" i="3" s="1"/>
  <c r="R68" i="3"/>
  <c r="AF23" i="17"/>
  <c r="Z71" i="12"/>
  <c r="AA71" i="12" s="1"/>
  <c r="AB71" i="12" s="1"/>
  <c r="AH28" i="7"/>
  <c r="R43" i="7"/>
  <c r="S43" i="7" s="1"/>
  <c r="R82" i="5"/>
  <c r="Q58" i="4"/>
  <c r="R88" i="4" s="1"/>
  <c r="P58" i="4"/>
  <c r="R67" i="4"/>
  <c r="V48" i="17"/>
  <c r="W48" i="17" s="1"/>
  <c r="AT6" i="16"/>
  <c r="AG6" i="16"/>
  <c r="AD75" i="8"/>
  <c r="AE75" i="8" s="1"/>
  <c r="AF14" i="3"/>
  <c r="AE7" i="17"/>
  <c r="AM7" i="17" s="1"/>
  <c r="Q51" i="14"/>
  <c r="V59" i="14" s="1"/>
  <c r="W59" i="14" s="1"/>
  <c r="V38" i="14"/>
  <c r="P51" i="14"/>
  <c r="R54" i="11"/>
  <c r="AS5" i="5"/>
  <c r="AU5" i="5" s="1"/>
  <c r="AF5" i="5"/>
  <c r="AM5" i="5" s="1"/>
  <c r="AH8" i="17"/>
  <c r="R61" i="6"/>
  <c r="R60" i="6"/>
  <c r="R59" i="6"/>
  <c r="AT7" i="17"/>
  <c r="V48" i="9"/>
  <c r="R38" i="4"/>
  <c r="P48" i="4"/>
  <c r="Q48" i="4"/>
  <c r="R59" i="4" s="1"/>
  <c r="S59" i="4" s="1"/>
  <c r="T59" i="4" s="1"/>
  <c r="AE26" i="10"/>
  <c r="AE27" i="7"/>
  <c r="AL19" i="8"/>
  <c r="AF21" i="3"/>
  <c r="V53" i="17"/>
  <c r="V40" i="9"/>
  <c r="P53" i="9"/>
  <c r="Q53" i="9"/>
  <c r="V61" i="9" s="1"/>
  <c r="AG14" i="2"/>
  <c r="AF20" i="2"/>
  <c r="V53" i="10"/>
  <c r="AG14" i="12"/>
  <c r="AS9" i="3"/>
  <c r="AE10" i="6"/>
  <c r="P52" i="11"/>
  <c r="Q52" i="11"/>
  <c r="V60" i="11" s="1"/>
  <c r="V39" i="11"/>
  <c r="AH25" i="2"/>
  <c r="AO28" i="8"/>
  <c r="AM28" i="8"/>
  <c r="AL28" i="8"/>
  <c r="AH24" i="4"/>
  <c r="Q60" i="4"/>
  <c r="P60" i="4"/>
  <c r="V66" i="4"/>
  <c r="W66" i="4" s="1"/>
  <c r="X66" i="4" s="1"/>
  <c r="AE23" i="2"/>
  <c r="P39" i="17"/>
  <c r="Q39" i="17"/>
  <c r="V54" i="9"/>
  <c r="P52" i="7"/>
  <c r="V39" i="7"/>
  <c r="Q52" i="7"/>
  <c r="V60" i="7" s="1"/>
  <c r="V54" i="12"/>
  <c r="W53" i="12" s="1"/>
  <c r="X53" i="12" s="1"/>
  <c r="AG16" i="2"/>
  <c r="AF14" i="4"/>
  <c r="AH14" i="3"/>
  <c r="AG16" i="10"/>
  <c r="AH7" i="5"/>
  <c r="AS7" i="6"/>
  <c r="AU7" i="6" s="1"/>
  <c r="AF7" i="6"/>
  <c r="AM7" i="6" s="1"/>
  <c r="V54" i="17"/>
  <c r="V50" i="15"/>
  <c r="AT8" i="11"/>
  <c r="AG8" i="11"/>
  <c r="AU7" i="3"/>
  <c r="AE23" i="15"/>
  <c r="AH23" i="15"/>
  <c r="Q64" i="17"/>
  <c r="Z88" i="17" s="1"/>
  <c r="AH31" i="17"/>
  <c r="P58" i="15"/>
  <c r="Z66" i="12"/>
  <c r="AA66" i="12" s="1"/>
  <c r="AB66" i="12" s="1"/>
  <c r="Q63" i="12"/>
  <c r="Z87" i="12" s="1"/>
  <c r="AA87" i="12" s="1"/>
  <c r="AB87" i="12" s="1"/>
  <c r="P63" i="12"/>
  <c r="Z39" i="12"/>
  <c r="Q55" i="12"/>
  <c r="P55" i="12"/>
  <c r="V76" i="17"/>
  <c r="W76" i="17" s="1"/>
  <c r="X76" i="17" s="1"/>
  <c r="Z73" i="15"/>
  <c r="AF24" i="12"/>
  <c r="Z54" i="11"/>
  <c r="AE27" i="17"/>
  <c r="AG21" i="17"/>
  <c r="AH31" i="14"/>
  <c r="AH24" i="14"/>
  <c r="Z66" i="13"/>
  <c r="AA66" i="13" s="1"/>
  <c r="AB66" i="13" s="1"/>
  <c r="Q63" i="13"/>
  <c r="Z87" i="13" s="1"/>
  <c r="P63" i="13"/>
  <c r="AG23" i="13"/>
  <c r="AF10" i="13"/>
  <c r="AG28" i="12"/>
  <c r="AE20" i="12"/>
  <c r="AF30" i="15"/>
  <c r="AE26" i="17"/>
  <c r="AG29" i="16"/>
  <c r="Z77" i="15"/>
  <c r="AA76" i="15" s="1"/>
  <c r="AB76" i="15" s="1"/>
  <c r="AF20" i="14"/>
  <c r="AG30" i="13"/>
  <c r="Q44" i="11"/>
  <c r="P44" i="11"/>
  <c r="AE26" i="16"/>
  <c r="AG21" i="12"/>
  <c r="AE21" i="17"/>
  <c r="AH30" i="15"/>
  <c r="AG27" i="12"/>
  <c r="P65" i="10"/>
  <c r="Q65" i="10"/>
  <c r="Z89" i="10" s="1"/>
  <c r="Z68" i="10"/>
  <c r="AA53" i="9"/>
  <c r="AB53" i="9" s="1"/>
  <c r="Z81" i="17"/>
  <c r="AA81" i="17" s="1"/>
  <c r="AB81" i="17" s="1"/>
  <c r="AE28" i="15"/>
  <c r="AF22" i="13"/>
  <c r="AF11" i="12"/>
  <c r="AH20" i="10"/>
  <c r="S76" i="9"/>
  <c r="T76" i="9" s="1"/>
  <c r="AO4" i="8"/>
  <c r="Z70" i="8"/>
  <c r="AA70" i="8" s="1"/>
  <c r="AU4" i="1"/>
  <c r="AG4" i="1"/>
  <c r="V77" i="17"/>
  <c r="AE30" i="15"/>
  <c r="AH30" i="12"/>
  <c r="AG11" i="12"/>
  <c r="AG29" i="3"/>
  <c r="AH23" i="14"/>
  <c r="AF28" i="16"/>
  <c r="V72" i="15"/>
  <c r="W71" i="15" s="1"/>
  <c r="X71" i="15" s="1"/>
  <c r="AF28" i="13"/>
  <c r="AH11" i="12"/>
  <c r="AF20" i="10"/>
  <c r="AF22" i="9"/>
  <c r="AE24" i="12"/>
  <c r="P55" i="11"/>
  <c r="Z39" i="11"/>
  <c r="Q55" i="11"/>
  <c r="AE25" i="9"/>
  <c r="AE24" i="16"/>
  <c r="AG25" i="10"/>
  <c r="AH10" i="9"/>
  <c r="AM14" i="8"/>
  <c r="AO14" i="8"/>
  <c r="AE26" i="5"/>
  <c r="AH22" i="4"/>
  <c r="AG26" i="2"/>
  <c r="AF16" i="17"/>
  <c r="AH19" i="15"/>
  <c r="AE22" i="16"/>
  <c r="AH28" i="11"/>
  <c r="AH26" i="10"/>
  <c r="AG25" i="7"/>
  <c r="AH17" i="7"/>
  <c r="AE27" i="3"/>
  <c r="AE17" i="15"/>
  <c r="AH9" i="15"/>
  <c r="AG16" i="13"/>
  <c r="Q44" i="15"/>
  <c r="P44" i="15"/>
  <c r="AE30" i="4"/>
  <c r="AH11" i="4"/>
  <c r="R43" i="16"/>
  <c r="S43" i="16" s="1"/>
  <c r="AE24" i="10"/>
  <c r="AF11" i="9"/>
  <c r="AO20" i="8"/>
  <c r="AM20" i="8"/>
  <c r="AL20" i="8"/>
  <c r="AH24" i="6"/>
  <c r="P61" i="5"/>
  <c r="R71" i="5"/>
  <c r="S71" i="5" s="1"/>
  <c r="P55" i="4"/>
  <c r="P61" i="2"/>
  <c r="R43" i="15"/>
  <c r="S43" i="15" s="1"/>
  <c r="T43" i="15" s="1"/>
  <c r="AH27" i="14"/>
  <c r="AE29" i="11"/>
  <c r="R72" i="10"/>
  <c r="AF11" i="7"/>
  <c r="AH22" i="5"/>
  <c r="AH29" i="4"/>
  <c r="AH21" i="4"/>
  <c r="Z49" i="3"/>
  <c r="AH16" i="17"/>
  <c r="AT6" i="17"/>
  <c r="AG6" i="17"/>
  <c r="AH15" i="16"/>
  <c r="AE8" i="14"/>
  <c r="AM8" i="14" s="1"/>
  <c r="AH28" i="15"/>
  <c r="AG24" i="13"/>
  <c r="AF28" i="6"/>
  <c r="Q65" i="5"/>
  <c r="Z89" i="5" s="1"/>
  <c r="R68" i="4"/>
  <c r="P59" i="4"/>
  <c r="Q59" i="4"/>
  <c r="AE24" i="2"/>
  <c r="P41" i="17"/>
  <c r="Q41" i="17"/>
  <c r="V49" i="15"/>
  <c r="AE17" i="14"/>
  <c r="AH9" i="11"/>
  <c r="AG9" i="7"/>
  <c r="AH5" i="5"/>
  <c r="AH7" i="3"/>
  <c r="AM7" i="3" s="1"/>
  <c r="AG10" i="4"/>
  <c r="R53" i="15"/>
  <c r="S53" i="15" s="1"/>
  <c r="T53" i="15" s="1"/>
  <c r="P38" i="10"/>
  <c r="Q38" i="10"/>
  <c r="AE5" i="16"/>
  <c r="AM5" i="16" s="1"/>
  <c r="AF18" i="13"/>
  <c r="AS4" i="12"/>
  <c r="AF4" i="12"/>
  <c r="AG16" i="15"/>
  <c r="Q60" i="10"/>
  <c r="V66" i="10"/>
  <c r="W66" i="10" s="1"/>
  <c r="X66" i="10" s="1"/>
  <c r="P60" i="10"/>
  <c r="AM19" i="8"/>
  <c r="AE31" i="5"/>
  <c r="T81" i="4"/>
  <c r="AE14" i="17"/>
  <c r="AH5" i="17"/>
  <c r="AS9" i="16"/>
  <c r="AU9" i="16" s="1"/>
  <c r="AF9" i="16"/>
  <c r="AM9" i="16" s="1"/>
  <c r="AG17" i="15"/>
  <c r="AG19" i="14"/>
  <c r="AG15" i="13"/>
  <c r="AE19" i="12"/>
  <c r="AE15" i="12"/>
  <c r="AT4" i="12"/>
  <c r="AE7" i="10"/>
  <c r="AM7" i="10" s="1"/>
  <c r="AE18" i="9"/>
  <c r="AG18" i="3"/>
  <c r="S49" i="2"/>
  <c r="T49" i="2" s="1"/>
  <c r="R82" i="17"/>
  <c r="S81" i="17" s="1"/>
  <c r="T81" i="17" s="1"/>
  <c r="AG31" i="6"/>
  <c r="S71" i="4"/>
  <c r="T71" i="4" s="1"/>
  <c r="AS6" i="17"/>
  <c r="AU6" i="17" s="1"/>
  <c r="AF6" i="17"/>
  <c r="AH15" i="15"/>
  <c r="AF15" i="13"/>
  <c r="V44" i="11"/>
  <c r="AH4" i="10"/>
  <c r="AF7" i="5"/>
  <c r="R73" i="10"/>
  <c r="AG27" i="2"/>
  <c r="S48" i="12"/>
  <c r="T48" i="12" s="1"/>
  <c r="AE17" i="5"/>
  <c r="AF31" i="7"/>
  <c r="V84" i="2"/>
  <c r="Q52" i="13"/>
  <c r="V60" i="13" s="1"/>
  <c r="V39" i="13"/>
  <c r="P52" i="13"/>
  <c r="AE18" i="11"/>
  <c r="AF15" i="3"/>
  <c r="AP20" i="8"/>
  <c r="W71" i="7"/>
  <c r="X71" i="7" s="1"/>
  <c r="AN18" i="8"/>
  <c r="AM18" i="8"/>
  <c r="AL18" i="8"/>
  <c r="V77" i="6"/>
  <c r="W76" i="6" s="1"/>
  <c r="X76" i="6" s="1"/>
  <c r="AH23" i="3"/>
  <c r="AH30" i="2"/>
  <c r="AE16" i="15"/>
  <c r="AF19" i="14"/>
  <c r="AS9" i="14"/>
  <c r="AF9" i="14"/>
  <c r="AG18" i="13"/>
  <c r="AS6" i="12"/>
  <c r="AU6" i="12" s="1"/>
  <c r="AF6" i="12"/>
  <c r="AE18" i="10"/>
  <c r="AE9" i="9"/>
  <c r="AM9" i="9" s="1"/>
  <c r="AS9" i="5"/>
  <c r="AF9" i="5"/>
  <c r="AH28" i="16"/>
  <c r="AE10" i="7"/>
  <c r="AG18" i="17"/>
  <c r="AH14" i="12"/>
  <c r="AE14" i="10"/>
  <c r="AF15" i="5"/>
  <c r="AF18" i="2"/>
  <c r="AE27" i="4"/>
  <c r="R48" i="17"/>
  <c r="S48" i="17" s="1"/>
  <c r="T48" i="17" s="1"/>
  <c r="AT6" i="12"/>
  <c r="AG6" i="12"/>
  <c r="AE14" i="9"/>
  <c r="AG11" i="7"/>
  <c r="AE11" i="2"/>
  <c r="AE5" i="11"/>
  <c r="S43" i="4"/>
  <c r="T43" i="4" s="1"/>
  <c r="AO15" i="8"/>
  <c r="AF29" i="3"/>
  <c r="AF15" i="17"/>
  <c r="R50" i="10"/>
  <c r="AG18" i="4"/>
  <c r="AF23" i="9"/>
  <c r="BF8" i="8"/>
  <c r="BG8" i="8" s="1"/>
  <c r="AO8" i="8"/>
  <c r="AP8" i="8"/>
  <c r="AF11" i="5"/>
  <c r="AF28" i="4"/>
  <c r="Q60" i="3"/>
  <c r="V87" i="3" s="1"/>
  <c r="W87" i="3" s="1"/>
  <c r="P60" i="3"/>
  <c r="V66" i="3"/>
  <c r="W66" i="3" s="1"/>
  <c r="X66" i="3" s="1"/>
  <c r="P54" i="3"/>
  <c r="Z38" i="3"/>
  <c r="Q54" i="3"/>
  <c r="Z59" i="3" s="1"/>
  <c r="AH14" i="17"/>
  <c r="AE17" i="16"/>
  <c r="AF18" i="15"/>
  <c r="AF17" i="13"/>
  <c r="AH6" i="12"/>
  <c r="R50" i="11"/>
  <c r="P49" i="10"/>
  <c r="R39" i="10"/>
  <c r="Q49" i="10"/>
  <c r="R60" i="10" s="1"/>
  <c r="AH17" i="9"/>
  <c r="AF16" i="5"/>
  <c r="AH19" i="4"/>
  <c r="AE9" i="17"/>
  <c r="AM9" i="17" s="1"/>
  <c r="AF14" i="13"/>
  <c r="AF16" i="11"/>
  <c r="AH30" i="3"/>
  <c r="AS6" i="15"/>
  <c r="AU6" i="15" s="1"/>
  <c r="AF6" i="15"/>
  <c r="AG15" i="12"/>
  <c r="AN21" i="8"/>
  <c r="W81" i="4"/>
  <c r="X81" i="4" s="1"/>
  <c r="AF5" i="17"/>
  <c r="AE14" i="14"/>
  <c r="AH4" i="5"/>
  <c r="AG24" i="6"/>
  <c r="AG26" i="3"/>
  <c r="AH5" i="10"/>
  <c r="W43" i="6"/>
  <c r="X43" i="6" s="1"/>
  <c r="AG20" i="3"/>
  <c r="AE14" i="5"/>
  <c r="AE8" i="3"/>
  <c r="AM8" i="3" s="1"/>
  <c r="V50" i="6"/>
  <c r="V49" i="6"/>
  <c r="V48" i="6"/>
  <c r="W48" i="6" s="1"/>
  <c r="X48" i="6" s="1"/>
  <c r="R40" i="3"/>
  <c r="Q50" i="3"/>
  <c r="R61" i="3" s="1"/>
  <c r="P50" i="3"/>
  <c r="AA48" i="4"/>
  <c r="AB48" i="4" s="1"/>
  <c r="AH7" i="14"/>
  <c r="AF16" i="2"/>
  <c r="AG17" i="5"/>
  <c r="AE30" i="2"/>
  <c r="AH6" i="3"/>
  <c r="AH5" i="3"/>
  <c r="Q62" i="2"/>
  <c r="V89" i="2" s="1"/>
  <c r="P62" i="2"/>
  <c r="V68" i="2"/>
  <c r="W67" i="2" s="1"/>
  <c r="X67" i="2" s="1"/>
  <c r="AG14" i="10"/>
  <c r="R54" i="5"/>
  <c r="S53" i="5" s="1"/>
  <c r="T53" i="5" s="1"/>
  <c r="AE8" i="4"/>
  <c r="AE9" i="5"/>
  <c r="AM9" i="5" s="1"/>
  <c r="AT5" i="4"/>
  <c r="AG5" i="4"/>
  <c r="AH14" i="11"/>
  <c r="AT6" i="10"/>
  <c r="AG6" i="10"/>
  <c r="AT6" i="3"/>
  <c r="AG6" i="3"/>
  <c r="AF19" i="10"/>
  <c r="R48" i="9"/>
  <c r="S48" i="9" s="1"/>
  <c r="T48" i="9" s="1"/>
  <c r="AE7" i="13"/>
  <c r="AM7" i="13" s="1"/>
  <c r="AM6" i="17" l="1"/>
  <c r="AM5" i="17"/>
  <c r="AU8" i="17"/>
  <c r="AB48" i="17"/>
  <c r="V60" i="17"/>
  <c r="W38" i="16"/>
  <c r="X38" i="16" s="1"/>
  <c r="Z59" i="16"/>
  <c r="AA59" i="16" s="1"/>
  <c r="AB48" i="16"/>
  <c r="AU6" i="16"/>
  <c r="AB38" i="16"/>
  <c r="V59" i="16"/>
  <c r="AM6" i="16"/>
  <c r="V60" i="16"/>
  <c r="AU7" i="16"/>
  <c r="S38" i="16"/>
  <c r="T38" i="16" s="1"/>
  <c r="R89" i="16"/>
  <c r="T87" i="16" s="1"/>
  <c r="Z60" i="15"/>
  <c r="W38" i="15"/>
  <c r="X38" i="15" s="1"/>
  <c r="AM9" i="15"/>
  <c r="R87" i="15"/>
  <c r="S87" i="15" s="1"/>
  <c r="T87" i="15" s="1"/>
  <c r="R89" i="15"/>
  <c r="AA38" i="15"/>
  <c r="W81" i="15"/>
  <c r="X81" i="15" s="1"/>
  <c r="AB71" i="15"/>
  <c r="AU7" i="15"/>
  <c r="AM4" i="15"/>
  <c r="Z89" i="15"/>
  <c r="AB87" i="15" s="1"/>
  <c r="Z59" i="15"/>
  <c r="AA59" i="15" s="1"/>
  <c r="T81" i="14"/>
  <c r="Z60" i="14"/>
  <c r="T66" i="14"/>
  <c r="S59" i="14"/>
  <c r="T59" i="14" s="1"/>
  <c r="X71" i="14"/>
  <c r="AM6" i="14"/>
  <c r="AU6" i="14"/>
  <c r="AM5" i="14"/>
  <c r="X66" i="13"/>
  <c r="Z60" i="13"/>
  <c r="W59" i="13"/>
  <c r="X59" i="13" s="1"/>
  <c r="W38" i="13"/>
  <c r="AB38" i="13"/>
  <c r="Z88" i="13"/>
  <c r="T87" i="12"/>
  <c r="AM4" i="12"/>
  <c r="V89" i="12"/>
  <c r="AM7" i="12"/>
  <c r="R61" i="12"/>
  <c r="V88" i="12"/>
  <c r="AA38" i="12"/>
  <c r="AB38" i="12" s="1"/>
  <c r="W38" i="11"/>
  <c r="X38" i="11" s="1"/>
  <c r="AB81" i="11"/>
  <c r="W59" i="11"/>
  <c r="X59" i="11" s="1"/>
  <c r="R60" i="11"/>
  <c r="AU8" i="11"/>
  <c r="T48" i="11"/>
  <c r="AM5" i="10"/>
  <c r="AM4" i="10"/>
  <c r="T48" i="10"/>
  <c r="AM9" i="10"/>
  <c r="AB66" i="10"/>
  <c r="W38" i="10"/>
  <c r="AU9" i="10"/>
  <c r="AU8" i="10"/>
  <c r="R60" i="9"/>
  <c r="V60" i="9"/>
  <c r="R59" i="9"/>
  <c r="S59" i="9" s="1"/>
  <c r="W53" i="9"/>
  <c r="X53" i="9" s="1"/>
  <c r="V59" i="9"/>
  <c r="W59" i="9" s="1"/>
  <c r="X59" i="9" s="1"/>
  <c r="W38" i="7"/>
  <c r="R61" i="7"/>
  <c r="AM9" i="7"/>
  <c r="R87" i="7"/>
  <c r="AC65" i="8"/>
  <c r="AD70" i="8"/>
  <c r="AE70" i="8" s="1"/>
  <c r="AC64" i="8"/>
  <c r="AD63" i="8" s="1"/>
  <c r="AE63" i="8" s="1"/>
  <c r="AD95" i="8"/>
  <c r="AE95" i="8" s="1"/>
  <c r="BG5" i="8"/>
  <c r="AV8" i="8"/>
  <c r="V95" i="8"/>
  <c r="W95" i="8" s="1"/>
  <c r="V53" i="8"/>
  <c r="W53" i="8" s="1"/>
  <c r="AA48" i="6"/>
  <c r="T71" i="6"/>
  <c r="V89" i="6"/>
  <c r="V88" i="6"/>
  <c r="W38" i="5"/>
  <c r="X38" i="5" s="1"/>
  <c r="V89" i="5"/>
  <c r="AM7" i="5"/>
  <c r="AM4" i="5"/>
  <c r="AM6" i="5"/>
  <c r="S87" i="5"/>
  <c r="AU4" i="5"/>
  <c r="W71" i="5"/>
  <c r="X71" i="5" s="1"/>
  <c r="AU6" i="5"/>
  <c r="S66" i="5"/>
  <c r="T66" i="5" s="1"/>
  <c r="S48" i="5"/>
  <c r="T48" i="5" s="1"/>
  <c r="V87" i="5"/>
  <c r="AB81" i="5"/>
  <c r="AB81" i="4"/>
  <c r="W43" i="4"/>
  <c r="X43" i="4" s="1"/>
  <c r="X38" i="4"/>
  <c r="S66" i="4"/>
  <c r="T66" i="4" s="1"/>
  <c r="AU7" i="4"/>
  <c r="S87" i="4"/>
  <c r="AB66" i="4"/>
  <c r="AU5" i="4"/>
  <c r="AU5" i="3"/>
  <c r="AU8" i="3"/>
  <c r="AU9" i="3"/>
  <c r="AM6" i="3"/>
  <c r="Z60" i="3"/>
  <c r="T38" i="3"/>
  <c r="AU6" i="3"/>
  <c r="Z88" i="3"/>
  <c r="AA66" i="9"/>
  <c r="AB66" i="9" s="1"/>
  <c r="AM5" i="2"/>
  <c r="AB72" i="2"/>
  <c r="V87" i="10"/>
  <c r="W87" i="10" s="1"/>
  <c r="Z59" i="17"/>
  <c r="X38" i="10"/>
  <c r="T66" i="11"/>
  <c r="V87" i="17"/>
  <c r="AM5" i="3"/>
  <c r="AA48" i="3"/>
  <c r="AB48" i="3" s="1"/>
  <c r="R87" i="11"/>
  <c r="Z61" i="9"/>
  <c r="W59" i="5"/>
  <c r="X59" i="5" s="1"/>
  <c r="S59" i="7"/>
  <c r="T59" i="7" s="1"/>
  <c r="AM7" i="14"/>
  <c r="R59" i="5"/>
  <c r="S59" i="5" s="1"/>
  <c r="S53" i="3"/>
  <c r="T53" i="3" s="1"/>
  <c r="T66" i="15"/>
  <c r="W59" i="16"/>
  <c r="X59" i="16" s="1"/>
  <c r="AM7" i="11"/>
  <c r="AM8" i="4"/>
  <c r="T71" i="5"/>
  <c r="V87" i="4"/>
  <c r="W87" i="4" s="1"/>
  <c r="X87" i="4" s="1"/>
  <c r="T43" i="7"/>
  <c r="W59" i="6"/>
  <c r="X59" i="6" s="1"/>
  <c r="S27" i="1"/>
  <c r="T27" i="1" s="1"/>
  <c r="X38" i="13"/>
  <c r="AM8" i="6"/>
  <c r="AM6" i="11"/>
  <c r="Z59" i="13"/>
  <c r="AA59" i="13" s="1"/>
  <c r="AA59" i="7"/>
  <c r="AB59" i="7" s="1"/>
  <c r="S38" i="7"/>
  <c r="T38" i="7" s="1"/>
  <c r="V89" i="4"/>
  <c r="AA53" i="6"/>
  <c r="AB53" i="6" s="1"/>
  <c r="R88" i="3"/>
  <c r="AU4" i="11"/>
  <c r="R87" i="13"/>
  <c r="AM9" i="12"/>
  <c r="AB39" i="2"/>
  <c r="AU4" i="12"/>
  <c r="R89" i="4"/>
  <c r="T43" i="16"/>
  <c r="S66" i="9"/>
  <c r="T66" i="9" s="1"/>
  <c r="T81" i="13"/>
  <c r="V61" i="15"/>
  <c r="V60" i="15"/>
  <c r="Z88" i="10"/>
  <c r="T76" i="3"/>
  <c r="V89" i="14"/>
  <c r="AU7" i="7"/>
  <c r="V88" i="14"/>
  <c r="W87" i="5"/>
  <c r="AM7" i="2"/>
  <c r="AN7" i="2"/>
  <c r="AM6" i="4"/>
  <c r="W87" i="9"/>
  <c r="X87" i="9" s="1"/>
  <c r="AM5" i="7"/>
  <c r="W43" i="11"/>
  <c r="X43" i="11" s="1"/>
  <c r="Z61" i="16"/>
  <c r="AB59" i="16" s="1"/>
  <c r="Z59" i="14"/>
  <c r="AA59" i="14" s="1"/>
  <c r="V61" i="17"/>
  <c r="AU4" i="10"/>
  <c r="S66" i="6"/>
  <c r="T66" i="6" s="1"/>
  <c r="S66" i="3"/>
  <c r="T66" i="3" s="1"/>
  <c r="AM4" i="17"/>
  <c r="V63" i="8"/>
  <c r="W63" i="8" s="1"/>
  <c r="AB71" i="13"/>
  <c r="AA66" i="7"/>
  <c r="AB66" i="7" s="1"/>
  <c r="AM5" i="15"/>
  <c r="AA38" i="11"/>
  <c r="AB38" i="11" s="1"/>
  <c r="R61" i="9"/>
  <c r="T59" i="9" s="1"/>
  <c r="S38" i="14"/>
  <c r="T38" i="14" s="1"/>
  <c r="AA38" i="5"/>
  <c r="AB38" i="5" s="1"/>
  <c r="S48" i="7"/>
  <c r="T48" i="7" s="1"/>
  <c r="V90" i="2"/>
  <c r="V89" i="10"/>
  <c r="V89" i="3"/>
  <c r="X87" i="3" s="1"/>
  <c r="R87" i="17"/>
  <c r="S87" i="17" s="1"/>
  <c r="V88" i="17"/>
  <c r="T87" i="5"/>
  <c r="Z60" i="17"/>
  <c r="Z89" i="3"/>
  <c r="Z89" i="14"/>
  <c r="R88" i="11"/>
  <c r="AA87" i="9"/>
  <c r="AB87" i="9" s="1"/>
  <c r="AB38" i="15"/>
  <c r="X38" i="7"/>
  <c r="AA48" i="12"/>
  <c r="AB48" i="12" s="1"/>
  <c r="AB38" i="9"/>
  <c r="AM9" i="11"/>
  <c r="X71" i="11"/>
  <c r="R88" i="17"/>
  <c r="AA48" i="9"/>
  <c r="AB48" i="9" s="1"/>
  <c r="T67" i="2"/>
  <c r="AA87" i="10"/>
  <c r="AB87" i="10" s="1"/>
  <c r="S87" i="3"/>
  <c r="T87" i="3" s="1"/>
  <c r="S66" i="13"/>
  <c r="T66" i="13" s="1"/>
  <c r="AM8" i="2"/>
  <c r="AN8" i="2"/>
  <c r="W66" i="11"/>
  <c r="X66" i="11" s="1"/>
  <c r="X71" i="10"/>
  <c r="S66" i="17"/>
  <c r="T66" i="17" s="1"/>
  <c r="AA87" i="17"/>
  <c r="AB87" i="17" s="1"/>
  <c r="Z60" i="9"/>
  <c r="AA59" i="9" s="1"/>
  <c r="AB59" i="9" s="1"/>
  <c r="AM7" i="7"/>
  <c r="AM6" i="15"/>
  <c r="V59" i="15"/>
  <c r="W59" i="15" s="1"/>
  <c r="S59" i="16"/>
  <c r="T59" i="16" s="1"/>
  <c r="V38" i="8"/>
  <c r="W38" i="8" s="1"/>
  <c r="AM4" i="14"/>
  <c r="R88" i="7"/>
  <c r="S87" i="7" s="1"/>
  <c r="T87" i="7" s="1"/>
  <c r="S38" i="4"/>
  <c r="T38" i="4" s="1"/>
  <c r="X59" i="4"/>
  <c r="AA59" i="3"/>
  <c r="AB59" i="3" s="1"/>
  <c r="Z60" i="11"/>
  <c r="W53" i="17"/>
  <c r="X53" i="17" s="1"/>
  <c r="W48" i="9"/>
  <c r="X48" i="9" s="1"/>
  <c r="AA53" i="13"/>
  <c r="AB53" i="13" s="1"/>
  <c r="S87" i="6"/>
  <c r="T87" i="6" s="1"/>
  <c r="W81" i="14"/>
  <c r="X81" i="14" s="1"/>
  <c r="Z89" i="4"/>
  <c r="Z61" i="13"/>
  <c r="AB43" i="9"/>
  <c r="Z62" i="2"/>
  <c r="AM8" i="15"/>
  <c r="AU9" i="12"/>
  <c r="W66" i="6"/>
  <c r="X66" i="6" s="1"/>
  <c r="AV6" i="8"/>
  <c r="S71" i="10"/>
  <c r="T71" i="10" s="1"/>
  <c r="Z88" i="14"/>
  <c r="AB38" i="7"/>
  <c r="AA66" i="14"/>
  <c r="AB66" i="14" s="1"/>
  <c r="Z61" i="17"/>
  <c r="Z88" i="11"/>
  <c r="S59" i="17"/>
  <c r="T59" i="17" s="1"/>
  <c r="R87" i="14"/>
  <c r="S87" i="14" s="1"/>
  <c r="T87" i="14" s="1"/>
  <c r="AM7" i="15"/>
  <c r="AM6" i="10"/>
  <c r="AA43" i="14"/>
  <c r="AB43" i="14" s="1"/>
  <c r="Z87" i="3"/>
  <c r="AA87" i="3" s="1"/>
  <c r="R49" i="1"/>
  <c r="S48" i="1" s="1"/>
  <c r="T48" i="1" s="1"/>
  <c r="AA66" i="16"/>
  <c r="AB66" i="16" s="1"/>
  <c r="X76" i="15"/>
  <c r="AA43" i="16"/>
  <c r="AB43" i="16" s="1"/>
  <c r="AM4" i="3"/>
  <c r="AA59" i="4"/>
  <c r="AB59" i="4" s="1"/>
  <c r="V87" i="12"/>
  <c r="AA38" i="6"/>
  <c r="AB38" i="6" s="1"/>
  <c r="AA66" i="6"/>
  <c r="AB66" i="6" s="1"/>
  <c r="S71" i="15"/>
  <c r="T71" i="15" s="1"/>
  <c r="V61" i="11"/>
  <c r="Z60" i="2"/>
  <c r="R59" i="12"/>
  <c r="AA53" i="11"/>
  <c r="AB53" i="11" s="1"/>
  <c r="W27" i="1"/>
  <c r="X27" i="1" s="1"/>
  <c r="Z80" i="8"/>
  <c r="AA80" i="8" s="1"/>
  <c r="AO4" i="1"/>
  <c r="AM7" i="16"/>
  <c r="AB43" i="17"/>
  <c r="S38" i="5"/>
  <c r="T38" i="5" s="1"/>
  <c r="AM9" i="14"/>
  <c r="AM6" i="12"/>
  <c r="Z60" i="12"/>
  <c r="AB71" i="7"/>
  <c r="AA87" i="5"/>
  <c r="AB87" i="5" s="1"/>
  <c r="S87" i="10"/>
  <c r="T87" i="10" s="1"/>
  <c r="V61" i="3"/>
  <c r="X38" i="9"/>
  <c r="AB38" i="4"/>
  <c r="W66" i="12"/>
  <c r="X66" i="12" s="1"/>
  <c r="W66" i="16"/>
  <c r="X66" i="16" s="1"/>
  <c r="Z59" i="6"/>
  <c r="Z61" i="6"/>
  <c r="Z60" i="6"/>
  <c r="Z87" i="6"/>
  <c r="AA87" i="6" s="1"/>
  <c r="AB87" i="6" s="1"/>
  <c r="Z59" i="11"/>
  <c r="AA43" i="10"/>
  <c r="AB43" i="10" s="1"/>
  <c r="V89" i="15"/>
  <c r="R89" i="17"/>
  <c r="AM5" i="4"/>
  <c r="Z90" i="2"/>
  <c r="Z59" i="5"/>
  <c r="Z61" i="2"/>
  <c r="AU6" i="10"/>
  <c r="S38" i="10"/>
  <c r="T38" i="10" s="1"/>
  <c r="AB48" i="6"/>
  <c r="Z88" i="4"/>
  <c r="AM8" i="16"/>
  <c r="AM8" i="17"/>
  <c r="AB87" i="7"/>
  <c r="S81" i="5"/>
  <c r="T81" i="5" s="1"/>
  <c r="Z59" i="12"/>
  <c r="AA59" i="12" s="1"/>
  <c r="AB59" i="12" s="1"/>
  <c r="Z87" i="11"/>
  <c r="Z61" i="11"/>
  <c r="W88" i="2"/>
  <c r="AV7" i="8"/>
  <c r="R88" i="13"/>
  <c r="Z89" i="11"/>
  <c r="AA38" i="3"/>
  <c r="AB38" i="3" s="1"/>
  <c r="AU9" i="14"/>
  <c r="X48" i="17"/>
  <c r="W38" i="17"/>
  <c r="X38" i="17" s="1"/>
  <c r="AA71" i="16"/>
  <c r="AB71" i="16" s="1"/>
  <c r="S38" i="11"/>
  <c r="T38" i="11" s="1"/>
  <c r="W38" i="3"/>
  <c r="X38" i="3" s="1"/>
  <c r="AA88" i="2"/>
  <c r="AB88" i="2" s="1"/>
  <c r="AB38" i="10"/>
  <c r="AM8" i="7"/>
  <c r="X59" i="12"/>
  <c r="Z88" i="6"/>
  <c r="AA43" i="13"/>
  <c r="AB43" i="13" s="1"/>
  <c r="R89" i="14"/>
  <c r="T38" i="13"/>
  <c r="V87" i="6"/>
  <c r="W87" i="6" s="1"/>
  <c r="X87" i="6" s="1"/>
  <c r="AV5" i="8"/>
  <c r="Z87" i="14"/>
  <c r="AU6" i="11"/>
  <c r="R61" i="5"/>
  <c r="X87" i="13"/>
  <c r="AM7" i="4"/>
  <c r="BG7" i="8"/>
  <c r="R89" i="11"/>
  <c r="V88" i="16"/>
  <c r="W87" i="16" s="1"/>
  <c r="X87" i="16" s="1"/>
  <c r="AA66" i="3"/>
  <c r="AB66" i="3" s="1"/>
  <c r="W48" i="15"/>
  <c r="X48" i="15" s="1"/>
  <c r="V88" i="4"/>
  <c r="AU5" i="14"/>
  <c r="AM5" i="11"/>
  <c r="AA87" i="13"/>
  <c r="AB87" i="13" s="1"/>
  <c r="W53" i="10"/>
  <c r="X53" i="10" s="1"/>
  <c r="S59" i="6"/>
  <c r="T59" i="6" s="1"/>
  <c r="W38" i="14"/>
  <c r="X38" i="14" s="1"/>
  <c r="V59" i="17"/>
  <c r="W59" i="17" s="1"/>
  <c r="R59" i="3"/>
  <c r="S59" i="3" s="1"/>
  <c r="T59" i="3" s="1"/>
  <c r="R61" i="10"/>
  <c r="S76" i="4"/>
  <c r="T76" i="4" s="1"/>
  <c r="V87" i="15"/>
  <c r="W87" i="15" s="1"/>
  <c r="X87" i="15" s="1"/>
  <c r="AA48" i="13"/>
  <c r="AB48" i="13" s="1"/>
  <c r="S66" i="16"/>
  <c r="T66" i="16" s="1"/>
  <c r="R59" i="11"/>
  <c r="S59" i="11" s="1"/>
  <c r="V59" i="3"/>
  <c r="W59" i="3" s="1"/>
  <c r="AA67" i="2"/>
  <c r="AB67" i="2" s="1"/>
  <c r="AA48" i="5"/>
  <c r="AB48" i="5" s="1"/>
  <c r="AU7" i="13"/>
  <c r="R89" i="13"/>
  <c r="S66" i="12"/>
  <c r="T66" i="12" s="1"/>
  <c r="S53" i="11"/>
  <c r="T53" i="11" s="1"/>
  <c r="AM5" i="12"/>
  <c r="AM8" i="11"/>
  <c r="BG6" i="8"/>
  <c r="X43" i="16"/>
  <c r="AM9" i="6"/>
  <c r="Z60" i="5"/>
  <c r="W66" i="17"/>
  <c r="X66" i="17" s="1"/>
  <c r="Z87" i="4"/>
  <c r="S38" i="17"/>
  <c r="T38" i="17" s="1"/>
  <c r="X39" i="2"/>
  <c r="AM4" i="2"/>
  <c r="AN4" i="2"/>
  <c r="AA95" i="8"/>
  <c r="Z61" i="14"/>
  <c r="AU4" i="15"/>
  <c r="W59" i="10"/>
  <c r="X59" i="10" s="1"/>
  <c r="AA87" i="16"/>
  <c r="AB87" i="16" s="1"/>
  <c r="AA66" i="5"/>
  <c r="AB66" i="5" s="1"/>
  <c r="Z61" i="15"/>
  <c r="V70" i="8"/>
  <c r="W70" i="8" s="1"/>
  <c r="Z89" i="2"/>
  <c r="AM8" i="12"/>
  <c r="W53" i="7"/>
  <c r="X53" i="7" s="1"/>
  <c r="AU4" i="3"/>
  <c r="V88" i="7"/>
  <c r="W87" i="7" s="1"/>
  <c r="X87" i="7" s="1"/>
  <c r="V89" i="7"/>
  <c r="V61" i="14"/>
  <c r="X59" i="14" s="1"/>
  <c r="X71" i="16"/>
  <c r="R61" i="11"/>
  <c r="R60" i="12"/>
  <c r="S38" i="12"/>
  <c r="T38" i="12" s="1"/>
  <c r="V87" i="14"/>
  <c r="W87" i="14" s="1"/>
  <c r="R59" i="10"/>
  <c r="S59" i="10" s="1"/>
  <c r="T87" i="17" l="1"/>
  <c r="W87" i="17"/>
  <c r="X87" i="17" s="1"/>
  <c r="X59" i="15"/>
  <c r="AA87" i="14"/>
  <c r="AB87" i="14" s="1"/>
  <c r="AB59" i="14"/>
  <c r="X87" i="14"/>
  <c r="S87" i="13"/>
  <c r="W87" i="12"/>
  <c r="X87" i="12" s="1"/>
  <c r="AA87" i="11"/>
  <c r="AB87" i="11" s="1"/>
  <c r="T59" i="11"/>
  <c r="T59" i="10"/>
  <c r="T59" i="5"/>
  <c r="X87" i="5"/>
  <c r="T87" i="4"/>
  <c r="AA87" i="4"/>
  <c r="AB87" i="4" s="1"/>
  <c r="AA59" i="11"/>
  <c r="AB59" i="11" s="1"/>
  <c r="AA60" i="2"/>
  <c r="AB60" i="2" s="1"/>
  <c r="AA59" i="5"/>
  <c r="AB59" i="5" s="1"/>
  <c r="AA59" i="6"/>
  <c r="AB59" i="6" s="1"/>
  <c r="AA59" i="17"/>
  <c r="AB59" i="17" s="1"/>
  <c r="AB59" i="13"/>
  <c r="T87" i="13"/>
  <c r="X88" i="2"/>
  <c r="S87" i="11"/>
  <c r="T87" i="11" s="1"/>
  <c r="S59" i="12"/>
  <c r="T59" i="12" s="1"/>
  <c r="X59" i="3"/>
  <c r="X59" i="17"/>
  <c r="AB87" i="3"/>
  <c r="AB59" i="15"/>
  <c r="X87"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tc={0FA7CE4D-002F-1441-AF25-DC38582AADCD}</author>
    <author>tc={90C119BC-4652-8141-B846-7A23EBD15174}</author>
    <author>tc={CAF0DA75-31E7-1645-9D16-318A6EDCF4E4}</author>
    <author>tc={41039227-ACA9-E645-B221-CB040C7F218F}</author>
    <author>tc={040FAA21-BB5F-FA4A-B76A-405F349807E5}</author>
    <author>tc={AB8427D6-7A72-D143-8FC6-9A460C8844D0}</author>
    <author>tc={FFF0643F-2232-0F40-94A4-BE37C2F2E69E}</author>
    <author>tc={E6D8CB0B-C2CF-EF4B-94B5-FA4AD5780A22}</author>
    <author>tc={1BAAED6F-173A-4B4F-8EA1-9591CABEE83A}</author>
  </authors>
  <commentList>
    <comment ref="AH4" authorId="0" shapeId="0" xr:uid="{0FA7CE4D-002F-1441-AF25-DC38582AADCD}">
      <text>
        <t>[Threaded comment]
Your version of Excel allows you to read this threaded comment; however, any edits to it will get removed if the file is opened in a newer version of Excel. Learn more: https://go.microsoft.com/fwlink/?linkid=870924
Comment:
    u.chla.corr1 = Phi computed using changes in chla for all POPS (SYN, PICO, NANO, MICRO)</t>
      </text>
    </comment>
    <comment ref="AI4" authorId="1" shapeId="0" xr:uid="{90C119BC-4652-8141-B846-7A23EBD15174}">
      <text>
        <t>[Threaded comment]
Your version of Excel allows you to read this threaded comment; however, any edits to it will get removed if the file is opened in a newer version of Excel. Learn more: https://go.microsoft.com/fwlink/?linkid=870924
Comment:
    u.chla.corr2 = Phi computed using changes in chla for PICO</t>
      </text>
    </comment>
    <comment ref="AJ4" authorId="2" shapeId="0" xr:uid="{CAF0DA75-31E7-1645-9D16-318A6EDCF4E4}">
      <text>
        <t>[Threaded comment]
Your version of Excel allows you to read this threaded comment; however, any edits to it will get removed if the file is opened in a newer version of Excel. Learn more: https://go.microsoft.com/fwlink/?linkid=870924
Comment:
    u.chla.corr3 = Phi computed using changes in chla for NANO</t>
      </text>
    </comment>
    <comment ref="AK4" authorId="3" shapeId="0" xr:uid="{41039227-ACA9-E645-B221-CB040C7F218F}">
      <text>
        <t>[Threaded comment]
Your version of Excel allows you to read this threaded comment; however, any edits to it will get removed if the file is opened in a newer version of Excel. Learn more: https://go.microsoft.com/fwlink/?linkid=870924
Comment:
    u.chla.corr4 = Phi computed using changes in chla/FS for PICO+NANO</t>
      </text>
    </comment>
    <comment ref="AL4" authorId="4" shapeId="0" xr:uid="{040FAA21-BB5F-FA4A-B76A-405F349807E5}">
      <text>
        <t>[Threaded comment]
Your version of Excel allows you to read this threaded comment; however, any edits to it will get removed if the file is opened in a newer version of Excel. Learn more: https://go.microsoft.com/fwlink/?linkid=870924
Comment:
    u.chla.corr5 = Phi computed using changes in chla/FS for PICO</t>
      </text>
    </comment>
    <comment ref="AM4" authorId="5" shapeId="0" xr:uid="{AB8427D6-7A72-D143-8FC6-9A460C8844D0}">
      <text>
        <t>[Threaded comment]
Your version of Excel allows you to read this threaded comment; however, any edits to it will get removed if the file is opened in a newer version of Excel. Learn more: https://go.microsoft.com/fwlink/?linkid=870924
Comment:
    u.chla.corr6 = Phi computed using changes in chla/FS for NANO</t>
      </text>
    </comment>
    <comment ref="AN4" authorId="6" shapeId="0" xr:uid="{FFF0643F-2232-0F40-94A4-BE37C2F2E69E}">
      <text>
        <t>[Threaded comment]
Your version of Excel allows you to read this threaded comment; however, any edits to it will get removed if the file is opened in a newer version of Excel. Learn more: https://go.microsoft.com/fwlink/?linkid=870924
Comment:
    u.chla.corr7 = Phi computed using changes in chla for PICO+NANO</t>
      </text>
    </comment>
    <comment ref="S37" authorId="7" shapeId="0" xr:uid="{E6D8CB0B-C2CF-EF4B-94B5-FA4AD5780A22}">
      <text>
        <t xml:space="preserve">[Threaded comment]
Your version of Excel allows you to read this threaded comment; however, any edits to it will get removed if the file is opened in a newer version of Excel. Learn more: https://go.microsoft.com/fwlink/?linkid=870924
Comment:
    only data from PICO 2
</t>
      </text>
    </comment>
    <comment ref="Y37" authorId="8" shapeId="0" xr:uid="{1BAAED6F-173A-4B4F-8EA1-9591CABEE83A}">
      <text>
        <t xml:space="preserve">[Threaded comment]
Your version of Excel allows you to read this threaded comment; however, any edits to it will get removed if the file is opened in a newer version of Excel. Learn more: https://go.microsoft.com/fwlink/?linkid=870924
Comment:
    values from considering PICO1, PICO2 and NANO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Karen E. Selph</author>
  </authors>
  <commentList>
    <comment ref="G3" authorId="0" shapeId="0" xr:uid="{00000000-0006-0000-0200-000001000000}">
      <text>
        <r>
          <rPr>
            <b/>
            <sz val="10"/>
            <color indexed="81"/>
            <rFont val="Calibri"/>
            <family val="2"/>
          </rPr>
          <t>Karen E. Selph:</t>
        </r>
        <r>
          <rPr>
            <sz val="10"/>
            <color indexed="81"/>
            <rFont val="Calibri"/>
            <family val="2"/>
          </rPr>
          <t xml:space="preserve">
reanalyzed to better capture whole population; 21 August 2019
</t>
        </r>
      </text>
    </comment>
  </commentList>
</comments>
</file>

<file path=xl/sharedStrings.xml><?xml version="1.0" encoding="utf-8"?>
<sst xmlns="http://schemas.openxmlformats.org/spreadsheetml/2006/main" count="5363" uniqueCount="689">
  <si>
    <t>SYN No.</t>
  </si>
  <si>
    <t>PICO-E No.</t>
  </si>
  <si>
    <t>NANO No.</t>
  </si>
  <si>
    <t>MICRO No.</t>
  </si>
  <si>
    <t>SYN MEAN CHL</t>
  </si>
  <si>
    <t>PICO-E MEAN CHL</t>
  </si>
  <si>
    <t>NANO MEAN CHL</t>
  </si>
  <si>
    <t>MICRO MEAN CHL</t>
  </si>
  <si>
    <t>SYN MEAN FS</t>
  </si>
  <si>
    <t>PICO-E MEAN FS</t>
  </si>
  <si>
    <t>NANO MEAN FS</t>
  </si>
  <si>
    <t>MICRO MEAN FS</t>
  </si>
  <si>
    <t>1: A01 5m.fcs</t>
  </si>
  <si>
    <t>2: A02 12m.fcs</t>
  </si>
  <si>
    <t>3: A03 20m.fcs</t>
  </si>
  <si>
    <t>4: A04 30m.fcs</t>
  </si>
  <si>
    <t>5: A05 40m.fcs</t>
  </si>
  <si>
    <t>6: A06 55m.fcs</t>
  </si>
  <si>
    <t>7: B01 70m.fcs</t>
  </si>
  <si>
    <t>8: B02 100m.fcs</t>
  </si>
  <si>
    <t>1: A03 MD1 1a final.fcs</t>
  </si>
  <si>
    <t>2: A04 MD1 1b final.fcs</t>
  </si>
  <si>
    <t>3: A05 MD1 1c final.fcs</t>
  </si>
  <si>
    <t>4: A06 MD1 2a final.fcs</t>
  </si>
  <si>
    <t>5: B01 MD1 2b final.fcs</t>
  </si>
  <si>
    <t>6: B02 MD1 final 2c.fcs</t>
  </si>
  <si>
    <t>SYN Mean DIAM (µm)</t>
  </si>
  <si>
    <t>PICO-E Mean DIAM</t>
  </si>
  <si>
    <t>NANO MEAN DIAM</t>
  </si>
  <si>
    <t>MICRO MEAN DIAM</t>
  </si>
  <si>
    <t>SYN Volume (µm3)</t>
  </si>
  <si>
    <t>PICO VOLUME</t>
  </si>
  <si>
    <t>NANO Volume</t>
  </si>
  <si>
    <t>MICRO Volume</t>
  </si>
  <si>
    <t>Diameters (µm)</t>
  </si>
  <si>
    <t>Volumes (µm3)</t>
  </si>
  <si>
    <t>Mean FS Signals</t>
  </si>
  <si>
    <t xml:space="preserve">Mean CHL signals </t>
  </si>
  <si>
    <t>Cell Numbers (not concentrations)</t>
  </si>
  <si>
    <t>Initial Samples</t>
  </si>
  <si>
    <t>Final Samples</t>
  </si>
  <si>
    <t>Photoadaptation</t>
  </si>
  <si>
    <t>LN(Final CHL/Initial CHL)</t>
  </si>
  <si>
    <t>DEL SYN</t>
  </si>
  <si>
    <t>DEL PICO</t>
  </si>
  <si>
    <t>DEL NANO</t>
  </si>
  <si>
    <t>DEL MICRO</t>
  </si>
  <si>
    <t>DEL weighted by biomass</t>
  </si>
  <si>
    <t>TOTAL DEL CHL</t>
  </si>
  <si>
    <t>SYN %Biomass</t>
  </si>
  <si>
    <t>PICO %Biomass</t>
  </si>
  <si>
    <t>NANO %Biomass</t>
  </si>
  <si>
    <t>MICRO %Biomass</t>
  </si>
  <si>
    <t>%Biomass of Each Population</t>
  </si>
  <si>
    <t>TOTAL Biomass of Each Population (pg C)</t>
  </si>
  <si>
    <t>Biomass (pg C/cell)</t>
  </si>
  <si>
    <t>SYN</t>
  </si>
  <si>
    <t>PICO</t>
  </si>
  <si>
    <t>NANO</t>
  </si>
  <si>
    <t>MICRO</t>
  </si>
  <si>
    <t>SYN TOTAL</t>
  </si>
  <si>
    <t>PICO TOTAL</t>
  </si>
  <si>
    <t>NANO TOTAL</t>
  </si>
  <si>
    <t>MICRO TOTAL</t>
  </si>
  <si>
    <t>27: A01 5m.fcs</t>
  </si>
  <si>
    <t>28: A02 12m.fcs</t>
  </si>
  <si>
    <t>29: A03 20m.fcs</t>
  </si>
  <si>
    <t>30: A04 30m.fcs</t>
  </si>
  <si>
    <t>31: A05 40m.fcs</t>
  </si>
  <si>
    <t>32: A06 50m.fcs</t>
  </si>
  <si>
    <t>54: A01 1a.fcs</t>
  </si>
  <si>
    <t>55: A02 1b.fcs</t>
  </si>
  <si>
    <t>56: A03 1c.fcs</t>
  </si>
  <si>
    <t>57: A04 2a.fcs</t>
  </si>
  <si>
    <t>58: A05 2b.fcs</t>
  </si>
  <si>
    <t>59: A06 2c.fcs</t>
  </si>
  <si>
    <t>60: B01 3a.fcs</t>
  </si>
  <si>
    <t>61: B02 3b.fcs</t>
  </si>
  <si>
    <t>62: B03 3c.fcs</t>
  </si>
  <si>
    <t>63: B04 4a.fcs</t>
  </si>
  <si>
    <t>64: B05 4b.fcs</t>
  </si>
  <si>
    <t>65: B06 4c.fcs</t>
  </si>
  <si>
    <t>66: C01 5a.fcs</t>
  </si>
  <si>
    <t>67: C02 5b.fcs</t>
  </si>
  <si>
    <t>68: C03 5c.fcs</t>
  </si>
  <si>
    <t>69: C04 6a.fcs</t>
  </si>
  <si>
    <t>70: C05 6b.fcs</t>
  </si>
  <si>
    <t>71: C06 6c.fcs</t>
  </si>
  <si>
    <t>102: A01 1.fcs</t>
  </si>
  <si>
    <t>103: A02 2.fcs</t>
  </si>
  <si>
    <t>104: A03 3.fcs</t>
  </si>
  <si>
    <t>105: A04 4.fcs</t>
  </si>
  <si>
    <t>106: A05 5.fcs</t>
  </si>
  <si>
    <t>107: A06 6.fcs</t>
  </si>
  <si>
    <t>108: B01 7.fcs</t>
  </si>
  <si>
    <t>109: B02 8.fcs</t>
  </si>
  <si>
    <t>33: A01 1a.fcs</t>
  </si>
  <si>
    <t>34: A02 1b.fcs</t>
  </si>
  <si>
    <t>35: A03 1c.fcs</t>
  </si>
  <si>
    <t>36: A04 2a.fcs</t>
  </si>
  <si>
    <t>37: A05 2b.fcs</t>
  </si>
  <si>
    <t>38: A06 2c.fcs</t>
  </si>
  <si>
    <t>39: B01 3a.fcs</t>
  </si>
  <si>
    <t>40: B02 3b.fcs</t>
  </si>
  <si>
    <t>41: B03 3c.fcs</t>
  </si>
  <si>
    <t>42: B04 4a.fcs</t>
  </si>
  <si>
    <t>43: B05 4b.fcs</t>
  </si>
  <si>
    <t>44: B06 4c.fcs</t>
  </si>
  <si>
    <t>45: C01 5a.fcs</t>
  </si>
  <si>
    <t>46: C02 5b.fcs</t>
  </si>
  <si>
    <t>47: C03 5c.fcs</t>
  </si>
  <si>
    <t>48: C04 6a.fcs</t>
  </si>
  <si>
    <t>49: C05 6b.fcs</t>
  </si>
  <si>
    <t>50: C06 6c.fcs</t>
  </si>
  <si>
    <t>Depth</t>
  </si>
  <si>
    <t>Depth (m)</t>
  </si>
  <si>
    <t>19: A01 5m.fcs</t>
  </si>
  <si>
    <t>20: A02 12m.fcs</t>
  </si>
  <si>
    <t>21: A03 20m.fcs</t>
  </si>
  <si>
    <t>22: A04 30m.fcs</t>
  </si>
  <si>
    <t>23: A05 40m.fcs</t>
  </si>
  <si>
    <t>24: A06 50m.fcs</t>
  </si>
  <si>
    <t>25: B01 70m.fcs</t>
  </si>
  <si>
    <t>26: B02 100m.fcs</t>
  </si>
  <si>
    <t>1: A01 MD4F 1a.fcs</t>
  </si>
  <si>
    <t>2: A02 MD4F 1b.fcs</t>
  </si>
  <si>
    <t>3: A03 MD4F 1c.fcs</t>
  </si>
  <si>
    <t>4: A04 MD4F 2a.fcs</t>
  </si>
  <si>
    <t>5: A05 MD4F 2b.fcs</t>
  </si>
  <si>
    <t>6: A06 MD4F 2c.fcs</t>
  </si>
  <si>
    <t>7: B01 MD4F 3a.fcs</t>
  </si>
  <si>
    <t>8: B02 MD4F 3b.fcs</t>
  </si>
  <si>
    <t>9: B03 MD4F 3c.fcs</t>
  </si>
  <si>
    <t>10: B04 MD4F 4a.fcs</t>
  </si>
  <si>
    <t>11: B05 MD4F 4b.fcs</t>
  </si>
  <si>
    <t>12: B06 MD4F 4c.fcs</t>
  </si>
  <si>
    <t>13: C01 MD4F 5a.fcs</t>
  </si>
  <si>
    <t>14: C02 MD4F 5b.fcs</t>
  </si>
  <si>
    <t>15: C03 MD4F 5c.fcs</t>
  </si>
  <si>
    <t>16: C04 MD4F 6a.fcs</t>
  </si>
  <si>
    <t>17: C05 MD4F 6b.fcs</t>
  </si>
  <si>
    <t>18: C06 MD4F 6c.fcs</t>
  </si>
  <si>
    <t>86: A01 MD5 Init 5m.fcs</t>
  </si>
  <si>
    <t>87: A02 MD5 Init 12m.fcs</t>
  </si>
  <si>
    <t>88: A03 MD5 Init 20m.fcs</t>
  </si>
  <si>
    <t>89: A04 MD5 Init 30m.fcs</t>
  </si>
  <si>
    <t>90: A05 MD5 Init 40m.fcs</t>
  </si>
  <si>
    <t>91: A06 MD5 init 50m.fcs</t>
  </si>
  <si>
    <t>92: B01 U9115 70m.fcs</t>
  </si>
  <si>
    <t>93: B02 U9115 100m.fcs</t>
  </si>
  <si>
    <t>110: A01 MD5 1a.fcs</t>
  </si>
  <si>
    <t>111: A02 MD5 1b.fcs</t>
  </si>
  <si>
    <t>112: A03 MD5 1c.fcs</t>
  </si>
  <si>
    <t>113: A04 MD5 2a.fcs</t>
  </si>
  <si>
    <t>114: A05 MD5 2b.fcs</t>
  </si>
  <si>
    <t>115: A06 MD5 2c.fcs</t>
  </si>
  <si>
    <t>116: B01 MD5 3a.fcs</t>
  </si>
  <si>
    <t>117: B02 MD5 3b.fcs</t>
  </si>
  <si>
    <t>118: B03 MD5 3c.fcs</t>
  </si>
  <si>
    <t>119: B04 MD5 4a.fcs</t>
  </si>
  <si>
    <t>120: B05 MD5 4b.fcs</t>
  </si>
  <si>
    <t>121: B06 MD5 4c.fcs</t>
  </si>
  <si>
    <t>122: C01 MD5 5a.fcs</t>
  </si>
  <si>
    <t>123: C02 MD5 5b.fcs</t>
  </si>
  <si>
    <t>124: C03 MD5 5c.fcs</t>
  </si>
  <si>
    <t>125: C04 MD5 6a.fcs</t>
  </si>
  <si>
    <t>126: C05 MD5 6b.fcs</t>
  </si>
  <si>
    <t>127: C06 MD5 6c.fcs</t>
  </si>
  <si>
    <t>128: A01 MD6-5m.fcs</t>
  </si>
  <si>
    <t>129: A02 MD6-12m.fcs</t>
  </si>
  <si>
    <t>130: A03 MD6-20m.fcs</t>
  </si>
  <si>
    <t>131: A04 MD6-30m.fcs</t>
  </si>
  <si>
    <t>132: A05 MD6-40m.fcs</t>
  </si>
  <si>
    <t>133: A06 MD6-50m.fcs</t>
  </si>
  <si>
    <t>134: B01 U9119 70m.fcs</t>
  </si>
  <si>
    <t>135: B02 U9119 100m.fcs</t>
  </si>
  <si>
    <t>136: B03 MD6F 30m 4a.fcs</t>
  </si>
  <si>
    <t>137: B04 MD6F 30m 4b.fcs</t>
  </si>
  <si>
    <t>138: B05 MD6F 30m 4c.fcs</t>
  </si>
  <si>
    <t>139: B06 MD6F 40m 5a.fcs</t>
  </si>
  <si>
    <t>140: C01 MD6F 40m 5b.fcs</t>
  </si>
  <si>
    <t>141: C02 MD6F 40m 5c.fcs</t>
  </si>
  <si>
    <t>142: C03 MD6F 50m 6a.fcs</t>
  </si>
  <si>
    <t>143: C04 MD6F 50m 6b.fcs</t>
  </si>
  <si>
    <t>145: C06 MD6F 6c.fcs</t>
  </si>
  <si>
    <t>1: A01 U9125 MD7 Init 5m.fcs</t>
  </si>
  <si>
    <t>2: A02 MD7 Init 12m.fcs</t>
  </si>
  <si>
    <t>3: A03 MD7 Init 20m.fcs</t>
  </si>
  <si>
    <t>4: A04 MD7 Init 30m.fcs</t>
  </si>
  <si>
    <t>5: A05 MD7 Init 40m.fcs</t>
  </si>
  <si>
    <t>6: A06 MD7 Init 60m.fcs</t>
  </si>
  <si>
    <t>7: B01 MD7 Init 80m.fcs</t>
  </si>
  <si>
    <t>9: A01 7F 1a.fcs</t>
  </si>
  <si>
    <t>10: A02 7F 1b.fcs</t>
  </si>
  <si>
    <t>11: A03 7F 1c.fcs</t>
  </si>
  <si>
    <t>12: A04 7F 2a.fcs</t>
  </si>
  <si>
    <t>13: A05 7F 2b.fcs</t>
  </si>
  <si>
    <t>14: A06 7F 2c.fcs</t>
  </si>
  <si>
    <t>15: B01 7F 3a.fcs</t>
  </si>
  <si>
    <t>16: B02 7F 3b.fcs</t>
  </si>
  <si>
    <t>17: B03 7F 3c.fcs</t>
  </si>
  <si>
    <t>18: B04 7F4a.fcs</t>
  </si>
  <si>
    <t>19: B05 7F 4b.fcs</t>
  </si>
  <si>
    <t>20: B06 7F 4c.fcs</t>
  </si>
  <si>
    <t>21: C01 7F 5a.fcs</t>
  </si>
  <si>
    <t>22: C02 7F 5b.fcs</t>
  </si>
  <si>
    <t>23: C03 7F 5c.fcs</t>
  </si>
  <si>
    <t>24: C04 7F 6a.fcs</t>
  </si>
  <si>
    <t>25: C05 7F 6b.fcs</t>
  </si>
  <si>
    <t>26: C06 7F 6c.fcs</t>
  </si>
  <si>
    <t>8: B02 MD7 Init 100m.fcs</t>
  </si>
  <si>
    <t>SYN NO.</t>
  </si>
  <si>
    <t>PICO1 NO.</t>
  </si>
  <si>
    <t>PICO2 NO.</t>
  </si>
  <si>
    <t>NANO NO.</t>
  </si>
  <si>
    <t>MICRO NO.</t>
  </si>
  <si>
    <t>1: C01 U9136 5m.fcs</t>
  </si>
  <si>
    <t>2: C02 12m.fcs</t>
  </si>
  <si>
    <t>3: C03 20m.fcs</t>
  </si>
  <si>
    <t>4: C04 30m.fcs</t>
  </si>
  <si>
    <t>5: C05 40m.fcs</t>
  </si>
  <si>
    <t>6: C06 60m.fcs</t>
  </si>
  <si>
    <t>7: D01 80m.fcs</t>
  </si>
  <si>
    <t>8: D02 100m.fcs</t>
  </si>
  <si>
    <t>9: A01 MD9 1a.fcs</t>
  </si>
  <si>
    <t>10: A02 MD9 1b.fcs</t>
  </si>
  <si>
    <t>11: A03 MD9 1c.fcs</t>
  </si>
  <si>
    <t>12: A04 MD9 2a.fcs</t>
  </si>
  <si>
    <t>13: A05 MD9 2b.fcs</t>
  </si>
  <si>
    <t>14: A06 MD9 2c.fcs</t>
  </si>
  <si>
    <t>15: B01 MD9 3a.fcs</t>
  </si>
  <si>
    <t>16: B02 MD9 3b.fcs</t>
  </si>
  <si>
    <t>17: B03 MD9 3c.fcs</t>
  </si>
  <si>
    <t>18: B04 MD9 4a.fcs</t>
  </si>
  <si>
    <t>19: B05 MF9 4b.fcs</t>
  </si>
  <si>
    <t>20: B06 MD9 4c.fcs</t>
  </si>
  <si>
    <t>21: C01 MD9 5a.fcs</t>
  </si>
  <si>
    <t>22: C02 MD9 5b.fcs</t>
  </si>
  <si>
    <t>23: C03 MD9 5c.fcs</t>
  </si>
  <si>
    <t>24: C04 MD9 6a.fcs</t>
  </si>
  <si>
    <t>25: C05 MD9 6b.fcs</t>
  </si>
  <si>
    <t>26: C06 MD9 6c.fcs</t>
  </si>
  <si>
    <t>1: A01 U1938 5m.fcs</t>
  </si>
  <si>
    <t>2: A02 U1938 12m.fcs</t>
  </si>
  <si>
    <t>3: A03 U1938 20m.fcs</t>
  </si>
  <si>
    <t>4: A04 U1938 25m.fcs</t>
  </si>
  <si>
    <t>5: A05 U1938 30m.fcs</t>
  </si>
  <si>
    <t>6: A06 U1938 40m.fcs</t>
  </si>
  <si>
    <t>7: B01 U1938 70m.fcs</t>
  </si>
  <si>
    <t>8: B02 U1938 100m.fcs</t>
  </si>
  <si>
    <t>9: A01 MD10 1a.fcs</t>
  </si>
  <si>
    <t>10: A02 MD10 1b.fcs</t>
  </si>
  <si>
    <t>11: A03 MD10 1c.fcs</t>
  </si>
  <si>
    <t>12: A04 MD10 2a.fcs</t>
  </si>
  <si>
    <t>13: A05 MD10 2b.fcs</t>
  </si>
  <si>
    <t>14: A06 MD10 2c.fcs</t>
  </si>
  <si>
    <t>15: B01 MD10 3a.fcs</t>
  </si>
  <si>
    <t>16: B02 MD10 3b.fcs</t>
  </si>
  <si>
    <t>17: B03 MD10 3c.fcs</t>
  </si>
  <si>
    <t>18: B04 MD10 4a.fcs</t>
  </si>
  <si>
    <t>19: B05 MD10 4b.fcs</t>
  </si>
  <si>
    <t>20: B06 MD10 4c.fcs</t>
  </si>
  <si>
    <t>21: C01 MD10 5a.fcs</t>
  </si>
  <si>
    <t>22: C02 MD10 5b.fcs</t>
  </si>
  <si>
    <t>23: C03 MD10 5c.fcs</t>
  </si>
  <si>
    <t>24: C04 MD10 6a.fcs</t>
  </si>
  <si>
    <t>25: C05 MD10 6b.fcs</t>
  </si>
  <si>
    <t>26: C06 MD10 6c.fcs</t>
  </si>
  <si>
    <t>1: C01 U1941 5m.fcs</t>
  </si>
  <si>
    <t>2: C02 U1941 12m.fcs</t>
  </si>
  <si>
    <t>3: C03 U1941 20m.fcs</t>
  </si>
  <si>
    <t>4: C04 U1941 25m.fcs</t>
  </si>
  <si>
    <t>5: C05 U1941 30m.fcs</t>
  </si>
  <si>
    <t>6: C06 U1941 35m.fcs</t>
  </si>
  <si>
    <t>7: D01 U1941 70m.fcs</t>
  </si>
  <si>
    <t>8: D02 U1941 100m.fcs</t>
  </si>
  <si>
    <t>9: A01 MD11F 1a.fcs</t>
  </si>
  <si>
    <t>10: A02 MD11F 1b.fcs</t>
  </si>
  <si>
    <t>11: A03 MD11F 1c.fcs</t>
  </si>
  <si>
    <t>12: A04 MD11F 2a.fcs</t>
  </si>
  <si>
    <t>13: A05 MD11F 2b.fcs</t>
  </si>
  <si>
    <t>14: A06 MD11F 2c.fcs</t>
  </si>
  <si>
    <t>15: B01 MD11F 3a.fcs</t>
  </si>
  <si>
    <t>16: B02 MD11F 3b.fcs</t>
  </si>
  <si>
    <t>17: B03 MD11F 3c.fcs</t>
  </si>
  <si>
    <t>18: B04 MD11F 4a.fcs</t>
  </si>
  <si>
    <t>19: B05 MD11F 4b.fcs</t>
  </si>
  <si>
    <t>20: B06 MD11F 4c.fcs</t>
  </si>
  <si>
    <t>21: C01 MD11F 5a.fcs</t>
  </si>
  <si>
    <t>22: C02 MD11F 5b.fcs</t>
  </si>
  <si>
    <t>23: C03 MD11F 5c.fcs</t>
  </si>
  <si>
    <t>24: C04 MD11F 6a.fcs</t>
  </si>
  <si>
    <t>25: C05 MD11F 6b.fcs</t>
  </si>
  <si>
    <t>26: C06 MD11F 6c.fcs</t>
  </si>
  <si>
    <t>1: A01 U9144 5m.fcs</t>
  </si>
  <si>
    <t>2: A02 U9144 12m.fcs</t>
  </si>
  <si>
    <t>3: A03 U9144 20m.fcs</t>
  </si>
  <si>
    <t>4: A04 U9144 30m.fcs</t>
  </si>
  <si>
    <t>5: A05 U9144 40m.fcs</t>
  </si>
  <si>
    <t>6: A06 U9144 50m.fcs</t>
  </si>
  <si>
    <t>7: B01 U9144 70m.fcs</t>
  </si>
  <si>
    <t>8: B02 U9144 100m.fcs</t>
  </si>
  <si>
    <t>9: A01 MD12F 1a.fcs</t>
  </si>
  <si>
    <t>10: A02 MD12F 1b.fcs</t>
  </si>
  <si>
    <t>11: A03 MD12F 1c.fcs</t>
  </si>
  <si>
    <t>12: A04 MD12F 2a.fcs</t>
  </si>
  <si>
    <t>13: A05 MD12F 2b.fcs</t>
  </si>
  <si>
    <t>14: A06 MD12F 2c.fcs</t>
  </si>
  <si>
    <t>15: B01 MD12F 3a.fcs</t>
  </si>
  <si>
    <t>16: B02 MD12F 3b.fcs</t>
  </si>
  <si>
    <t>17: B03 MD12F 3c.fcs</t>
  </si>
  <si>
    <t>18: B04 MD12F 4a.fcs</t>
  </si>
  <si>
    <t>19: B05 MD12F 4b.fcs</t>
  </si>
  <si>
    <t>20: B06 MD12F 4c.fcs</t>
  </si>
  <si>
    <t>21: C01 MD12F 5a.fcs</t>
  </si>
  <si>
    <t>22: C02 MD12F 5b.fcs</t>
  </si>
  <si>
    <t>23: C03 MD12F 5c.fcs</t>
  </si>
  <si>
    <t>24: C04 MD12F 6a.fcs</t>
  </si>
  <si>
    <t>25: C05 MD12F 6b.fcs</t>
  </si>
  <si>
    <t>26: C06 MD12F 6c.fcs</t>
  </si>
  <si>
    <t>2: A01 MD13Init U9149 5m.fcs</t>
  </si>
  <si>
    <t>1: A02 MD13Init 12m.fcs</t>
  </si>
  <si>
    <t>3: A03 MD13Init 20m.fcs</t>
  </si>
  <si>
    <t>4: A04 MD13Init 30m.fcs</t>
  </si>
  <si>
    <t>5: A05 MD13Init 40m.fcs</t>
  </si>
  <si>
    <t>6: A06 MD13Init 50m.fcs</t>
  </si>
  <si>
    <t>7: B01 MD13Init 70m.fcs</t>
  </si>
  <si>
    <t>8: B02 MD13Init 100m.fcs</t>
  </si>
  <si>
    <t>9: A01 MD13F 1a.fcs</t>
  </si>
  <si>
    <t>10: A02 MD13F 1b.fcs</t>
  </si>
  <si>
    <t>11: A03 MD13F 1c.fcs</t>
  </si>
  <si>
    <t>12: A04 MD13F 2a.fcs</t>
  </si>
  <si>
    <t>13: A05 MD13F 2b.fcs</t>
  </si>
  <si>
    <t>14: A06 MD13F 2c.fcs</t>
  </si>
  <si>
    <t>15: B01 MD13F 3a.fcs</t>
  </si>
  <si>
    <t>16: B02 MD13F 3b.fcs</t>
  </si>
  <si>
    <t>17: B03 MD13F 3c.fcs</t>
  </si>
  <si>
    <t>18: B04 MD13F 4a.fcs</t>
  </si>
  <si>
    <t>19: B05 MD13F 4b.fcs</t>
  </si>
  <si>
    <t>20: B06 MD13F 4c.fcs</t>
  </si>
  <si>
    <t>21: C01 MD13F 5a.fcs</t>
  </si>
  <si>
    <t>22: C02 MD13F 5b.fcs</t>
  </si>
  <si>
    <t>23: C03 MD13F 5c.fcs</t>
  </si>
  <si>
    <t>24: C04 MD13F 6a.fcs</t>
  </si>
  <si>
    <t>25: C05 MD13F 6b.fcs</t>
  </si>
  <si>
    <t>26: C06 MD13F 6c.fcs</t>
  </si>
  <si>
    <t>1: C01 MD14Init 5m.fcs</t>
  </si>
  <si>
    <t>2: C02 MD14Init 12m.fcs</t>
  </si>
  <si>
    <t>3: C03 MD14Init 20m.fcs</t>
  </si>
  <si>
    <t>4: C04 MD14Init 30m.fcs</t>
  </si>
  <si>
    <t>5: C05 MD14Init 40m.fcs</t>
  </si>
  <si>
    <t>6: C06 MD14Init 50m.fcs</t>
  </si>
  <si>
    <t>7: D01 MD14Init 70m.fcs</t>
  </si>
  <si>
    <t>8: D02 MD14Init 100m.fcs</t>
  </si>
  <si>
    <t>9: A01 MD14F 1a.fcs</t>
  </si>
  <si>
    <t>10: A02 MD14F 1b.fcs</t>
  </si>
  <si>
    <t>11: A03 MD14F 1c.fcs</t>
  </si>
  <si>
    <t>12: A04 MD14F 2a.fcs</t>
  </si>
  <si>
    <t>13: A05 MD14F 2b.fcs</t>
  </si>
  <si>
    <t>14: A06 MD14F 2c.fcs</t>
  </si>
  <si>
    <t>15: B01 MD14F 3a.fcs</t>
  </si>
  <si>
    <t>16: B02 MD14F 3b.fcs</t>
  </si>
  <si>
    <t>17: B03 MD14F 3c.fcs</t>
  </si>
  <si>
    <t>18: B04 MD14F 4a.fcs</t>
  </si>
  <si>
    <t>19: B05 MD14F 4b.fcs</t>
  </si>
  <si>
    <t>20: B06 MD14F 4c.fcs</t>
  </si>
  <si>
    <t>21: C01 MD14F 5a.fcs</t>
  </si>
  <si>
    <t>22: C02 MD14F 5b.fcs</t>
  </si>
  <si>
    <t>23: C03 MD14F 5c.fcs</t>
  </si>
  <si>
    <t>24: C04 MD14F 6a.fcs</t>
  </si>
  <si>
    <t>25: C05 MD14F 6b.fcs</t>
  </si>
  <si>
    <t>26: C06 MD14F 6c.fcs</t>
  </si>
  <si>
    <t>1: A01 U9155 MD15Init 5m.fcs</t>
  </si>
  <si>
    <t>2: A02 MD15Init 12m.fcs</t>
  </si>
  <si>
    <t>3: A03 MD15Init 20m.fcs</t>
  </si>
  <si>
    <t>4: A04 MD15Init 30m.fcs</t>
  </si>
  <si>
    <t>5: A05 MD15Init 40m.fcs</t>
  </si>
  <si>
    <t>6: A06 MD15Init 50m.fcs</t>
  </si>
  <si>
    <t>7: B01 U9155 70m.fcs</t>
  </si>
  <si>
    <t>8: B02 U9155 100m.fcs</t>
  </si>
  <si>
    <t>9: A01 MD15F 1a.fcs</t>
  </si>
  <si>
    <t>10: A02 MD15F 1b.fcs</t>
  </si>
  <si>
    <t>11: A03 MD15F 1c.fcs</t>
  </si>
  <si>
    <t>12: A04 MD15F 2a.fcs</t>
  </si>
  <si>
    <t>13: A05 MD15F 2b.fcs</t>
  </si>
  <si>
    <t>14: A06 MD15F 2c.fcs</t>
  </si>
  <si>
    <t>15: B01 MD15F 3a.fcs</t>
  </si>
  <si>
    <t>16: B02 MD15F 3b.fcs</t>
  </si>
  <si>
    <t>17: B03 MD15F 3c.fcs</t>
  </si>
  <si>
    <t>18: B04 MD15F 4a.fcs</t>
  </si>
  <si>
    <t>19: B05 MD15F 4b.fcs</t>
  </si>
  <si>
    <t>20: B06 MD15F 4c.fcs</t>
  </si>
  <si>
    <t>21: C01 MD15F 5a.fcs</t>
  </si>
  <si>
    <t>22: C02 MD15F 5b.fcs</t>
  </si>
  <si>
    <t>23: C03 MD15F 5c.fcs</t>
  </si>
  <si>
    <t>24: C04 MD15F 6a.fcs</t>
  </si>
  <si>
    <t>25: C05 MD15F 6b.fcs</t>
  </si>
  <si>
    <t>26: C06 MD15F 6c.fcs</t>
  </si>
  <si>
    <t>1: A03 U9161 5m.fcs</t>
  </si>
  <si>
    <t>2: A04 U9161 12m.fcs</t>
  </si>
  <si>
    <t>3: A05 U9161 25m.fcs</t>
  </si>
  <si>
    <t>4: A06 U9161 45m.fcs</t>
  </si>
  <si>
    <t>5: B01 U9161 70m.fcs</t>
  </si>
  <si>
    <t>6: B02 U9161 90m.fcs</t>
  </si>
  <si>
    <t>7: B03 U9161 100m.fcs</t>
  </si>
  <si>
    <t>8: B04 U9161 120m.fcs</t>
  </si>
  <si>
    <t>9: A01 MD16F 1a.fcs</t>
  </si>
  <si>
    <t>10: A02 MD16F 1b.fcs</t>
  </si>
  <si>
    <t>11: A03 MD16F 1c.fcs</t>
  </si>
  <si>
    <t>12: A04 MD16F 2a.fcs</t>
  </si>
  <si>
    <t>13: A05 MD16F 2b.fcs</t>
  </si>
  <si>
    <t>14: A06 MD16F 2c.fcs</t>
  </si>
  <si>
    <t>15: B01 MD16F 3a.fcs</t>
  </si>
  <si>
    <t>16: B02 MD16F 3b.fcs</t>
  </si>
  <si>
    <t>17: B03 MD16F 3c.fcs</t>
  </si>
  <si>
    <t>18: B04 MD16F 4a.fcs</t>
  </si>
  <si>
    <t>19: B05 MD16F 4b.fcs</t>
  </si>
  <si>
    <t>20: B06 MD16F 4c.fcs</t>
  </si>
  <si>
    <t>21: C01 MD16F 5a.fcs</t>
  </si>
  <si>
    <t>22: C02 MD16F 5b.fcs</t>
  </si>
  <si>
    <t>23: C03 MD16F 5c.fcs</t>
  </si>
  <si>
    <t>24: C04 MD16F 6a.fcs</t>
  </si>
  <si>
    <t>25: C05 MD16F 6b.fcs</t>
  </si>
  <si>
    <t>26: C06 MD16F 6c.fcs</t>
  </si>
  <si>
    <t>1: C03 U9164 MD17Init 5m.fcs</t>
  </si>
  <si>
    <t>2: C04 U9164 MD17Init 12m.fcs</t>
  </si>
  <si>
    <t>3: C05 U9164 MD17Init 25m.fcs</t>
  </si>
  <si>
    <t>4: C06 U9164 MD17Init 45m.fcs</t>
  </si>
  <si>
    <t>5: D01 U9164 MD17Init 70m.fcs</t>
  </si>
  <si>
    <t>6: D02 U9164 MD17Init 100m.fcs</t>
  </si>
  <si>
    <t>7: D03 U9164 MD17Init 120m.fcs</t>
  </si>
  <si>
    <t>8: D04 U9164 MD17Init 150m.fcs</t>
  </si>
  <si>
    <t>9: A01 MD17F 1a.fcs</t>
  </si>
  <si>
    <t>10: A02 MD17F 1b.fcs</t>
  </si>
  <si>
    <t>11: A03 MD17F 1c.fcs</t>
  </si>
  <si>
    <t>12: A04 MD17F 2a.fcs</t>
  </si>
  <si>
    <t>13: A05 MD17F 2b.fcs</t>
  </si>
  <si>
    <t>14: A06 MD17F 2c.fcs</t>
  </si>
  <si>
    <t>15: B01 MD17F 3a.fcs</t>
  </si>
  <si>
    <t>16: B02 MD17F 3b.fcs</t>
  </si>
  <si>
    <t>17: B03 MD17F 3c.fcs</t>
  </si>
  <si>
    <t>18: B04 MD17F 4a.fcs</t>
  </si>
  <si>
    <t>19: B05 MD17F 4b.fcs</t>
  </si>
  <si>
    <t>20: B06 MD17F 4c.fcs</t>
  </si>
  <si>
    <t>21: C01 MD17F 5a.fcs</t>
  </si>
  <si>
    <t>22: C02 MD17F 5b.fcs</t>
  </si>
  <si>
    <t>23: C03 MD17F 5c.fcs</t>
  </si>
  <si>
    <t>24: C04 MD17F 6a.fcs</t>
  </si>
  <si>
    <t>25: C05 MD17F 6b.fcs</t>
  </si>
  <si>
    <t>26: C06 MD17F 6c.fcs</t>
  </si>
  <si>
    <t>1: A01 U9167 MD18Init 5m.fcs</t>
  </si>
  <si>
    <t>2: A02 U9167 MD18Init 12m.fcs</t>
  </si>
  <si>
    <t>3: A03 U9167 MD18Init 30m.fcs</t>
  </si>
  <si>
    <t>4: A04 U9167 MD18Init 50m.fcs</t>
  </si>
  <si>
    <t>5: A05 U9167 MD18Init 60m.fcs</t>
  </si>
  <si>
    <t>6: A06 U9167 MD18Init 70m.fcs</t>
  </si>
  <si>
    <t>7: B01 U9167 MD18Init 100m.fcs</t>
  </si>
  <si>
    <t>8: B02 U9167 MD18Init 120m.fcs</t>
  </si>
  <si>
    <t>9: A01 MD18F 1a.fcs</t>
  </si>
  <si>
    <t>10: A02 MD18F 1b.fcs</t>
  </si>
  <si>
    <t>11: A03 MD18F 1c.fcs</t>
  </si>
  <si>
    <t>12: A04 MD18F 2a.fcs</t>
  </si>
  <si>
    <t>13: A05 MD18F 2b.fcs</t>
  </si>
  <si>
    <t>14: A06 MD18F 2c.fcs</t>
  </si>
  <si>
    <t>15: B01 MD18F 3a.fcs</t>
  </si>
  <si>
    <t>16: B02 MD18F 3b.fcs</t>
  </si>
  <si>
    <t>17: B03 MD18F 3c.fcs</t>
  </si>
  <si>
    <t>18: B04 MD18F 4a.fcs</t>
  </si>
  <si>
    <t>19: B05 MD18F 4b.fcs</t>
  </si>
  <si>
    <t>20: B06 MD18F 4c.fcs</t>
  </si>
  <si>
    <t>21: C01 MD18F 5a.fcs</t>
  </si>
  <si>
    <t>22: C02 MD18F 5b.fcs</t>
  </si>
  <si>
    <t>23: C03 MD18F 5c.fcs</t>
  </si>
  <si>
    <t>24: C04 MD18F 6a.fcs</t>
  </si>
  <si>
    <t>25: C05 MD18F 6b.fcs</t>
  </si>
  <si>
    <t>26: C06 MD18F 6c.fcs</t>
  </si>
  <si>
    <t>4: A03 70m.fcs</t>
  </si>
  <si>
    <t>6: A04 100m.fcs</t>
  </si>
  <si>
    <t>PICO1 MEAN CHL</t>
  </si>
  <si>
    <t>PICO2 MEAN CHL</t>
  </si>
  <si>
    <t>PICO1 MEAN FS</t>
  </si>
  <si>
    <t>PICO2 MEAN FS</t>
  </si>
  <si>
    <t>PICO1 Mean DIAM</t>
  </si>
  <si>
    <t>PICO2 Mean DIAM</t>
  </si>
  <si>
    <t>PICO1 Volume</t>
  </si>
  <si>
    <t>PICO2 Volume</t>
  </si>
  <si>
    <t>PICO1</t>
  </si>
  <si>
    <t>PICO2</t>
  </si>
  <si>
    <t>PICO1 TOTAL</t>
  </si>
  <si>
    <t>PICO2 TOTAL</t>
  </si>
  <si>
    <t>PICO1 %Biomass</t>
  </si>
  <si>
    <t>PICO2 %Biomass</t>
  </si>
  <si>
    <t>DEL PICO1</t>
  </si>
  <si>
    <t>DEL PICO2</t>
  </si>
  <si>
    <t>MD Expt</t>
  </si>
  <si>
    <t>Initial Date</t>
  </si>
  <si>
    <t>Initial Time</t>
  </si>
  <si>
    <t>Final Date</t>
  </si>
  <si>
    <t xml:space="preserve">Final Time </t>
  </si>
  <si>
    <t>Interval (h)</t>
  </si>
  <si>
    <t>Interval (d)</t>
  </si>
  <si>
    <t>Cycle</t>
  </si>
  <si>
    <t xml:space="preserve">Interval is the length of time the MD experiments between the initial FCM (live) sample analysis (start of first sample run) and the final FCM (live) sample analysis (start of final sample run).  </t>
  </si>
  <si>
    <t>-</t>
  </si>
  <si>
    <t>Comments</t>
  </si>
  <si>
    <t>on depths 4, 5, 6 recovered</t>
  </si>
  <si>
    <t>Bad weather, did not recover array in time for samples</t>
  </si>
  <si>
    <t>Deckboard incubation</t>
  </si>
  <si>
    <t>MD1: note that only top 2 depths recovered; incubation length - 27 hours (1.125 days)</t>
  </si>
  <si>
    <t>MD2; 1.25 d interval</t>
  </si>
  <si>
    <t>AVERAGE INCUBATION TIME</t>
  </si>
  <si>
    <t>STDEV</t>
  </si>
  <si>
    <t>MD</t>
  </si>
  <si>
    <t>NONE</t>
  </si>
  <si>
    <t>Volume Ran (ml)</t>
  </si>
  <si>
    <t>SYN/mL</t>
  </si>
  <si>
    <t>PICO/mL</t>
  </si>
  <si>
    <t>NANO/mL</t>
  </si>
  <si>
    <t>MICRO/mL</t>
  </si>
  <si>
    <t>SYN (µg C/L)</t>
  </si>
  <si>
    <t>PICO (µg C/L)</t>
  </si>
  <si>
    <t>NANO (µg C/L)</t>
  </si>
  <si>
    <t>MICRO (µg C/L)</t>
  </si>
  <si>
    <t>pg C/cell * cells/mL * 10^3/10^6</t>
  </si>
  <si>
    <t>TOTAL µg C/L</t>
  </si>
  <si>
    <t>Phytobiomass (ug C/L)</t>
  </si>
  <si>
    <t>Estimates of Cell Concentration &amp; Biomass</t>
  </si>
  <si>
    <t>Assumes 25 µL dead volume in instrument prior to analyzing sample; run volume based on initial/final volume measured in sample tube</t>
  </si>
  <si>
    <t>TOTAL w/o MICRO</t>
  </si>
  <si>
    <t>SYN m</t>
  </si>
  <si>
    <t>SYN k</t>
  </si>
  <si>
    <t>SYN µ0</t>
  </si>
  <si>
    <t>k+m</t>
  </si>
  <si>
    <t>(kd-k)/(1-0.25)</t>
  </si>
  <si>
    <t>SYN k(N)</t>
  </si>
  <si>
    <t xml:space="preserve"> </t>
  </si>
  <si>
    <t>LN (f/i)/t</t>
  </si>
  <si>
    <t>SYN µ</t>
  </si>
  <si>
    <t>BIOMASS-BASED RATES</t>
  </si>
  <si>
    <t>PICO k(N)</t>
  </si>
  <si>
    <t>PICO m</t>
  </si>
  <si>
    <t>PICO µ0</t>
  </si>
  <si>
    <t>NANO k(N)</t>
  </si>
  <si>
    <t>NANO m</t>
  </si>
  <si>
    <t>NANO µ0</t>
  </si>
  <si>
    <t>MICRO k(N)</t>
  </si>
  <si>
    <t>MICRO m</t>
  </si>
  <si>
    <t>MICRO µ0</t>
  </si>
  <si>
    <t>TOTAL w/o MICRO k</t>
  </si>
  <si>
    <t>TOTAL m</t>
  </si>
  <si>
    <t>TOTAL µ0</t>
  </si>
  <si>
    <t>5 m</t>
  </si>
  <si>
    <t>12 m</t>
  </si>
  <si>
    <t>20m</t>
  </si>
  <si>
    <t>20 m</t>
  </si>
  <si>
    <t>30 m</t>
  </si>
  <si>
    <t>40 m</t>
  </si>
  <si>
    <t>50 m</t>
  </si>
  <si>
    <t xml:space="preserve"> 50 m</t>
  </si>
  <si>
    <t>MD3: incub. Time (d)</t>
  </si>
  <si>
    <t>MD5; Incub Time (d):</t>
  </si>
  <si>
    <t xml:space="preserve"> only 3 depths recovered</t>
  </si>
  <si>
    <t>MD6: incub time (d):</t>
  </si>
  <si>
    <t>MD7; incub time (d)</t>
  </si>
  <si>
    <t>PICO1 No.</t>
  </si>
  <si>
    <t>PICO2/mL</t>
  </si>
  <si>
    <t>PICO1/mL</t>
  </si>
  <si>
    <t>PICO2 No.</t>
  </si>
  <si>
    <t>PICO1 (µg C/L)</t>
  </si>
  <si>
    <t>PICO2 (µg C/L)</t>
  </si>
  <si>
    <t>PICO1 k(N)</t>
  </si>
  <si>
    <t>PICO2 k(N)</t>
  </si>
  <si>
    <t>PICO2 m</t>
  </si>
  <si>
    <t>PICO2 µ0</t>
  </si>
  <si>
    <t>PICO1 m</t>
  </si>
  <si>
    <t>PICO1 µ0</t>
  </si>
  <si>
    <t>MD9; incub time (d)</t>
  </si>
  <si>
    <t>MD10; incub time (d):</t>
  </si>
  <si>
    <t>MD11; incub. Time (d):</t>
  </si>
  <si>
    <t>MD12; incub time (d):</t>
  </si>
  <si>
    <t>MD13; incub time (d):</t>
  </si>
  <si>
    <t>MD14; incub. Time (d):</t>
  </si>
  <si>
    <t>MD15; incub time (d):</t>
  </si>
  <si>
    <t>MD16; incub time (d):</t>
  </si>
  <si>
    <t>MD17; incub. Time (d):</t>
  </si>
  <si>
    <t>MD18; incub time (d):</t>
  </si>
  <si>
    <t>MD4; incubation time (d)</t>
  </si>
  <si>
    <t>w/o MICRO</t>
  </si>
  <si>
    <t>PICO CHL/FSC</t>
  </si>
  <si>
    <t>NANO CHL/FSC</t>
  </si>
  <si>
    <t>PICO/(PICO+NANO)</t>
  </si>
  <si>
    <t>NANO/(PICO+NANO)</t>
  </si>
  <si>
    <t>WEIGHTED DEL</t>
  </si>
  <si>
    <t>%of BIOMASS</t>
  </si>
  <si>
    <t>PICO1 CHL/FSC</t>
  </si>
  <si>
    <t>PICO2 CHL/FSC</t>
  </si>
  <si>
    <t>PICO1/(PICO1+PICO2+NANO)</t>
  </si>
  <si>
    <t>PICO2/(PICO1+PICO2+NANO)</t>
  </si>
  <si>
    <t>NANO/(PICO1+PICO2+NANO)</t>
  </si>
  <si>
    <t>%of BIOMASS FL3/FSC</t>
  </si>
  <si>
    <t>PICO CHL</t>
  </si>
  <si>
    <t>NANO CHL</t>
  </si>
  <si>
    <t>%of BIOMASS FL3</t>
  </si>
  <si>
    <t>CHLA</t>
  </si>
  <si>
    <t>CHLA/FS</t>
  </si>
  <si>
    <t>PICO1 CHL</t>
  </si>
  <si>
    <t>PICO2 CHL</t>
  </si>
  <si>
    <t>Phi.SYN.chla</t>
  </si>
  <si>
    <t>Phi.PICO.chla</t>
  </si>
  <si>
    <t>Phi.NANO.chla</t>
  </si>
  <si>
    <t>Phi.MICRO.chla</t>
  </si>
  <si>
    <t>Phi.ALL.chla</t>
  </si>
  <si>
    <t>%Biomass of PICO &amp; NANO</t>
  </si>
  <si>
    <t>Phi.PICO.chlaFS</t>
  </si>
  <si>
    <t>Phi.NANO.chlaFS</t>
  </si>
  <si>
    <t>Phi.PICO.NANO.chlaFS</t>
  </si>
  <si>
    <t>2-weighted by chl/fs PICO</t>
  </si>
  <si>
    <t>3-weighted by chl/fs NANO</t>
  </si>
  <si>
    <t>Phi.PICO.NANO.chla</t>
  </si>
  <si>
    <t>4-weighted by chl/fs then biomass in PICO &amp; NANO</t>
  </si>
  <si>
    <t>1-weighted by biomass in ALL POPS</t>
  </si>
  <si>
    <t>5-weighted by chla PICO</t>
  </si>
  <si>
    <t>6-weighted by chla NANO</t>
  </si>
  <si>
    <t>7-weighted by chla then biomass in PICO &amp; NANO</t>
  </si>
  <si>
    <t>SYN.pct.biomass</t>
  </si>
  <si>
    <t>PICO.pct.biomass</t>
  </si>
  <si>
    <t>NANO.pct.biomass</t>
  </si>
  <si>
    <t xml:space="preserve"> MICRO.pct.biomass</t>
  </si>
  <si>
    <t>Pico_PICONANO.pct.biomass</t>
  </si>
  <si>
    <t>Nano_PICONANO.pct.biomass</t>
  </si>
  <si>
    <t>PICO.chlFS</t>
  </si>
  <si>
    <t>NANO.chlFS</t>
  </si>
  <si>
    <t>PICO.chl</t>
  </si>
  <si>
    <t>NANO.chl</t>
  </si>
  <si>
    <t>m.chla</t>
  </si>
  <si>
    <t>unut.chla</t>
  </si>
  <si>
    <t>unet.chla</t>
  </si>
  <si>
    <t>u.chla</t>
  </si>
  <si>
    <t>u.chla.corr4</t>
  </si>
  <si>
    <t>unet.chla.corr4</t>
  </si>
  <si>
    <t>u.chla.corr7</t>
  </si>
  <si>
    <t>unet.chla.corr7</t>
  </si>
  <si>
    <t>NL.chla</t>
  </si>
  <si>
    <t>m.SYN</t>
  </si>
  <si>
    <t>u.SYN</t>
  </si>
  <si>
    <t>unet.SYN</t>
  </si>
  <si>
    <t>unut.SYN</t>
  </si>
  <si>
    <t>NL.SYN</t>
  </si>
  <si>
    <t>m.PICO</t>
  </si>
  <si>
    <t>u.PICO</t>
  </si>
  <si>
    <t>unet.PICO</t>
  </si>
  <si>
    <t>unut.PICO</t>
  </si>
  <si>
    <t>NL.PICO</t>
  </si>
  <si>
    <t>m.NANO</t>
  </si>
  <si>
    <t>u.NANO</t>
  </si>
  <si>
    <t>unet.NANO</t>
  </si>
  <si>
    <t>unut.NANO</t>
  </si>
  <si>
    <t>NL.NANO</t>
  </si>
  <si>
    <t>m.MICRO</t>
  </si>
  <si>
    <t>u.MICRO</t>
  </si>
  <si>
    <t>unet.MICRO</t>
  </si>
  <si>
    <t>unut.MICRO</t>
  </si>
  <si>
    <t>NL.MICRO</t>
  </si>
  <si>
    <t>unut.chla.corr4</t>
  </si>
  <si>
    <t>unut.chla.corr7</t>
  </si>
  <si>
    <t>NL.chla.corr4</t>
  </si>
  <si>
    <t>NL.chla.corr7</t>
  </si>
  <si>
    <t>QC.chla</t>
  </si>
  <si>
    <t>QC.SYN</t>
  </si>
  <si>
    <t>QC.PICO</t>
  </si>
  <si>
    <t>QC.NANO</t>
  </si>
  <si>
    <t>QC.MICRO</t>
  </si>
  <si>
    <t>QA: 0=ok, 1=grazing substantially negative, 2=growth &amp; grazing substantially negative, 3=erratic/weird  trend</t>
  </si>
  <si>
    <t>u.chla.corr1</t>
  </si>
  <si>
    <t>unet.chla.corr1</t>
  </si>
  <si>
    <t>unut.chla.corr1</t>
  </si>
  <si>
    <t>Cruise</t>
  </si>
  <si>
    <t>Station</t>
  </si>
  <si>
    <t>CTD_number</t>
  </si>
  <si>
    <t>Cast</t>
  </si>
  <si>
    <t>Date</t>
  </si>
  <si>
    <t>CTD_time</t>
  </si>
  <si>
    <t>TAN1810</t>
  </si>
  <si>
    <t>predawn</t>
  </si>
  <si>
    <t>u.chla.corr2</t>
  </si>
  <si>
    <t>u.chla.corr3</t>
  </si>
  <si>
    <t>u.chla.corr5</t>
  </si>
  <si>
    <t>u.chla.corr6</t>
  </si>
  <si>
    <t xml:space="preserve">Depth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</si>
</sst>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F400]h:mm:ss\ AM/PM"/>
    <numFmt numFmtId="167" formatCode="0.0000"/>
    <numFmt numFmtId="168" formatCode="d/mm/yyyy;@"/>
  </numFmts>
  <fonts count="13"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i/>
      <sz val="12"/>
      <color theme="1"/>
      <name val="Calibri"/>
      <family val="2"/>
      <scheme val="minor"/>
    </font>
    <font>
      <sz val="10"/>
      <color indexed="81"/>
      <name val="Calibri"/>
      <family val="2"/>
    </font>
    <font>
      <b/>
      <sz val="10"/>
      <color indexed="81"/>
      <name val="Calibri"/>
      <family val="2"/>
    </font>
    <font>
      <b/>
      <sz val="12"/>
      <color rgb="FF000000"/>
      <name val="Calibri"/>
      <family val="2"/>
      <scheme val="minor"/>
    </font>
    <font>
      <sz val="12"/>
      <color theme="1"/>
      <name val="Calibri"/>
      <family val="2"/>
    </font>
    <font>
      <sz val="12"/>
      <color rgb="FFFF0000"/>
      <name val="Calibri (Body)"/>
    </font>
    <font>
      <sz val="8"/>
      <name val="Calibri"/>
      <family val="2"/>
      <scheme val="minor"/>
    </font>
    <font>
      <b/>
      <sz val="12"/>
      <color rgb="FFFF0000"/>
      <name val="Calibri (Body)"/>
    </font>
  </fonts>
  <fills count="10">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theme="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11" fontId="0" fillId="0" borderId="0" xfId="0" applyNumberFormat="1"/>
    <xf numFmtId="0" fontId="1" fillId="0" borderId="0" xfId="0" applyFont="1"/>
    <xf numFmtId="0" fontId="1" fillId="2" borderId="0" xfId="0" applyFont="1" applyFill="1"/>
    <xf numFmtId="0" fontId="1" fillId="0" borderId="0" xfId="0" applyFont="1" applyFill="1"/>
    <xf numFmtId="0" fontId="0" fillId="0" borderId="0" xfId="0" applyFill="1"/>
    <xf numFmtId="0" fontId="1" fillId="0" borderId="0" xfId="0" applyFont="1" applyFill="1" applyAlignment="1">
      <alignment horizontal="center"/>
    </xf>
    <xf numFmtId="11" fontId="0" fillId="0" borderId="0" xfId="0" applyNumberFormat="1" applyFill="1"/>
    <xf numFmtId="2" fontId="0" fillId="0" borderId="0" xfId="0" applyNumberFormat="1" applyFill="1"/>
    <xf numFmtId="0" fontId="2" fillId="0" borderId="0" xfId="0" applyFont="1"/>
    <xf numFmtId="0" fontId="0" fillId="0" borderId="0" xfId="0" applyFill="1" applyAlignment="1">
      <alignment horizontal="center"/>
    </xf>
    <xf numFmtId="0" fontId="0" fillId="0" borderId="0" xfId="0" applyAlignment="1">
      <alignment horizontal="center"/>
    </xf>
    <xf numFmtId="1" fontId="0" fillId="0" borderId="0" xfId="0" applyNumberFormat="1" applyFill="1"/>
    <xf numFmtId="1" fontId="1" fillId="0" borderId="0" xfId="0" applyNumberFormat="1" applyFont="1" applyFill="1"/>
    <xf numFmtId="1" fontId="0" fillId="0" borderId="0" xfId="0" applyNumberFormat="1"/>
    <xf numFmtId="165" fontId="0" fillId="0" borderId="0" xfId="0" applyNumberFormat="1" applyFill="1"/>
    <xf numFmtId="165" fontId="0" fillId="2" borderId="0" xfId="0" applyNumberFormat="1" applyFill="1"/>
    <xf numFmtId="16"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21" fontId="0" fillId="0" borderId="0" xfId="0" applyNumberFormat="1" applyAlignment="1">
      <alignment horizontal="center"/>
    </xf>
    <xf numFmtId="165" fontId="0" fillId="0" borderId="0" xfId="0" applyNumberFormat="1" applyAlignment="1">
      <alignment horizontal="center"/>
    </xf>
    <xf numFmtId="2"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alignment horizontal="center"/>
    </xf>
    <xf numFmtId="0" fontId="5" fillId="0" borderId="0" xfId="0" applyFont="1"/>
    <xf numFmtId="2" fontId="0" fillId="0" borderId="0" xfId="0" applyNumberFormat="1" applyFill="1" applyAlignment="1">
      <alignment horizontal="center"/>
    </xf>
    <xf numFmtId="2" fontId="1" fillId="0" borderId="0" xfId="0" applyNumberFormat="1" applyFont="1" applyFill="1" applyAlignment="1">
      <alignment horizontal="center"/>
    </xf>
    <xf numFmtId="0" fontId="0" fillId="3" borderId="0" xfId="0" applyFill="1"/>
    <xf numFmtId="1" fontId="0" fillId="3" borderId="0" xfId="0" applyNumberFormat="1" applyFill="1"/>
    <xf numFmtId="0" fontId="2" fillId="0" borderId="0" xfId="0" applyFont="1" applyFill="1"/>
    <xf numFmtId="165" fontId="1" fillId="0" borderId="0" xfId="0" applyNumberFormat="1" applyFont="1" applyFill="1" applyAlignment="1">
      <alignment horizontal="center"/>
    </xf>
    <xf numFmtId="0" fontId="1" fillId="0" borderId="0" xfId="0" applyFont="1" applyFill="1" applyAlignment="1">
      <alignment horizontal="left"/>
    </xf>
    <xf numFmtId="0" fontId="0" fillId="3" borderId="0" xfId="0" applyFill="1" applyAlignment="1">
      <alignment horizontal="center"/>
    </xf>
    <xf numFmtId="0" fontId="1" fillId="3" borderId="0" xfId="0" applyFont="1" applyFill="1"/>
    <xf numFmtId="0" fontId="1" fillId="4" borderId="0" xfId="0" applyFont="1" applyFill="1"/>
    <xf numFmtId="0" fontId="0" fillId="4" borderId="0" xfId="0" applyFill="1"/>
    <xf numFmtId="11" fontId="0" fillId="4" borderId="0" xfId="0" applyNumberFormat="1" applyFill="1"/>
    <xf numFmtId="2" fontId="0" fillId="4" borderId="0" xfId="0" applyNumberFormat="1" applyFill="1"/>
    <xf numFmtId="0" fontId="1" fillId="5" borderId="0" xfId="0" applyFont="1" applyFill="1" applyAlignment="1">
      <alignment horizontal="center"/>
    </xf>
    <xf numFmtId="0" fontId="0" fillId="5" borderId="0" xfId="0" applyFill="1"/>
    <xf numFmtId="2" fontId="0" fillId="5" borderId="0" xfId="0" applyNumberFormat="1" applyFill="1" applyAlignment="1">
      <alignment horizontal="center"/>
    </xf>
    <xf numFmtId="165" fontId="0" fillId="4" borderId="0" xfId="0" applyNumberFormat="1" applyFill="1"/>
    <xf numFmtId="0" fontId="1" fillId="6" borderId="0" xfId="0" applyFont="1" applyFill="1"/>
    <xf numFmtId="2" fontId="0" fillId="6" borderId="0" xfId="0" applyNumberFormat="1" applyFill="1"/>
    <xf numFmtId="0" fontId="1" fillId="7" borderId="0" xfId="0" applyFont="1" applyFill="1"/>
    <xf numFmtId="0" fontId="0" fillId="7" borderId="0" xfId="0" applyFill="1"/>
    <xf numFmtId="11" fontId="0" fillId="7" borderId="0" xfId="0" applyNumberFormat="1" applyFill="1"/>
    <xf numFmtId="2" fontId="0" fillId="7" borderId="0" xfId="0" applyNumberFormat="1" applyFill="1"/>
    <xf numFmtId="0" fontId="1" fillId="8" borderId="0" xfId="0" applyFont="1" applyFill="1"/>
    <xf numFmtId="2" fontId="0" fillId="8" borderId="0" xfId="0" applyNumberFormat="1" applyFill="1"/>
    <xf numFmtId="0" fontId="0" fillId="8" borderId="0" xfId="0" applyFill="1"/>
    <xf numFmtId="165" fontId="0" fillId="6" borderId="0" xfId="0" applyNumberFormat="1" applyFill="1"/>
    <xf numFmtId="2" fontId="1" fillId="0" borderId="0" xfId="0" applyNumberFormat="1" applyFont="1" applyFill="1"/>
    <xf numFmtId="0" fontId="0" fillId="6" borderId="0" xfId="0" applyFill="1"/>
    <xf numFmtId="0" fontId="0" fillId="0" borderId="0" xfId="0" applyAlignment="1">
      <alignment horizontal="center" wrapText="1"/>
    </xf>
    <xf numFmtId="0" fontId="0" fillId="2" borderId="0" xfId="0" applyFill="1" applyAlignment="1">
      <alignment horizontal="center" wrapText="1"/>
    </xf>
    <xf numFmtId="165" fontId="0" fillId="8" borderId="0" xfId="0" applyNumberFormat="1" applyFont="1" applyFill="1" applyAlignment="1">
      <alignment horizontal="center" wrapText="1"/>
    </xf>
    <xf numFmtId="165" fontId="0" fillId="7" borderId="0" xfId="0" applyNumberFormat="1" applyFill="1" applyAlignment="1">
      <alignment horizontal="left" wrapText="1"/>
    </xf>
    <xf numFmtId="0" fontId="1" fillId="0" borderId="0" xfId="0" applyFont="1" applyFill="1" applyAlignment="1">
      <alignment wrapText="1"/>
    </xf>
    <xf numFmtId="0" fontId="1" fillId="2" borderId="0" xfId="0" applyFont="1" applyFill="1" applyAlignment="1">
      <alignment horizontal="center" wrapText="1"/>
    </xf>
    <xf numFmtId="2" fontId="1" fillId="8" borderId="0" xfId="0" applyNumberFormat="1" applyFont="1" applyFill="1" applyAlignment="1">
      <alignment wrapText="1"/>
    </xf>
    <xf numFmtId="165" fontId="1" fillId="8" borderId="0" xfId="0" applyNumberFormat="1" applyFont="1" applyFill="1" applyAlignment="1">
      <alignment horizontal="center" wrapText="1"/>
    </xf>
    <xf numFmtId="0" fontId="1" fillId="7" borderId="0" xfId="0" applyFont="1" applyFill="1" applyAlignment="1">
      <alignment wrapText="1"/>
    </xf>
    <xf numFmtId="0" fontId="1" fillId="7" borderId="0" xfId="0" applyFont="1" applyFill="1" applyAlignment="1">
      <alignment horizontal="right" wrapText="1"/>
    </xf>
    <xf numFmtId="165" fontId="0" fillId="0" borderId="0" xfId="0" applyNumberFormat="1" applyFill="1" applyAlignment="1">
      <alignment horizontal="center"/>
    </xf>
    <xf numFmtId="2" fontId="1" fillId="0" borderId="0" xfId="0" applyNumberFormat="1" applyFont="1" applyFill="1" applyAlignment="1">
      <alignment wrapText="1"/>
    </xf>
    <xf numFmtId="0" fontId="0" fillId="8" borderId="0" xfId="0" applyFill="1" applyAlignment="1">
      <alignment horizontal="center" wrapText="1"/>
    </xf>
    <xf numFmtId="0" fontId="1" fillId="8" borderId="0" xfId="0" applyFont="1" applyFill="1" applyAlignment="1">
      <alignment wrapText="1"/>
    </xf>
    <xf numFmtId="165" fontId="1" fillId="0" borderId="0" xfId="0" applyNumberFormat="1" applyFont="1" applyFill="1"/>
    <xf numFmtId="165" fontId="1" fillId="6" borderId="0" xfId="0" applyNumberFormat="1" applyFont="1" applyFill="1"/>
    <xf numFmtId="165" fontId="0" fillId="3" borderId="0" xfId="0" applyNumberFormat="1" applyFill="1"/>
    <xf numFmtId="0" fontId="0" fillId="7" borderId="0" xfId="0" applyFill="1" applyAlignment="1">
      <alignment horizontal="center" wrapText="1"/>
    </xf>
    <xf numFmtId="0" fontId="8" fillId="0" borderId="0" xfId="0" applyFont="1"/>
    <xf numFmtId="2" fontId="9" fillId="0" borderId="0" xfId="0" applyNumberFormat="1" applyFont="1"/>
    <xf numFmtId="0" fontId="9" fillId="0" borderId="0" xfId="0" applyFont="1"/>
    <xf numFmtId="0" fontId="1" fillId="0" borderId="0" xfId="0" applyFont="1" applyAlignment="1">
      <alignment horizontal="center" wrapText="1"/>
    </xf>
    <xf numFmtId="0" fontId="1" fillId="0" borderId="0" xfId="0" applyFont="1" applyFill="1" applyAlignment="1">
      <alignment horizontal="center" wrapText="1"/>
    </xf>
    <xf numFmtId="165" fontId="1" fillId="0" borderId="0" xfId="0" applyNumberFormat="1" applyFont="1" applyFill="1" applyAlignment="1">
      <alignment wrapText="1"/>
    </xf>
    <xf numFmtId="2" fontId="10" fillId="0" borderId="0" xfId="0" applyNumberFormat="1" applyFont="1"/>
    <xf numFmtId="167" fontId="0" fillId="7" borderId="0" xfId="0" applyNumberFormat="1" applyFill="1"/>
    <xf numFmtId="2" fontId="0" fillId="0" borderId="0" xfId="0" applyNumberFormat="1" applyAlignment="1">
      <alignment horizontal="center" wrapText="1"/>
    </xf>
    <xf numFmtId="2" fontId="1" fillId="0" borderId="0" xfId="0" applyNumberFormat="1" applyFont="1" applyAlignment="1">
      <alignment horizontal="center" wrapText="1"/>
    </xf>
    <xf numFmtId="2" fontId="0" fillId="0" borderId="0" xfId="0" applyNumberFormat="1" applyAlignment="1">
      <alignment horizontal="center"/>
    </xf>
    <xf numFmtId="2" fontId="10" fillId="0" borderId="0" xfId="0" applyNumberFormat="1" applyFont="1" applyAlignment="1">
      <alignment horizontal="center"/>
    </xf>
    <xf numFmtId="0" fontId="0" fillId="9" borderId="0" xfId="0" applyFill="1" applyAlignment="1">
      <alignment horizontal="center"/>
    </xf>
    <xf numFmtId="0" fontId="1" fillId="9" borderId="0" xfId="0" applyFont="1" applyFill="1" applyAlignment="1">
      <alignment horizontal="center"/>
    </xf>
    <xf numFmtId="2" fontId="0" fillId="9" borderId="0" xfId="0" applyNumberFormat="1" applyFill="1"/>
    <xf numFmtId="165" fontId="0" fillId="9" borderId="0" xfId="0" applyNumberFormat="1" applyFill="1" applyAlignment="1">
      <alignment horizontal="center"/>
    </xf>
    <xf numFmtId="165" fontId="0" fillId="9" borderId="0" xfId="0" applyNumberFormat="1" applyFill="1"/>
    <xf numFmtId="0" fontId="0" fillId="9" borderId="0" xfId="0" applyFill="1"/>
    <xf numFmtId="11" fontId="0" fillId="9" borderId="0" xfId="0" applyNumberFormat="1" applyFill="1"/>
    <xf numFmtId="165" fontId="9" fillId="9" borderId="0" xfId="0" applyNumberFormat="1" applyFont="1" applyFill="1"/>
    <xf numFmtId="2" fontId="9" fillId="9" borderId="0" xfId="0" applyNumberFormat="1" applyFont="1" applyFill="1"/>
    <xf numFmtId="2" fontId="0" fillId="9" borderId="0" xfId="0" applyNumberFormat="1" applyFill="1" applyAlignment="1">
      <alignment horizontal="center"/>
    </xf>
    <xf numFmtId="2" fontId="10" fillId="9" borderId="0" xfId="0" applyNumberFormat="1" applyFont="1" applyFill="1"/>
    <xf numFmtId="2" fontId="10" fillId="9" borderId="0" xfId="0" applyNumberFormat="1" applyFont="1" applyFill="1" applyAlignment="1">
      <alignment horizontal="center"/>
    </xf>
    <xf numFmtId="1" fontId="0" fillId="7" borderId="0" xfId="0" applyNumberFormat="1" applyFill="1" applyAlignment="1">
      <alignment horizontal="left" wrapText="1"/>
    </xf>
    <xf numFmtId="1" fontId="1" fillId="7" borderId="0" xfId="0" applyNumberFormat="1" applyFont="1" applyFill="1" applyAlignment="1">
      <alignment horizontal="right" wrapText="1"/>
    </xf>
    <xf numFmtId="1" fontId="1" fillId="0" borderId="0" xfId="0" applyNumberFormat="1" applyFont="1" applyFill="1" applyAlignment="1">
      <alignment wrapText="1"/>
    </xf>
    <xf numFmtId="1" fontId="0" fillId="9" borderId="0" xfId="0" applyNumberFormat="1" applyFill="1"/>
    <xf numFmtId="1" fontId="0" fillId="0" borderId="0" xfId="0" applyNumberFormat="1" applyFill="1" applyAlignment="1">
      <alignment horizontal="center"/>
    </xf>
    <xf numFmtId="1" fontId="0" fillId="0" borderId="0" xfId="0" applyNumberFormat="1" applyAlignment="1">
      <alignment horizontal="center"/>
    </xf>
    <xf numFmtId="1" fontId="0" fillId="0" borderId="0" xfId="0" applyNumberFormat="1" applyAlignment="1">
      <alignment horizontal="center" wrapText="1"/>
    </xf>
    <xf numFmtId="1" fontId="1" fillId="0" borderId="0" xfId="0" applyNumberFormat="1" applyFont="1" applyAlignment="1">
      <alignment horizontal="center" wrapText="1"/>
    </xf>
    <xf numFmtId="1" fontId="0" fillId="9" borderId="0" xfId="0" applyNumberFormat="1" applyFill="1" applyAlignment="1">
      <alignment horizontal="center"/>
    </xf>
    <xf numFmtId="1" fontId="0" fillId="9" borderId="0" xfId="0" applyNumberFormat="1" applyFont="1" applyFill="1" applyAlignment="1">
      <alignment horizontal="center"/>
    </xf>
    <xf numFmtId="1" fontId="0" fillId="0" borderId="0" xfId="0" applyNumberFormat="1" applyFont="1" applyAlignment="1">
      <alignment horizontal="center"/>
    </xf>
    <xf numFmtId="1" fontId="9" fillId="9" borderId="0" xfId="0" applyNumberFormat="1" applyFont="1" applyFill="1"/>
    <xf numFmtId="1" fontId="9" fillId="0" borderId="0" xfId="0" applyNumberFormat="1" applyFont="1"/>
    <xf numFmtId="49" fontId="1" fillId="0" borderId="0" xfId="0" applyNumberFormat="1" applyFont="1"/>
    <xf numFmtId="168" fontId="0" fillId="9" borderId="0" xfId="0" applyNumberFormat="1" applyFill="1" applyAlignment="1">
      <alignment horizontal="center"/>
    </xf>
    <xf numFmtId="168" fontId="0" fillId="0" borderId="0" xfId="0" applyNumberFormat="1" applyAlignment="1">
      <alignment horizontal="center"/>
    </xf>
    <xf numFmtId="2" fontId="1" fillId="0" borderId="0" xfId="0" applyNumberFormat="1" applyFont="1"/>
    <xf numFmtId="2" fontId="1" fillId="0" borderId="1" xfId="0" applyNumberFormat="1" applyFont="1" applyBorder="1" applyAlignment="1">
      <alignment horizontal="center" wrapText="1"/>
    </xf>
    <xf numFmtId="2" fontId="1" fillId="9" borderId="2" xfId="0" applyNumberFormat="1" applyFont="1" applyFill="1" applyBorder="1" applyAlignment="1">
      <alignment horizontal="center"/>
    </xf>
    <xf numFmtId="2" fontId="1" fillId="0" borderId="2" xfId="0" applyNumberFormat="1" applyFont="1" applyBorder="1" applyAlignment="1">
      <alignment horizontal="center"/>
    </xf>
    <xf numFmtId="2" fontId="12" fillId="9" borderId="2" xfId="0" applyNumberFormat="1" applyFont="1" applyFill="1" applyBorder="1" applyAlignment="1">
      <alignment horizontal="center"/>
    </xf>
    <xf numFmtId="2" fontId="12" fillId="0" borderId="2" xfId="0" applyNumberFormat="1" applyFont="1" applyBorder="1" applyAlignment="1">
      <alignment horizontal="center"/>
    </xf>
    <xf numFmtId="2" fontId="1" fillId="0" borderId="3" xfId="0" applyNumberFormat="1" applyFont="1" applyBorder="1" applyAlignment="1">
      <alignment horizontal="center"/>
    </xf>
    <xf numFmtId="2" fontId="0" fillId="0" borderId="0" xfId="0" applyNumberFormat="1" applyAlignment="1"/>
    <xf numFmtId="2" fontId="1" fillId="0" borderId="2" xfId="0" applyNumberFormat="1" applyFont="1" applyBorder="1" applyAlignmen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dres Gutierrez Rodriguez" id="{9CF38989-4C9D-2E4D-B0FE-40087E310475}"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H4" dT="2020-03-18T01:38:05.25" personId="{9CF38989-4C9D-2E4D-B0FE-40087E310475}" id="{0FA7CE4D-002F-1441-AF25-DC38582AADCD}">
    <text>u.chla.corr1 = Phi computed using changes in chla for all POPS (SYN, PICO, NANO, MICRO)</text>
  </threadedComment>
  <threadedComment ref="AI4" dT="2020-03-18T01:38:15.44" personId="{9CF38989-4C9D-2E4D-B0FE-40087E310475}" id="{90C119BC-4652-8141-B846-7A23EBD15174}">
    <text>u.chla.corr2 = Phi computed using changes in chla for PICO</text>
  </threadedComment>
  <threadedComment ref="AJ4" dT="2020-03-18T01:38:24.14" personId="{9CF38989-4C9D-2E4D-B0FE-40087E310475}" id="{CAF0DA75-31E7-1645-9D16-318A6EDCF4E4}">
    <text>u.chla.corr3 = Phi computed using changes in chla for NANO</text>
  </threadedComment>
  <threadedComment ref="AK4" dT="2020-03-18T01:38:33.31" personId="{9CF38989-4C9D-2E4D-B0FE-40087E310475}" id="{41039227-ACA9-E645-B221-CB040C7F218F}">
    <text>u.chla.corr4 = Phi computed using changes in chla/FS for PICO+NANO</text>
  </threadedComment>
  <threadedComment ref="AL4" dT="2020-03-18T01:38:41.58" personId="{9CF38989-4C9D-2E4D-B0FE-40087E310475}" id="{040FAA21-BB5F-FA4A-B76A-405F349807E5}">
    <text>u.chla.corr5 = Phi computed using changes in chla/FS for PICO</text>
  </threadedComment>
  <threadedComment ref="AM4" dT="2020-03-18T01:38:51.09" personId="{9CF38989-4C9D-2E4D-B0FE-40087E310475}" id="{AB8427D6-7A72-D143-8FC6-9A460C8844D0}">
    <text>u.chla.corr6 = Phi computed using changes in chla/FS for NANO</text>
  </threadedComment>
  <threadedComment ref="AN4" dT="2020-03-18T01:39:02.35" personId="{9CF38989-4C9D-2E4D-B0FE-40087E310475}" id="{FFF0643F-2232-0F40-94A4-BE37C2F2E69E}">
    <text>u.chla.corr7 = Phi computed using changes in chla for PICO+NANO</text>
  </threadedComment>
  <threadedComment ref="S37" dT="2020-03-17T04:20:45.12" personId="{9CF38989-4C9D-2E4D-B0FE-40087E310475}" id="{E6D8CB0B-C2CF-EF4B-94B5-FA4AD5780A22}">
    <text xml:space="preserve">only data from PICO 2
</text>
  </threadedComment>
  <threadedComment ref="Y37" dT="2020-03-17T04:21:38.10" personId="{9CF38989-4C9D-2E4D-B0FE-40087E310475}" id="{1BAAED6F-173A-4B4F-8EA1-9591CABEE83A}">
    <text xml:space="preserve">values from considering PICO1, PICO2 and NANO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03"/>
  <sheetViews>
    <sheetView workbookViewId="0">
      <pane xSplit="9" ySplit="4" topLeftCell="V37" activePane="bottomRight" state="frozen"/>
      <selection pane="topRight" activeCell="J1" sqref="J1"/>
      <selection pane="bottomLeft" activeCell="A5" sqref="A5"/>
      <selection pane="bottomRight" activeCell="G43" sqref="G43"/>
    </sheetView>
  </sheetViews>
  <sheetFormatPr baseColWidth="10" defaultRowHeight="16" x14ac:dyDescent="0.2"/>
  <cols>
    <col min="1" max="6" width="10.83203125" style="11"/>
    <col min="7" max="9" width="7.1640625" style="11" customWidth="1"/>
    <col min="10" max="13" width="10.83203125" style="11"/>
    <col min="14" max="14" width="7.5" style="11" customWidth="1"/>
    <col min="15" max="15" width="7.83203125" style="11" customWidth="1"/>
    <col min="16" max="16" width="9.6640625" style="11" customWidth="1"/>
    <col min="17" max="17" width="10.1640625" style="11" customWidth="1"/>
    <col min="18" max="18" width="15.33203125" style="11" customWidth="1"/>
    <col min="19" max="20" width="10.83203125" style="11"/>
    <col min="21" max="22" width="10.83203125" style="10"/>
    <col min="23" max="23" width="8.1640625" style="11" customWidth="1"/>
    <col min="24" max="24" width="9.5" style="11" customWidth="1"/>
    <col min="25" max="25" width="14.33203125" style="21" customWidth="1"/>
    <col min="26" max="27" width="10.83203125" style="11"/>
    <col min="28" max="28" width="8.33203125" style="11" customWidth="1"/>
    <col min="29" max="29" width="9.5" style="11" customWidth="1"/>
    <col min="30" max="30" width="13.83203125" style="11" customWidth="1"/>
    <col min="31" max="31" width="13.83203125" style="102" customWidth="1"/>
    <col min="32" max="32" width="10.83203125" style="11"/>
    <col min="33" max="33" width="10.83203125" style="83"/>
    <col min="34" max="36" width="6.5" style="83" customWidth="1"/>
    <col min="37" max="39" width="6.33203125" style="83" customWidth="1"/>
    <col min="40" max="40" width="6.6640625" style="83" customWidth="1"/>
    <col min="41" max="41" width="10.83203125" style="83"/>
    <col min="42" max="42" width="9" style="83" customWidth="1"/>
    <col min="43" max="43" width="8.6640625" style="83" customWidth="1"/>
    <col min="44" max="44" width="8.83203125" style="83" customWidth="1"/>
    <col min="45" max="45" width="10.83203125" style="83"/>
    <col min="46" max="48" width="9" style="83" customWidth="1"/>
    <col min="49" max="50" width="7.5" style="83" customWidth="1"/>
    <col min="51" max="51" width="7.33203125" style="83" customWidth="1"/>
    <col min="52" max="52" width="7.33203125" style="102" customWidth="1"/>
    <col min="53" max="56" width="10.83203125" style="11"/>
    <col min="57" max="58" width="7.5" style="11" customWidth="1"/>
    <col min="59" max="62" width="10.83203125" style="11"/>
    <col min="63" max="63" width="7.6640625" style="11" customWidth="1"/>
    <col min="64" max="64" width="9.33203125" style="11" customWidth="1"/>
    <col min="65" max="68" width="10.83203125" style="11"/>
    <col min="69" max="69" width="8.83203125" style="11" customWidth="1"/>
    <col min="70" max="70" width="9.1640625" style="11" customWidth="1"/>
    <col min="71" max="74" width="11.83203125" style="11" customWidth="1"/>
    <col min="75" max="75" width="11.1640625" style="11" customWidth="1"/>
    <col min="76" max="16384" width="10.83203125" style="11"/>
  </cols>
  <sheetData>
    <row r="1" spans="1:75" s="55" customFormat="1" ht="170" x14ac:dyDescent="0.2">
      <c r="N1" s="56"/>
      <c r="O1" s="56"/>
      <c r="P1" s="56"/>
      <c r="Q1" s="56"/>
      <c r="R1" s="56" t="s">
        <v>620</v>
      </c>
      <c r="S1" s="67"/>
      <c r="T1" s="67"/>
      <c r="U1" s="57"/>
      <c r="V1" s="57"/>
      <c r="W1" s="57" t="s">
        <v>616</v>
      </c>
      <c r="X1" s="57" t="s">
        <v>617</v>
      </c>
      <c r="Y1" s="57" t="s">
        <v>619</v>
      </c>
      <c r="Z1" s="72"/>
      <c r="AA1" s="72"/>
      <c r="AB1" s="58" t="s">
        <v>621</v>
      </c>
      <c r="AC1" s="58" t="s">
        <v>622</v>
      </c>
      <c r="AD1" s="58" t="s">
        <v>623</v>
      </c>
      <c r="AE1" s="97"/>
      <c r="AG1" s="81" t="s">
        <v>672</v>
      </c>
      <c r="AH1" s="81"/>
      <c r="AI1" s="81"/>
      <c r="AJ1" s="81"/>
      <c r="AK1" s="81"/>
      <c r="AL1" s="81"/>
      <c r="AM1" s="81"/>
      <c r="AN1" s="81"/>
      <c r="AO1" s="81"/>
      <c r="AP1" s="81"/>
      <c r="AQ1" s="81"/>
      <c r="AR1" s="81"/>
      <c r="AS1" s="81"/>
      <c r="AT1" s="81"/>
      <c r="AU1" s="81"/>
      <c r="AV1" s="81"/>
      <c r="AW1" s="81"/>
      <c r="AX1" s="81"/>
      <c r="AY1" s="81"/>
      <c r="AZ1" s="103"/>
    </row>
    <row r="2" spans="1:75" s="55" customFormat="1" ht="51" x14ac:dyDescent="0.2">
      <c r="J2" s="59" t="s">
        <v>53</v>
      </c>
      <c r="K2" s="59" t="s">
        <v>53</v>
      </c>
      <c r="L2" s="59" t="s">
        <v>53</v>
      </c>
      <c r="M2" s="59" t="s">
        <v>53</v>
      </c>
      <c r="N2" s="60" t="s">
        <v>607</v>
      </c>
      <c r="O2" s="60" t="s">
        <v>608</v>
      </c>
      <c r="P2" s="60" t="s">
        <v>609</v>
      </c>
      <c r="Q2" s="60" t="s">
        <v>610</v>
      </c>
      <c r="R2" s="60" t="s">
        <v>611</v>
      </c>
      <c r="S2" s="68" t="s">
        <v>612</v>
      </c>
      <c r="T2" s="68" t="s">
        <v>612</v>
      </c>
      <c r="U2" s="68"/>
      <c r="V2" s="68"/>
      <c r="W2" s="61" t="s">
        <v>613</v>
      </c>
      <c r="X2" s="61" t="s">
        <v>614</v>
      </c>
      <c r="Y2" s="62" t="s">
        <v>615</v>
      </c>
      <c r="Z2" s="63"/>
      <c r="AA2" s="63"/>
      <c r="AB2" s="63" t="s">
        <v>608</v>
      </c>
      <c r="AC2" s="63" t="s">
        <v>609</v>
      </c>
      <c r="AD2" s="64" t="s">
        <v>618</v>
      </c>
      <c r="AE2" s="98"/>
      <c r="AG2" s="81"/>
      <c r="AH2" s="81"/>
      <c r="AI2" s="81"/>
      <c r="AJ2" s="81"/>
      <c r="AK2" s="81"/>
      <c r="AL2" s="81"/>
      <c r="AM2" s="81"/>
      <c r="AN2" s="81"/>
      <c r="AO2" s="81"/>
      <c r="AP2" s="81"/>
      <c r="AQ2" s="81"/>
      <c r="AR2" s="81"/>
      <c r="AS2" s="81"/>
      <c r="AT2" s="81"/>
      <c r="AU2" s="81"/>
      <c r="AV2" s="81"/>
      <c r="AW2" s="81"/>
      <c r="AX2" s="81"/>
      <c r="AY2" s="81"/>
      <c r="AZ2" s="103"/>
    </row>
    <row r="3" spans="1:75" s="76" customFormat="1" ht="35" thickBot="1" x14ac:dyDescent="0.25">
      <c r="A3" s="2" t="s">
        <v>676</v>
      </c>
      <c r="B3" s="2" t="s">
        <v>677</v>
      </c>
      <c r="C3" s="2" t="s">
        <v>678</v>
      </c>
      <c r="D3" s="110" t="s">
        <v>679</v>
      </c>
      <c r="E3" s="2" t="s">
        <v>680</v>
      </c>
      <c r="F3" s="2" t="s">
        <v>681</v>
      </c>
      <c r="G3" s="2" t="s">
        <v>501</v>
      </c>
      <c r="H3" s="76" t="s">
        <v>512</v>
      </c>
      <c r="I3" s="76" t="s">
        <v>114</v>
      </c>
      <c r="J3" s="59" t="s">
        <v>49</v>
      </c>
      <c r="K3" s="59" t="s">
        <v>50</v>
      </c>
      <c r="L3" s="59" t="s">
        <v>51</v>
      </c>
      <c r="M3" s="59" t="s">
        <v>52</v>
      </c>
      <c r="N3" s="77" t="s">
        <v>43</v>
      </c>
      <c r="O3" s="59" t="s">
        <v>44</v>
      </c>
      <c r="P3" s="59" t="s">
        <v>45</v>
      </c>
      <c r="Q3" s="59" t="s">
        <v>46</v>
      </c>
      <c r="R3" s="76" t="s">
        <v>48</v>
      </c>
      <c r="S3" s="66" t="s">
        <v>590</v>
      </c>
      <c r="T3" s="66" t="s">
        <v>591</v>
      </c>
      <c r="U3" s="66" t="s">
        <v>588</v>
      </c>
      <c r="V3" s="66" t="s">
        <v>589</v>
      </c>
      <c r="W3" s="66" t="s">
        <v>44</v>
      </c>
      <c r="X3" s="66" t="s">
        <v>45</v>
      </c>
      <c r="Y3" s="78" t="s">
        <v>592</v>
      </c>
      <c r="Z3" s="59" t="s">
        <v>600</v>
      </c>
      <c r="AA3" s="59" t="s">
        <v>601</v>
      </c>
      <c r="AB3" s="59" t="s">
        <v>44</v>
      </c>
      <c r="AC3" s="59" t="s">
        <v>45</v>
      </c>
      <c r="AD3" s="59" t="s">
        <v>592</v>
      </c>
    </row>
    <row r="4" spans="1:75" s="23" customFormat="1" ht="34" x14ac:dyDescent="0.2">
      <c r="A4" s="113">
        <f>AH5-K5</f>
        <v>0.34228978832737833</v>
      </c>
      <c r="B4" s="2" t="s">
        <v>677</v>
      </c>
      <c r="C4" s="2" t="s">
        <v>678</v>
      </c>
      <c r="D4" s="110" t="s">
        <v>679</v>
      </c>
      <c r="E4" s="2" t="s">
        <v>680</v>
      </c>
      <c r="F4" s="2" t="s">
        <v>681</v>
      </c>
      <c r="G4" s="2" t="s">
        <v>501</v>
      </c>
      <c r="H4" s="23" t="s">
        <v>512</v>
      </c>
      <c r="I4" s="23" t="s">
        <v>114</v>
      </c>
      <c r="J4" s="4" t="s">
        <v>624</v>
      </c>
      <c r="K4" s="4" t="s">
        <v>625</v>
      </c>
      <c r="L4" s="4" t="s">
        <v>626</v>
      </c>
      <c r="M4" s="73" t="s">
        <v>627</v>
      </c>
      <c r="N4" s="6" t="s">
        <v>607</v>
      </c>
      <c r="O4" s="4" t="s">
        <v>608</v>
      </c>
      <c r="P4" s="4" t="s">
        <v>609</v>
      </c>
      <c r="Q4" s="4" t="s">
        <v>610</v>
      </c>
      <c r="R4" s="23" t="s">
        <v>611</v>
      </c>
      <c r="S4" s="53" t="s">
        <v>628</v>
      </c>
      <c r="T4" s="53" t="s">
        <v>629</v>
      </c>
      <c r="U4" s="53" t="s">
        <v>630</v>
      </c>
      <c r="V4" s="53" t="s">
        <v>631</v>
      </c>
      <c r="W4" s="53" t="s">
        <v>613</v>
      </c>
      <c r="X4" s="53" t="s">
        <v>614</v>
      </c>
      <c r="Y4" s="69" t="s">
        <v>615</v>
      </c>
      <c r="Z4" s="53" t="s">
        <v>632</v>
      </c>
      <c r="AA4" s="53" t="s">
        <v>633</v>
      </c>
      <c r="AB4" s="4" t="s">
        <v>608</v>
      </c>
      <c r="AC4" s="4" t="s">
        <v>609</v>
      </c>
      <c r="AD4" s="4" t="s">
        <v>618</v>
      </c>
      <c r="AE4" s="99" t="s">
        <v>667</v>
      </c>
      <c r="AF4" s="76" t="s">
        <v>634</v>
      </c>
      <c r="AG4" s="82" t="s">
        <v>637</v>
      </c>
      <c r="AH4" s="82" t="s">
        <v>673</v>
      </c>
      <c r="AI4" s="82" t="s">
        <v>684</v>
      </c>
      <c r="AJ4" s="82" t="s">
        <v>685</v>
      </c>
      <c r="AK4" s="114" t="s">
        <v>638</v>
      </c>
      <c r="AL4" s="82" t="s">
        <v>686</v>
      </c>
      <c r="AM4" s="82" t="s">
        <v>687</v>
      </c>
      <c r="AN4" s="82" t="s">
        <v>640</v>
      </c>
      <c r="AO4" s="82" t="s">
        <v>636</v>
      </c>
      <c r="AP4" s="82" t="s">
        <v>674</v>
      </c>
      <c r="AQ4" s="82" t="s">
        <v>639</v>
      </c>
      <c r="AR4" s="82" t="s">
        <v>641</v>
      </c>
      <c r="AS4" s="82" t="s">
        <v>635</v>
      </c>
      <c r="AT4" s="82" t="s">
        <v>675</v>
      </c>
      <c r="AU4" s="82" t="s">
        <v>663</v>
      </c>
      <c r="AV4" s="82" t="s">
        <v>664</v>
      </c>
      <c r="AW4" s="82" t="s">
        <v>642</v>
      </c>
      <c r="AX4" s="82" t="s">
        <v>665</v>
      </c>
      <c r="AY4" s="82" t="s">
        <v>666</v>
      </c>
      <c r="AZ4" s="104" t="s">
        <v>668</v>
      </c>
      <c r="BA4" s="76" t="s">
        <v>643</v>
      </c>
      <c r="BB4" s="76" t="s">
        <v>644</v>
      </c>
      <c r="BC4" s="76" t="s">
        <v>645</v>
      </c>
      <c r="BD4" s="76" t="s">
        <v>646</v>
      </c>
      <c r="BE4" s="76" t="s">
        <v>647</v>
      </c>
      <c r="BF4" s="82" t="s">
        <v>669</v>
      </c>
      <c r="BG4" s="76" t="s">
        <v>648</v>
      </c>
      <c r="BH4" s="76" t="s">
        <v>649</v>
      </c>
      <c r="BI4" s="76" t="s">
        <v>650</v>
      </c>
      <c r="BJ4" s="76" t="s">
        <v>651</v>
      </c>
      <c r="BK4" s="76" t="s">
        <v>652</v>
      </c>
      <c r="BL4" s="82" t="s">
        <v>670</v>
      </c>
      <c r="BM4" s="76" t="s">
        <v>653</v>
      </c>
      <c r="BN4" s="76" t="s">
        <v>654</v>
      </c>
      <c r="BO4" s="76" t="s">
        <v>655</v>
      </c>
      <c r="BP4" s="76" t="s">
        <v>656</v>
      </c>
      <c r="BQ4" s="76" t="s">
        <v>657</v>
      </c>
      <c r="BR4" s="82" t="s">
        <v>671</v>
      </c>
      <c r="BS4" s="76" t="s">
        <v>658</v>
      </c>
      <c r="BT4" s="76" t="s">
        <v>659</v>
      </c>
      <c r="BU4" s="76" t="s">
        <v>660</v>
      </c>
      <c r="BV4" s="76" t="s">
        <v>661</v>
      </c>
      <c r="BW4" s="76" t="s">
        <v>662</v>
      </c>
    </row>
    <row r="5" spans="1:75" s="85" customFormat="1" x14ac:dyDescent="0.2">
      <c r="A5" s="85" t="s">
        <v>682</v>
      </c>
      <c r="B5" s="85">
        <v>15</v>
      </c>
      <c r="C5" s="85">
        <v>3</v>
      </c>
      <c r="D5" s="85">
        <v>9103</v>
      </c>
      <c r="E5" s="111">
        <v>43398</v>
      </c>
      <c r="F5" s="85" t="s">
        <v>683</v>
      </c>
      <c r="G5" s="85">
        <v>1</v>
      </c>
      <c r="H5" s="85">
        <v>1</v>
      </c>
      <c r="I5" s="86">
        <v>5</v>
      </c>
      <c r="J5" s="87">
        <v>3.0611748533910473E-2</v>
      </c>
      <c r="K5" s="87">
        <v>3.0393350495564835E-2</v>
      </c>
      <c r="L5" s="87">
        <v>6.4759008967707213E-2</v>
      </c>
      <c r="M5" s="87">
        <v>0.87423589200281748</v>
      </c>
      <c r="N5" s="87">
        <v>0.18511913815886383</v>
      </c>
      <c r="O5" s="87">
        <v>0.42425015821364193</v>
      </c>
      <c r="P5" s="87">
        <v>0.1632886680686417</v>
      </c>
      <c r="Q5" s="87">
        <v>-1.4275986941542744E-2</v>
      </c>
      <c r="R5" s="88">
        <v>2.2088530768362213E-2</v>
      </c>
      <c r="S5" s="87">
        <v>0.31941772823086323</v>
      </c>
      <c r="T5" s="87">
        <v>0.68058227176913688</v>
      </c>
      <c r="U5" s="87">
        <v>0.58143775497589323</v>
      </c>
      <c r="V5" s="87">
        <v>0.29482895783611773</v>
      </c>
      <c r="W5" s="87">
        <v>0.25564389997959669</v>
      </c>
      <c r="X5" s="87">
        <v>0.20860068945612953</v>
      </c>
      <c r="Y5" s="89">
        <v>0.22362712489022168</v>
      </c>
      <c r="Z5" s="90">
        <v>18813</v>
      </c>
      <c r="AA5" s="91">
        <v>185300</v>
      </c>
      <c r="AB5" s="87">
        <v>0.42425015821364193</v>
      </c>
      <c r="AC5" s="87">
        <v>0.1632886680686417</v>
      </c>
      <c r="AD5" s="87">
        <v>0.24664439440649849</v>
      </c>
      <c r="AE5" s="100">
        <v>0</v>
      </c>
      <c r="AF5" s="92">
        <v>-5.9964487523641807E-2</v>
      </c>
      <c r="AG5" s="93">
        <v>0.39477166959130539</v>
      </c>
      <c r="AH5" s="93">
        <f t="shared" ref="AH5:AH42" si="0">AG5-R5</f>
        <v>0.37268313882294318</v>
      </c>
      <c r="AI5" s="93">
        <f>AG5-AB5</f>
        <v>-2.9478488622336541E-2</v>
      </c>
      <c r="AJ5" s="93">
        <f>AG5-AC5</f>
        <v>0.23148300152266368</v>
      </c>
      <c r="AK5" s="115">
        <f>AG5-Y5</f>
        <v>0.1711445447010837</v>
      </c>
      <c r="AL5" s="94">
        <f>AG5-W5</f>
        <v>0.1391277696117087</v>
      </c>
      <c r="AM5" s="94">
        <f>AG5-X5</f>
        <v>0.18617098013517586</v>
      </c>
      <c r="AN5" s="94">
        <f t="shared" ref="AN5:AN42" si="1">AG5-AD5</f>
        <v>0.14812727518480689</v>
      </c>
      <c r="AO5" s="93">
        <v>0.68363236091860691</v>
      </c>
      <c r="AP5" s="93">
        <f>AH5-AF5</f>
        <v>0.43264762634658499</v>
      </c>
      <c r="AQ5" s="94">
        <f t="shared" ref="AQ5:AQ42" si="2">AK5-AF5</f>
        <v>0.23110903222472551</v>
      </c>
      <c r="AR5" s="94">
        <f t="shared" ref="AR5:AR42" si="3">AN5-AF5</f>
        <v>0.2080917627084487</v>
      </c>
      <c r="AS5" s="93">
        <v>0.6236678733949651</v>
      </c>
      <c r="AT5" s="93">
        <f t="shared" ref="AT5:AT42" si="4">AS5-R5</f>
        <v>0.60157934262660284</v>
      </c>
      <c r="AU5" s="94">
        <f t="shared" ref="AU5:AU42" si="5">AS5-Y5</f>
        <v>0.40004074850474342</v>
      </c>
      <c r="AV5" s="94">
        <f t="shared" ref="AV5:AV42" si="6">AS5-AD5</f>
        <v>0.37702347898846661</v>
      </c>
      <c r="AW5" s="93"/>
      <c r="AX5" s="94">
        <f t="shared" ref="AX5:AX42" si="7">AK5/AU5</f>
        <v>0.42781777941567467</v>
      </c>
      <c r="AY5" s="94">
        <f t="shared" ref="AY5:AY42" si="8">AN5/AV5</f>
        <v>0.39288607590759145</v>
      </c>
      <c r="AZ5" s="105">
        <v>0</v>
      </c>
      <c r="BA5" s="92">
        <v>0.2171912090590189</v>
      </c>
      <c r="BB5" s="92">
        <v>0.39477166959130539</v>
      </c>
      <c r="BC5" s="92">
        <v>0.68363236091860691</v>
      </c>
      <c r="BD5" s="92">
        <v>0.6236678733949651</v>
      </c>
      <c r="BE5" s="92"/>
      <c r="BF5" s="108">
        <v>0</v>
      </c>
      <c r="BG5" s="92">
        <v>7.3321972448120512E-2</v>
      </c>
      <c r="BH5" s="92">
        <v>0.39477166959130539</v>
      </c>
      <c r="BI5" s="92">
        <v>0.68363236091860691</v>
      </c>
      <c r="BJ5" s="92">
        <v>0.6236678733949651</v>
      </c>
      <c r="BK5" s="92"/>
      <c r="BL5" s="108">
        <v>0</v>
      </c>
      <c r="BM5" s="92">
        <v>0.33708820739888368</v>
      </c>
      <c r="BN5" s="92">
        <v>0.39477166959130539</v>
      </c>
      <c r="BO5" s="92">
        <v>0.68363236091860691</v>
      </c>
      <c r="BP5" s="92">
        <v>0.6236678733949651</v>
      </c>
      <c r="BQ5" s="92"/>
      <c r="BR5" s="92">
        <v>0</v>
      </c>
      <c r="BS5" s="92">
        <v>0.37521661258424732</v>
      </c>
      <c r="BT5" s="92">
        <v>0.39477166959130539</v>
      </c>
      <c r="BU5" s="92">
        <v>0.68363236091860691</v>
      </c>
      <c r="BV5" s="92">
        <v>0.6236678733949651</v>
      </c>
    </row>
    <row r="6" spans="1:75" s="85" customFormat="1" x14ac:dyDescent="0.2">
      <c r="A6" s="85" t="s">
        <v>682</v>
      </c>
      <c r="B6" s="85">
        <v>15</v>
      </c>
      <c r="C6" s="85">
        <v>3</v>
      </c>
      <c r="D6" s="85">
        <v>9103</v>
      </c>
      <c r="E6" s="111">
        <v>43398</v>
      </c>
      <c r="F6" s="85" t="s">
        <v>683</v>
      </c>
      <c r="G6" s="85">
        <v>1</v>
      </c>
      <c r="H6" s="85">
        <v>1</v>
      </c>
      <c r="I6" s="86">
        <v>12</v>
      </c>
      <c r="J6" s="87">
        <v>2.8435413179034884E-2</v>
      </c>
      <c r="K6" s="87">
        <v>3.3344272911353175E-2</v>
      </c>
      <c r="L6" s="87">
        <v>5.0525204895354607E-2</v>
      </c>
      <c r="M6" s="87">
        <v>0.88769510901425741</v>
      </c>
      <c r="N6" s="87">
        <v>0.23421315852003943</v>
      </c>
      <c r="O6" s="87">
        <v>0.45146352993755745</v>
      </c>
      <c r="P6" s="87">
        <v>0.23088835925067258</v>
      </c>
      <c r="Q6" s="87">
        <v>-3.0239459005325261E-4</v>
      </c>
      <c r="R6" s="88">
        <v>3.5100584879035973E-2</v>
      </c>
      <c r="S6" s="87">
        <v>0.39757339360334421</v>
      </c>
      <c r="T6" s="87">
        <v>0.60242660639665579</v>
      </c>
      <c r="U6" s="87">
        <v>0.59761525715585306</v>
      </c>
      <c r="V6" s="87">
        <v>0.3124883677647497</v>
      </c>
      <c r="W6" s="87">
        <v>0.26672331564604179</v>
      </c>
      <c r="X6" s="87">
        <v>0.2339930872338738</v>
      </c>
      <c r="Y6" s="89">
        <v>0.24700575521711204</v>
      </c>
      <c r="Z6" s="90">
        <v>18394</v>
      </c>
      <c r="AA6" s="91">
        <v>167900</v>
      </c>
      <c r="AB6" s="87">
        <v>0.45146352993755745</v>
      </c>
      <c r="AC6" s="87">
        <v>0.23088835925067258</v>
      </c>
      <c r="AD6" s="87">
        <v>0.31858317840529427</v>
      </c>
      <c r="AE6" s="100">
        <v>0</v>
      </c>
      <c r="AF6" s="92">
        <v>-3.153892119718682E-2</v>
      </c>
      <c r="AG6" s="93">
        <v>0.75924672892667411</v>
      </c>
      <c r="AH6" s="93">
        <f t="shared" si="0"/>
        <v>0.72414614404763811</v>
      </c>
      <c r="AI6" s="93">
        <f t="shared" ref="AI6:AI42" si="9">AG6-AB6</f>
        <v>0.30778319898911666</v>
      </c>
      <c r="AJ6" s="93">
        <f t="shared" ref="AJ6:AJ42" si="10">AG6-AC6</f>
        <v>0.52835836967600147</v>
      </c>
      <c r="AK6" s="115">
        <f t="shared" ref="AK6:AK42" si="11">AG6-Y6</f>
        <v>0.51224097370956212</v>
      </c>
      <c r="AL6" s="94">
        <f t="shared" ref="AL6:AL42" si="12">AG6-W6</f>
        <v>0.49252341328063232</v>
      </c>
      <c r="AM6" s="94">
        <f t="shared" ref="AM6:AM42" si="13">AG6-X6</f>
        <v>0.52525364169280031</v>
      </c>
      <c r="AN6" s="94">
        <f t="shared" si="1"/>
        <v>0.44066355052137984</v>
      </c>
      <c r="AO6" s="93">
        <v>0.9033873270382472</v>
      </c>
      <c r="AP6" s="93">
        <f t="shared" ref="AP6:AP69" si="14">AH6-AF6</f>
        <v>0.75568506524482493</v>
      </c>
      <c r="AQ6" s="94">
        <f t="shared" si="2"/>
        <v>0.54377989490674894</v>
      </c>
      <c r="AR6" s="94">
        <f t="shared" si="3"/>
        <v>0.47220247171856666</v>
      </c>
      <c r="AS6" s="93">
        <v>0.87184840584106038</v>
      </c>
      <c r="AT6" s="93">
        <f t="shared" si="4"/>
        <v>0.83674782096202438</v>
      </c>
      <c r="AU6" s="94">
        <f t="shared" si="5"/>
        <v>0.62484265062394839</v>
      </c>
      <c r="AV6" s="94">
        <f t="shared" si="6"/>
        <v>0.55326522743576612</v>
      </c>
      <c r="AW6" s="93"/>
      <c r="AX6" s="94">
        <f t="shared" si="7"/>
        <v>0.81979194793769961</v>
      </c>
      <c r="AY6" s="94">
        <f t="shared" si="8"/>
        <v>0.79647794343363232</v>
      </c>
      <c r="AZ6" s="105">
        <v>0</v>
      </c>
      <c r="BA6" s="92">
        <v>0.2488802203132251</v>
      </c>
      <c r="BB6" s="92">
        <v>0.75924672892667411</v>
      </c>
      <c r="BC6" s="92">
        <v>0.9033873270382472</v>
      </c>
      <c r="BD6" s="92">
        <v>0.87184840584106038</v>
      </c>
      <c r="BE6" s="92"/>
      <c r="BF6" s="108">
        <v>0</v>
      </c>
      <c r="BG6" s="92">
        <v>0.19511288240450919</v>
      </c>
      <c r="BH6" s="92">
        <v>0.75924672892667411</v>
      </c>
      <c r="BI6" s="92">
        <v>0.9033873270382472</v>
      </c>
      <c r="BJ6" s="92">
        <v>0.87184840584106038</v>
      </c>
      <c r="BK6" s="92"/>
      <c r="BL6" s="108">
        <v>0</v>
      </c>
      <c r="BM6" s="92">
        <v>0.14584281421893033</v>
      </c>
      <c r="BN6" s="92">
        <v>0.75924672892667411</v>
      </c>
      <c r="BO6" s="92">
        <v>0.9033873270382472</v>
      </c>
      <c r="BP6" s="92">
        <v>0.87184840584106038</v>
      </c>
      <c r="BQ6" s="92"/>
      <c r="BR6" s="92">
        <v>0</v>
      </c>
      <c r="BS6" s="92">
        <v>0.5907949017677484</v>
      </c>
      <c r="BT6" s="92">
        <v>0.75924672892667411</v>
      </c>
      <c r="BU6" s="92">
        <v>0.9033873270382472</v>
      </c>
      <c r="BV6" s="92">
        <v>0.87184840584106038</v>
      </c>
    </row>
    <row r="7" spans="1:75" x14ac:dyDescent="0.2">
      <c r="A7" s="11" t="s">
        <v>682</v>
      </c>
      <c r="B7" s="11">
        <v>24</v>
      </c>
      <c r="C7" s="11">
        <v>6</v>
      </c>
      <c r="D7" s="11">
        <v>9106</v>
      </c>
      <c r="E7" s="112">
        <v>43399</v>
      </c>
      <c r="F7" s="11" t="s">
        <v>683</v>
      </c>
      <c r="G7" s="11">
        <v>1</v>
      </c>
      <c r="H7" s="11">
        <v>2</v>
      </c>
      <c r="I7" s="10">
        <v>5</v>
      </c>
      <c r="J7" s="8">
        <v>6.3330268496323172E-2</v>
      </c>
      <c r="K7" s="8">
        <v>5.2410174018073512E-2</v>
      </c>
      <c r="L7" s="8">
        <v>0.11590725286900684</v>
      </c>
      <c r="M7" s="8">
        <v>0.76835230461659643</v>
      </c>
      <c r="N7" s="8">
        <v>1.1796876548154072E-2</v>
      </c>
      <c r="O7" s="8">
        <v>3.999613034642778E-2</v>
      </c>
      <c r="P7" s="8">
        <v>-3.0468854842790105E-2</v>
      </c>
      <c r="Q7" s="8">
        <v>-4.5465000749767568E-3</v>
      </c>
      <c r="R7" s="21">
        <v>-4.1815715627218503E-3</v>
      </c>
      <c r="S7" s="8">
        <v>0.31137699160072169</v>
      </c>
      <c r="T7" s="8">
        <v>0.68862300839927826</v>
      </c>
      <c r="U7" s="8">
        <v>0.83039590367704352</v>
      </c>
      <c r="V7" s="8">
        <v>0.34229274611398963</v>
      </c>
      <c r="W7" s="8">
        <v>-0.25461827617048072</v>
      </c>
      <c r="X7" s="8">
        <v>0.14622802720199843</v>
      </c>
      <c r="Y7" s="15">
        <v>2.1413711163605645E-2</v>
      </c>
      <c r="Z7" s="5">
        <v>22380</v>
      </c>
      <c r="AA7" s="7">
        <v>211400</v>
      </c>
      <c r="AB7" s="8">
        <v>3.999613034642778E-2</v>
      </c>
      <c r="AC7" s="8">
        <v>-3.0468854842790105E-2</v>
      </c>
      <c r="AD7" s="8">
        <v>-8.5276797413820268E-3</v>
      </c>
      <c r="AE7" s="12">
        <v>1</v>
      </c>
      <c r="AF7" s="74">
        <v>-0.20622670061792595</v>
      </c>
      <c r="AG7" s="74">
        <v>0.39327557945675562</v>
      </c>
      <c r="AH7" s="74">
        <f t="shared" si="0"/>
        <v>0.39745715101947748</v>
      </c>
      <c r="AI7" s="74">
        <f t="shared" si="9"/>
        <v>0.35327944911032783</v>
      </c>
      <c r="AJ7" s="74">
        <f t="shared" si="10"/>
        <v>0.42374443429954572</v>
      </c>
      <c r="AK7" s="116">
        <f t="shared" si="11"/>
        <v>0.37186186829314999</v>
      </c>
      <c r="AL7" s="83">
        <f t="shared" si="12"/>
        <v>0.64789385562723634</v>
      </c>
      <c r="AM7" s="83">
        <f t="shared" si="13"/>
        <v>0.24704755225475719</v>
      </c>
      <c r="AN7" s="83">
        <f t="shared" si="1"/>
        <v>0.40180325919813764</v>
      </c>
      <c r="AO7" s="74">
        <v>0.59950228007468154</v>
      </c>
      <c r="AP7" s="74">
        <f t="shared" si="14"/>
        <v>0.60368385163740346</v>
      </c>
      <c r="AQ7" s="83">
        <f t="shared" si="2"/>
        <v>0.57808856891107596</v>
      </c>
      <c r="AR7" s="83">
        <f t="shared" si="3"/>
        <v>0.60802995981606356</v>
      </c>
      <c r="AS7" s="74">
        <v>5.3803840503344663E-2</v>
      </c>
      <c r="AT7" s="74">
        <f t="shared" si="4"/>
        <v>5.7985412066066513E-2</v>
      </c>
      <c r="AU7" s="83">
        <f t="shared" si="5"/>
        <v>3.2390129339739018E-2</v>
      </c>
      <c r="AV7" s="83">
        <f t="shared" si="6"/>
        <v>6.2331520244726692E-2</v>
      </c>
      <c r="AW7" s="74">
        <v>7.3094332259108539</v>
      </c>
      <c r="AX7" s="83">
        <f t="shared" si="7"/>
        <v>11.480715757343939</v>
      </c>
      <c r="AY7" s="83">
        <f t="shared" si="8"/>
        <v>6.446229092769971</v>
      </c>
      <c r="AZ7" s="102">
        <v>3</v>
      </c>
      <c r="BA7" s="74">
        <v>9.5981748248323104E-2</v>
      </c>
      <c r="BB7" s="74">
        <v>-0.51207061411337906</v>
      </c>
      <c r="BC7" s="74">
        <v>-0.60805236236170213</v>
      </c>
      <c r="BD7" s="74">
        <v>-0.48803118195850265</v>
      </c>
      <c r="BE7" s="74"/>
      <c r="BF7" s="109">
        <v>3</v>
      </c>
      <c r="BG7" s="74">
        <v>-9.8238270273068487E-2</v>
      </c>
      <c r="BH7" s="74">
        <v>-0.87550217374783024</v>
      </c>
      <c r="BI7" s="74">
        <v>-0.77726390347476171</v>
      </c>
      <c r="BJ7" s="74">
        <v>-0.76229168217800991</v>
      </c>
      <c r="BK7" s="74"/>
      <c r="BL7" s="109">
        <v>3</v>
      </c>
      <c r="BM7" s="74">
        <v>0.18116807944503543</v>
      </c>
      <c r="BN7" s="74">
        <v>-0.41224960397982835</v>
      </c>
      <c r="BO7" s="74">
        <v>-0.59341768342486378</v>
      </c>
      <c r="BP7" s="74">
        <v>-0.86359431783868623</v>
      </c>
      <c r="BQ7" s="74"/>
      <c r="BR7" s="74">
        <v>3</v>
      </c>
      <c r="BS7" s="74">
        <v>0.84735742363107847</v>
      </c>
      <c r="BT7" s="74">
        <v>9.0282332266352627E-3</v>
      </c>
      <c r="BU7" s="74">
        <v>-0.8383291904044432</v>
      </c>
      <c r="BV7" s="74">
        <v>0.11884309923384184</v>
      </c>
      <c r="BW7" s="75"/>
    </row>
    <row r="8" spans="1:75" x14ac:dyDescent="0.2">
      <c r="A8" s="11" t="s">
        <v>682</v>
      </c>
      <c r="B8" s="11">
        <v>24</v>
      </c>
      <c r="C8" s="11">
        <v>6</v>
      </c>
      <c r="D8" s="11">
        <v>9106</v>
      </c>
      <c r="E8" s="112">
        <v>43399</v>
      </c>
      <c r="F8" s="11" t="s">
        <v>683</v>
      </c>
      <c r="G8" s="11">
        <v>1</v>
      </c>
      <c r="H8" s="11">
        <v>2</v>
      </c>
      <c r="I8" s="10">
        <v>12</v>
      </c>
      <c r="J8" s="8">
        <v>7.8478817288341732E-2</v>
      </c>
      <c r="K8" s="8">
        <v>6.3490699076926019E-2</v>
      </c>
      <c r="L8" s="8">
        <v>0.13105110998547523</v>
      </c>
      <c r="M8" s="8">
        <v>0.72697937364925702</v>
      </c>
      <c r="N8" s="8">
        <v>1.0461141970384179E-2</v>
      </c>
      <c r="O8" s="8">
        <v>8.2921340225139223E-2</v>
      </c>
      <c r="P8" s="8">
        <v>-5.0089707024178934E-2</v>
      </c>
      <c r="Q8" s="8">
        <v>-3.6885080804115629E-3</v>
      </c>
      <c r="R8" s="21">
        <v>-3.1600690897528273E-3</v>
      </c>
      <c r="S8" s="8">
        <v>0.32636017616429552</v>
      </c>
      <c r="T8" s="8">
        <v>0.67363982383570442</v>
      </c>
      <c r="U8" s="8">
        <v>0.87050304878048779</v>
      </c>
      <c r="V8" s="8">
        <v>0.34137261249595341</v>
      </c>
      <c r="W8" s="8">
        <v>-0.20524076601299762</v>
      </c>
      <c r="X8" s="8">
        <v>0.12093529148461864</v>
      </c>
      <c r="Y8" s="15">
        <v>1.4484415899121209E-2</v>
      </c>
      <c r="Z8" s="5">
        <v>22842</v>
      </c>
      <c r="AA8" s="7">
        <v>210900</v>
      </c>
      <c r="AB8" s="8">
        <v>8.2921340225139223E-2</v>
      </c>
      <c r="AC8" s="8">
        <v>-5.0089707024178934E-2</v>
      </c>
      <c r="AD8" s="8">
        <v>-6.6801982120940212E-3</v>
      </c>
      <c r="AE8" s="12">
        <v>0</v>
      </c>
      <c r="AF8" s="74">
        <v>0.35827152489233138</v>
      </c>
      <c r="AG8" s="74">
        <v>0.89431984342384108</v>
      </c>
      <c r="AH8" s="74">
        <f t="shared" si="0"/>
        <v>0.89747991251359394</v>
      </c>
      <c r="AI8" s="74">
        <f t="shared" si="9"/>
        <v>0.81139850319870188</v>
      </c>
      <c r="AJ8" s="74">
        <f t="shared" si="10"/>
        <v>0.94440955044802</v>
      </c>
      <c r="AK8" s="116">
        <f t="shared" si="11"/>
        <v>0.87983542752471988</v>
      </c>
      <c r="AL8" s="83">
        <f t="shared" si="12"/>
        <v>1.0995606094368386</v>
      </c>
      <c r="AM8" s="83">
        <f t="shared" si="13"/>
        <v>0.7733845519392224</v>
      </c>
      <c r="AN8" s="83">
        <f t="shared" si="1"/>
        <v>0.90100004163593506</v>
      </c>
      <c r="AO8" s="74">
        <v>0.53604831853150969</v>
      </c>
      <c r="AP8" s="74">
        <f t="shared" si="14"/>
        <v>0.53920838762126255</v>
      </c>
      <c r="AQ8" s="83">
        <f t="shared" si="2"/>
        <v>0.5215639026323885</v>
      </c>
      <c r="AR8" s="83">
        <f t="shared" si="3"/>
        <v>0.54272851674360367</v>
      </c>
      <c r="AS8" s="74">
        <v>0.38772479180582708</v>
      </c>
      <c r="AT8" s="74">
        <f t="shared" si="4"/>
        <v>0.39088486089557989</v>
      </c>
      <c r="AU8" s="83">
        <f t="shared" si="5"/>
        <v>0.37324037590670589</v>
      </c>
      <c r="AV8" s="83">
        <f t="shared" si="6"/>
        <v>0.39440499001792112</v>
      </c>
      <c r="AW8" s="74">
        <v>2.3065841089463199</v>
      </c>
      <c r="AX8" s="83">
        <f t="shared" si="7"/>
        <v>2.3572889867216325</v>
      </c>
      <c r="AY8" s="83">
        <f t="shared" si="8"/>
        <v>2.2844539608765984</v>
      </c>
      <c r="AZ8" s="102">
        <v>3</v>
      </c>
      <c r="BA8" s="74">
        <v>0.36158704640387035</v>
      </c>
      <c r="BB8" s="74">
        <v>-0.24263326021516401</v>
      </c>
      <c r="BC8" s="74">
        <v>-0.60422030661903436</v>
      </c>
      <c r="BD8" s="74">
        <v>-0.25834058430365109</v>
      </c>
      <c r="BE8" s="74"/>
      <c r="BF8" s="109">
        <v>3</v>
      </c>
      <c r="BG8" s="74">
        <v>0.32739615880147982</v>
      </c>
      <c r="BH8" s="74">
        <v>-0.47288319081962299</v>
      </c>
      <c r="BI8" s="74">
        <v>-0.80027934962110281</v>
      </c>
      <c r="BJ8" s="74">
        <v>-0.30672626788044383</v>
      </c>
      <c r="BK8" s="74"/>
      <c r="BL8" s="109">
        <v>3</v>
      </c>
      <c r="BM8" s="74">
        <v>0.19871410554731708</v>
      </c>
      <c r="BN8" s="74">
        <v>-0.53452753221450633</v>
      </c>
      <c r="BO8" s="74">
        <v>-0.73324163776182338</v>
      </c>
      <c r="BP8" s="74">
        <v>-0.73965257802603779</v>
      </c>
      <c r="BQ8" s="74"/>
      <c r="BR8" s="74">
        <v>3</v>
      </c>
      <c r="BS8" s="74">
        <v>0.34981901928998821</v>
      </c>
      <c r="BT8" s="74">
        <v>-0.5145441016514023</v>
      </c>
      <c r="BU8" s="74">
        <v>-0.86436312094139056</v>
      </c>
      <c r="BV8" s="74">
        <v>-0.55135807477411869</v>
      </c>
      <c r="BW8" s="75"/>
    </row>
    <row r="9" spans="1:75" x14ac:dyDescent="0.2">
      <c r="A9" s="11" t="s">
        <v>682</v>
      </c>
      <c r="B9" s="11">
        <v>24</v>
      </c>
      <c r="C9" s="11">
        <v>6</v>
      </c>
      <c r="D9" s="11">
        <v>9106</v>
      </c>
      <c r="E9" s="112">
        <v>43399</v>
      </c>
      <c r="F9" s="11" t="s">
        <v>683</v>
      </c>
      <c r="G9" s="11">
        <v>1</v>
      </c>
      <c r="H9" s="11">
        <v>2</v>
      </c>
      <c r="I9" s="10">
        <v>20</v>
      </c>
      <c r="J9" s="8">
        <v>7.07197476576992E-2</v>
      </c>
      <c r="K9" s="8">
        <v>4.6311865033766143E-2</v>
      </c>
      <c r="L9" s="8">
        <v>6.1786394733719087E-2</v>
      </c>
      <c r="M9" s="8">
        <v>0.82118199257481561</v>
      </c>
      <c r="N9" s="8">
        <v>1.2039185048770013E-2</v>
      </c>
      <c r="O9" s="8">
        <v>0.11419726836288342</v>
      </c>
      <c r="P9" s="8">
        <v>-6.1689596740364616E-2</v>
      </c>
      <c r="Q9" s="8">
        <v>-1.8420966607541864E-2</v>
      </c>
      <c r="R9" s="21">
        <v>-1.2798447230799499E-2</v>
      </c>
      <c r="S9" s="8">
        <v>0.4284237797479904</v>
      </c>
      <c r="T9" s="8">
        <v>0.5715762202520096</v>
      </c>
      <c r="U9" s="8">
        <v>0.95848974247053687</v>
      </c>
      <c r="V9" s="8">
        <v>0.37297677691766362</v>
      </c>
      <c r="W9" s="8">
        <v>-0.17499103318199202</v>
      </c>
      <c r="X9" s="8">
        <v>0.10786287105434911</v>
      </c>
      <c r="Y9" s="15">
        <v>-1.3318467715060275E-2</v>
      </c>
      <c r="Z9" s="5">
        <v>21959</v>
      </c>
      <c r="AA9" s="7">
        <v>212000</v>
      </c>
      <c r="AB9" s="8">
        <v>0.11419726836288342</v>
      </c>
      <c r="AC9" s="8">
        <v>-6.1689596740364616E-2</v>
      </c>
      <c r="AD9" s="8">
        <v>1.3664518815193816E-2</v>
      </c>
      <c r="AE9" s="12">
        <v>2</v>
      </c>
      <c r="AF9" s="74">
        <v>-0.58863406084159642</v>
      </c>
      <c r="AG9" s="74">
        <v>-0.43752752339556655</v>
      </c>
      <c r="AH9" s="74">
        <f t="shared" si="0"/>
        <v>-0.42472907616476707</v>
      </c>
      <c r="AI9" s="74">
        <f t="shared" si="9"/>
        <v>-0.55172479175845002</v>
      </c>
      <c r="AJ9" s="74">
        <f t="shared" si="10"/>
        <v>-0.37583792665520194</v>
      </c>
      <c r="AK9" s="116">
        <f t="shared" si="11"/>
        <v>-0.42420905568050626</v>
      </c>
      <c r="AL9" s="83">
        <f t="shared" si="12"/>
        <v>-0.2625364902135745</v>
      </c>
      <c r="AM9" s="83">
        <f t="shared" si="13"/>
        <v>-0.54539039444991566</v>
      </c>
      <c r="AN9" s="83">
        <f t="shared" si="1"/>
        <v>-0.45119204221076037</v>
      </c>
      <c r="AO9" s="74">
        <v>0.15110653744602986</v>
      </c>
      <c r="AP9" s="74">
        <f t="shared" si="14"/>
        <v>0.16390498467682935</v>
      </c>
      <c r="AQ9" s="83">
        <f t="shared" si="2"/>
        <v>0.16442500516109015</v>
      </c>
      <c r="AR9" s="83">
        <f t="shared" si="3"/>
        <v>0.13744201863083605</v>
      </c>
      <c r="AS9" s="74">
        <v>0.2023989609594693</v>
      </c>
      <c r="AT9" s="74">
        <f t="shared" si="4"/>
        <v>0.21519740819026881</v>
      </c>
      <c r="AU9" s="83">
        <f t="shared" si="5"/>
        <v>0.21571742867452959</v>
      </c>
      <c r="AV9" s="83">
        <f t="shared" si="6"/>
        <v>0.18873444214427548</v>
      </c>
      <c r="AW9" s="74">
        <v>-2.1617083473229002</v>
      </c>
      <c r="AX9" s="83">
        <f t="shared" si="7"/>
        <v>-1.966503394218299</v>
      </c>
      <c r="AY9" s="83">
        <f t="shared" si="8"/>
        <v>-2.3906184641479098</v>
      </c>
      <c r="AZ9" s="102">
        <v>3</v>
      </c>
      <c r="BA9" s="74">
        <v>0.29001021071220662</v>
      </c>
      <c r="BB9" s="74">
        <v>-0.24873005131849341</v>
      </c>
      <c r="BC9" s="74">
        <v>-0.53874026203070002</v>
      </c>
      <c r="BD9" s="74">
        <v>-0.27796210212104661</v>
      </c>
      <c r="BE9" s="74"/>
      <c r="BF9" s="109">
        <v>3</v>
      </c>
      <c r="BG9" s="74">
        <v>0.39262910542488233</v>
      </c>
      <c r="BH9" s="74">
        <v>-0.40591851653102157</v>
      </c>
      <c r="BI9" s="74">
        <v>-0.7985476219559039</v>
      </c>
      <c r="BJ9" s="74">
        <v>-0.28794917439994944</v>
      </c>
      <c r="BK9" s="74"/>
      <c r="BL9" s="109">
        <v>3</v>
      </c>
      <c r="BM9" s="74">
        <v>0.39487559925700416</v>
      </c>
      <c r="BN9" s="74">
        <v>-0.47445814952937987</v>
      </c>
      <c r="BO9" s="74">
        <v>-0.86933374878638403</v>
      </c>
      <c r="BP9" s="74">
        <v>-0.62251124948851966</v>
      </c>
      <c r="BQ9" s="74"/>
      <c r="BR9" s="74">
        <v>3</v>
      </c>
      <c r="BS9" s="74">
        <v>0.13344461140931005</v>
      </c>
      <c r="BT9" s="74">
        <v>-1.1977899725275534</v>
      </c>
      <c r="BU9" s="74">
        <v>-1.3312345839368633</v>
      </c>
      <c r="BV9" s="74">
        <v>-1.1155518742905812</v>
      </c>
      <c r="BW9" s="75"/>
    </row>
    <row r="10" spans="1:75" x14ac:dyDescent="0.2">
      <c r="A10" s="11" t="s">
        <v>682</v>
      </c>
      <c r="B10" s="11">
        <v>24</v>
      </c>
      <c r="C10" s="11">
        <v>6</v>
      </c>
      <c r="D10" s="11">
        <v>9106</v>
      </c>
      <c r="E10" s="112">
        <v>43399</v>
      </c>
      <c r="F10" s="11" t="s">
        <v>683</v>
      </c>
      <c r="G10" s="11">
        <v>1</v>
      </c>
      <c r="H10" s="11">
        <v>2</v>
      </c>
      <c r="I10" s="10">
        <v>30</v>
      </c>
      <c r="J10" s="8">
        <v>0.14115339550962494</v>
      </c>
      <c r="K10" s="8">
        <v>6.5911034955943151E-2</v>
      </c>
      <c r="L10" s="8">
        <v>8.6947193342653023E-2</v>
      </c>
      <c r="M10" s="8">
        <v>0.70598837619177879</v>
      </c>
      <c r="N10" s="8">
        <v>-8.104185466473976E-2</v>
      </c>
      <c r="O10" s="8">
        <v>-6.6315404518033444E-2</v>
      </c>
      <c r="P10" s="8">
        <v>-1.2477757450934343E-2</v>
      </c>
      <c r="Q10" s="8">
        <v>-8.5747685230467535E-3</v>
      </c>
      <c r="R10" s="21">
        <v>-2.2948842805006441E-2</v>
      </c>
      <c r="S10" s="8">
        <v>0.43119062473490982</v>
      </c>
      <c r="T10" s="8">
        <v>0.56880937526509023</v>
      </c>
      <c r="U10" s="8">
        <v>1.3023408379305204</v>
      </c>
      <c r="V10" s="8">
        <v>0.5889226454779154</v>
      </c>
      <c r="W10" s="8">
        <v>-0.22836498708340242</v>
      </c>
      <c r="X10" s="8">
        <v>-5.889858891081938E-2</v>
      </c>
      <c r="Y10" s="15">
        <v>-0.13197091101043046</v>
      </c>
      <c r="Z10" s="5">
        <v>43674</v>
      </c>
      <c r="AA10" s="7">
        <v>252000</v>
      </c>
      <c r="AB10" s="8">
        <v>-6.6315404518033444E-2</v>
      </c>
      <c r="AC10" s="8">
        <v>-1.2477757450934343E-2</v>
      </c>
      <c r="AD10" s="8">
        <v>-3.569204612405439E-2</v>
      </c>
      <c r="AE10" s="12">
        <v>2</v>
      </c>
      <c r="AF10" s="74">
        <v>-0.63261063946015506</v>
      </c>
      <c r="AG10" s="74">
        <v>2.2923783360693819</v>
      </c>
      <c r="AH10" s="74">
        <f t="shared" si="0"/>
        <v>2.3153271788743885</v>
      </c>
      <c r="AI10" s="74">
        <f t="shared" si="9"/>
        <v>2.3586937405874155</v>
      </c>
      <c r="AJ10" s="74">
        <f t="shared" si="10"/>
        <v>2.3048560935203164</v>
      </c>
      <c r="AK10" s="116">
        <f t="shared" si="11"/>
        <v>2.4243492470798125</v>
      </c>
      <c r="AL10" s="83">
        <f t="shared" si="12"/>
        <v>2.5207433231527845</v>
      </c>
      <c r="AM10" s="83">
        <f t="shared" si="13"/>
        <v>2.3512769249802012</v>
      </c>
      <c r="AN10" s="83">
        <f t="shared" si="1"/>
        <v>2.3280703821934363</v>
      </c>
      <c r="AO10" s="74">
        <v>2.9249889755295371</v>
      </c>
      <c r="AP10" s="74">
        <f t="shared" si="14"/>
        <v>2.9479378183345437</v>
      </c>
      <c r="AQ10" s="83">
        <f t="shared" si="2"/>
        <v>3.0569598865399676</v>
      </c>
      <c r="AR10" s="83">
        <f t="shared" si="3"/>
        <v>2.9606810216535915</v>
      </c>
      <c r="AS10" s="74">
        <v>2.3290423204409731</v>
      </c>
      <c r="AT10" s="74">
        <f t="shared" si="4"/>
        <v>2.3519911632459798</v>
      </c>
      <c r="AU10" s="83">
        <f t="shared" si="5"/>
        <v>2.4610132314514037</v>
      </c>
      <c r="AV10" s="83">
        <f t="shared" si="6"/>
        <v>2.3647343665650276</v>
      </c>
      <c r="AW10" s="74">
        <v>0.98425791405771901</v>
      </c>
      <c r="AX10" s="83">
        <f t="shared" si="7"/>
        <v>0.98510207750895828</v>
      </c>
      <c r="AY10" s="83">
        <f t="shared" si="8"/>
        <v>0.98449551675233249</v>
      </c>
      <c r="AZ10" s="102">
        <v>3</v>
      </c>
      <c r="BA10" s="74">
        <v>0.45539490863484361</v>
      </c>
      <c r="BB10" s="74">
        <v>2.1592017419247487</v>
      </c>
      <c r="BC10" s="74">
        <v>1.703806833289905</v>
      </c>
      <c r="BD10" s="74">
        <v>2.0501894251978734</v>
      </c>
      <c r="BE10" s="74"/>
      <c r="BF10" s="109">
        <v>3</v>
      </c>
      <c r="BG10" s="74">
        <v>0.56745454855652355</v>
      </c>
      <c r="BH10" s="74">
        <v>-0.19738182160769235</v>
      </c>
      <c r="BI10" s="74">
        <v>-0.76483637016421591</v>
      </c>
      <c r="BJ10" s="74">
        <v>-2.9412537880668332E-2</v>
      </c>
      <c r="BK10" s="74"/>
      <c r="BL10" s="109">
        <v>3</v>
      </c>
      <c r="BM10" s="74">
        <v>0.21184928566161401</v>
      </c>
      <c r="BN10" s="74">
        <v>-1.2920654168980805</v>
      </c>
      <c r="BO10" s="74">
        <v>-1.5039147025596946</v>
      </c>
      <c r="BP10" s="74">
        <v>-1.3232947205318624</v>
      </c>
      <c r="BQ10" s="74"/>
      <c r="BR10" s="74">
        <v>3</v>
      </c>
      <c r="BS10" s="74">
        <v>0</v>
      </c>
      <c r="BT10" s="74">
        <v>-1.1811333123561132</v>
      </c>
      <c r="BU10" s="74">
        <v>-1.1811333123561132</v>
      </c>
      <c r="BV10" s="74">
        <v>-1.2139231351791042</v>
      </c>
      <c r="BW10" s="75"/>
    </row>
    <row r="11" spans="1:75" x14ac:dyDescent="0.2">
      <c r="A11" s="11" t="s">
        <v>682</v>
      </c>
      <c r="B11" s="11">
        <v>24</v>
      </c>
      <c r="C11" s="11">
        <v>6</v>
      </c>
      <c r="D11" s="11">
        <v>9106</v>
      </c>
      <c r="E11" s="112">
        <v>43399</v>
      </c>
      <c r="F11" s="11" t="s">
        <v>683</v>
      </c>
      <c r="G11" s="11">
        <v>1</v>
      </c>
      <c r="H11" s="11">
        <v>2</v>
      </c>
      <c r="I11" s="10">
        <v>40</v>
      </c>
      <c r="J11" s="8">
        <v>0.35058384577613316</v>
      </c>
      <c r="K11" s="8">
        <v>0.19850922636951246</v>
      </c>
      <c r="L11" s="8">
        <v>0.18406428813053377</v>
      </c>
      <c r="M11" s="8">
        <v>0.2668426397238205</v>
      </c>
      <c r="N11" s="8">
        <v>-0.15872481772508384</v>
      </c>
      <c r="O11" s="8">
        <v>-3.9294894129887063E-2</v>
      </c>
      <c r="P11" s="8">
        <v>-3.764365214072795E-2</v>
      </c>
      <c r="Q11" s="8">
        <v>-1.6282230858018908E-3</v>
      </c>
      <c r="R11" s="21">
        <v>-7.0810087432362584E-2</v>
      </c>
      <c r="S11" s="8">
        <v>0.51887864383118054</v>
      </c>
      <c r="T11" s="8">
        <v>0.48112135616881951</v>
      </c>
      <c r="U11" s="8">
        <v>1.5047777413461989</v>
      </c>
      <c r="V11" s="8">
        <v>0.74019088016967127</v>
      </c>
      <c r="W11" s="8">
        <v>-0.20938345207163506</v>
      </c>
      <c r="X11" s="8">
        <v>-9.0717712818795093E-2</v>
      </c>
      <c r="Y11" s="15">
        <v>-0.15229083067153318</v>
      </c>
      <c r="Z11" s="5">
        <v>64251</v>
      </c>
      <c r="AA11" s="7">
        <v>279200</v>
      </c>
      <c r="AB11" s="8">
        <v>-3.9294894129887063E-2</v>
      </c>
      <c r="AC11" s="8">
        <v>-3.764365214072795E-2</v>
      </c>
      <c r="AD11" s="8">
        <v>-3.8500446344699936E-2</v>
      </c>
      <c r="AE11" s="12">
        <v>0</v>
      </c>
      <c r="AF11" s="74">
        <v>0.39820147176313964</v>
      </c>
      <c r="AG11" s="74">
        <v>0.19260223009983984</v>
      </c>
      <c r="AH11" s="74">
        <f t="shared" si="0"/>
        <v>0.2634123175322024</v>
      </c>
      <c r="AI11" s="74">
        <f t="shared" si="9"/>
        <v>0.23189712422972691</v>
      </c>
      <c r="AJ11" s="74">
        <f t="shared" si="10"/>
        <v>0.2302458822405678</v>
      </c>
      <c r="AK11" s="116">
        <f t="shared" si="11"/>
        <v>0.34489306077137305</v>
      </c>
      <c r="AL11" s="83">
        <f t="shared" si="12"/>
        <v>0.4019856821714749</v>
      </c>
      <c r="AM11" s="83">
        <f t="shared" si="13"/>
        <v>0.28331994291863494</v>
      </c>
      <c r="AN11" s="83">
        <f t="shared" si="1"/>
        <v>0.23110267644453977</v>
      </c>
      <c r="AO11" s="74">
        <v>-0.20559924166329979</v>
      </c>
      <c r="AP11" s="74">
        <f t="shared" si="14"/>
        <v>-0.13478915423093724</v>
      </c>
      <c r="AQ11" s="83">
        <f t="shared" si="2"/>
        <v>-5.3308410991766586E-2</v>
      </c>
      <c r="AR11" s="83">
        <f t="shared" si="3"/>
        <v>-0.16709879531859986</v>
      </c>
      <c r="AS11" s="74">
        <v>0.17800343067868696</v>
      </c>
      <c r="AT11" s="74">
        <f t="shared" si="4"/>
        <v>0.24881351811104954</v>
      </c>
      <c r="AU11" s="83">
        <f t="shared" si="5"/>
        <v>0.33029426135022011</v>
      </c>
      <c r="AV11" s="83">
        <f t="shared" si="6"/>
        <v>0.21650387702338689</v>
      </c>
      <c r="AW11" s="74">
        <v>1.0820141463874655</v>
      </c>
      <c r="AX11" s="83">
        <f t="shared" si="7"/>
        <v>1.0441993734964514</v>
      </c>
      <c r="AY11" s="83">
        <f t="shared" si="8"/>
        <v>1.0674297366950889</v>
      </c>
      <c r="AZ11" s="102">
        <v>3</v>
      </c>
      <c r="BA11" s="74">
        <v>0.77094762227865565</v>
      </c>
      <c r="BB11" s="74">
        <v>-0.67194049455397875</v>
      </c>
      <c r="BC11" s="74">
        <v>-1.4428881168326344</v>
      </c>
      <c r="BD11" s="74">
        <v>-0.77604594700866525</v>
      </c>
      <c r="BE11" s="74"/>
      <c r="BF11" s="109">
        <v>3</v>
      </c>
      <c r="BG11" s="74">
        <v>0.68515873797674942</v>
      </c>
      <c r="BH11" s="74">
        <v>0.3885534180854241</v>
      </c>
      <c r="BI11" s="74">
        <v>-0.29660531989132533</v>
      </c>
      <c r="BJ11" s="74">
        <v>0.48574109198737614</v>
      </c>
      <c r="BK11" s="74"/>
      <c r="BL11" s="109">
        <v>3</v>
      </c>
      <c r="BM11" s="74">
        <v>0.40975739595818644</v>
      </c>
      <c r="BN11" s="74">
        <v>-1.4624673459190567</v>
      </c>
      <c r="BO11" s="74">
        <v>-1.8722247418772431</v>
      </c>
      <c r="BP11" s="74">
        <v>-1.4931531566225007</v>
      </c>
      <c r="BQ11" s="74"/>
      <c r="BR11" s="74">
        <v>3</v>
      </c>
      <c r="BS11" s="74">
        <v>-0.10672361023138188</v>
      </c>
      <c r="BT11" s="74">
        <v>-0.62802053386466794</v>
      </c>
      <c r="BU11" s="74">
        <v>-0.52129692363328606</v>
      </c>
      <c r="BV11" s="74">
        <v>-0.3143629750096264</v>
      </c>
      <c r="BW11" s="75"/>
    </row>
    <row r="12" spans="1:75" x14ac:dyDescent="0.2">
      <c r="A12" s="11" t="s">
        <v>682</v>
      </c>
      <c r="B12" s="11">
        <v>24</v>
      </c>
      <c r="C12" s="11">
        <v>6</v>
      </c>
      <c r="D12" s="11">
        <v>9106</v>
      </c>
      <c r="E12" s="112">
        <v>43399</v>
      </c>
      <c r="F12" s="11" t="s">
        <v>683</v>
      </c>
      <c r="G12" s="11">
        <v>1</v>
      </c>
      <c r="H12" s="11">
        <v>2</v>
      </c>
      <c r="I12" s="10">
        <v>50</v>
      </c>
      <c r="J12" s="8">
        <v>0.28643034862897343</v>
      </c>
      <c r="K12" s="8">
        <v>0.17288643904068499</v>
      </c>
      <c r="L12" s="8">
        <v>0.17061779911674069</v>
      </c>
      <c r="M12" s="8">
        <v>0.37006541321360087</v>
      </c>
      <c r="N12" s="8">
        <v>-2.4896759997007814E-2</v>
      </c>
      <c r="O12" s="8">
        <v>8.8990022469351733E-3</v>
      </c>
      <c r="P12" s="8">
        <v>-9.8471438445099715E-3</v>
      </c>
      <c r="Q12" s="8">
        <v>1.6981556652070649E-2</v>
      </c>
      <c r="R12" s="21">
        <v>-9.8848206706470508E-4</v>
      </c>
      <c r="S12" s="8">
        <v>0.50330220077649312</v>
      </c>
      <c r="T12" s="8">
        <v>0.49669779922350682</v>
      </c>
      <c r="U12" s="8">
        <v>1.4845152148977803</v>
      </c>
      <c r="V12" s="8">
        <v>0.69763472323823461</v>
      </c>
      <c r="W12" s="8">
        <v>-8.2998191933913348E-2</v>
      </c>
      <c r="X12" s="8">
        <v>4.9294621773085384E-2</v>
      </c>
      <c r="Y12" s="15">
        <v>-1.7288642512561698E-2</v>
      </c>
      <c r="Z12" s="5">
        <v>66006</v>
      </c>
      <c r="AA12" s="7">
        <v>286100</v>
      </c>
      <c r="AB12" s="8">
        <v>8.8990022469351733E-3</v>
      </c>
      <c r="AC12" s="8">
        <v>-9.8471438445099715E-3</v>
      </c>
      <c r="AD12" s="8">
        <v>-4.1216726060797505E-4</v>
      </c>
      <c r="AE12" s="12">
        <v>0</v>
      </c>
      <c r="AF12" s="74">
        <v>0.22892665263755749</v>
      </c>
      <c r="AG12" s="74">
        <v>0.2125328428618812</v>
      </c>
      <c r="AH12" s="74">
        <f t="shared" si="0"/>
        <v>0.2135213249289459</v>
      </c>
      <c r="AI12" s="74">
        <f t="shared" si="9"/>
        <v>0.20363384061494602</v>
      </c>
      <c r="AJ12" s="74">
        <f t="shared" si="10"/>
        <v>0.22237998670639117</v>
      </c>
      <c r="AK12" s="116">
        <f t="shared" si="11"/>
        <v>0.22982148537444291</v>
      </c>
      <c r="AL12" s="83">
        <f t="shared" si="12"/>
        <v>0.29553103479579457</v>
      </c>
      <c r="AM12" s="83">
        <f t="shared" si="13"/>
        <v>0.16323822108879582</v>
      </c>
      <c r="AN12" s="83">
        <f t="shared" si="1"/>
        <v>0.21294501012248918</v>
      </c>
      <c r="AO12" s="74">
        <v>-1.6393809775676272E-2</v>
      </c>
      <c r="AP12" s="74">
        <f t="shared" si="14"/>
        <v>-1.5405327708611583E-2</v>
      </c>
      <c r="AQ12" s="83">
        <f t="shared" si="2"/>
        <v>8.9483273688542586E-4</v>
      </c>
      <c r="AR12" s="83">
        <f t="shared" si="3"/>
        <v>-1.5981642515068312E-2</v>
      </c>
      <c r="AS12" s="74">
        <v>0.14413011597748054</v>
      </c>
      <c r="AT12" s="74">
        <f t="shared" si="4"/>
        <v>0.14511859804454524</v>
      </c>
      <c r="AU12" s="83">
        <f t="shared" si="5"/>
        <v>0.16141875849004225</v>
      </c>
      <c r="AV12" s="83">
        <f t="shared" si="6"/>
        <v>0.14454228323808851</v>
      </c>
      <c r="AW12" s="74">
        <v>1.4745901050623464</v>
      </c>
      <c r="AX12" s="83">
        <f t="shared" si="7"/>
        <v>1.4237594659025974</v>
      </c>
      <c r="AY12" s="83">
        <f t="shared" si="8"/>
        <v>1.4732367951579153</v>
      </c>
      <c r="AZ12" s="102">
        <v>3</v>
      </c>
      <c r="BA12" s="74">
        <v>0.34756460856297239</v>
      </c>
      <c r="BB12" s="74">
        <v>1.5434470187235774</v>
      </c>
      <c r="BC12" s="74">
        <v>1.1958824101606049</v>
      </c>
      <c r="BD12" s="74">
        <v>1.5048177632490272</v>
      </c>
      <c r="BE12" s="74"/>
      <c r="BF12" s="109">
        <v>3</v>
      </c>
      <c r="BG12" s="74">
        <v>0.24621963387002421</v>
      </c>
      <c r="BH12" s="74">
        <v>-0.14754943447494884</v>
      </c>
      <c r="BI12" s="74">
        <v>-0.39376906834497305</v>
      </c>
      <c r="BJ12" s="74">
        <v>-2.0123122546761185E-2</v>
      </c>
      <c r="BK12" s="74"/>
      <c r="BL12" s="109">
        <v>3</v>
      </c>
      <c r="BM12" s="74">
        <v>0.66270973551153955</v>
      </c>
      <c r="BN12" s="74">
        <v>-1.6901591739087212</v>
      </c>
      <c r="BO12" s="74">
        <v>-2.3528689094202608</v>
      </c>
      <c r="BP12" s="74">
        <v>-1.7082592155523391</v>
      </c>
      <c r="BQ12" s="74"/>
      <c r="BR12" s="74">
        <v>3</v>
      </c>
      <c r="BS12" s="74">
        <v>1.0646769282903619</v>
      </c>
      <c r="BT12" s="74">
        <v>0.72173217716353155</v>
      </c>
      <c r="BU12" s="74">
        <v>-0.34294475112683032</v>
      </c>
      <c r="BV12" s="74">
        <v>-0.17208569885856484</v>
      </c>
      <c r="BW12" s="75"/>
    </row>
    <row r="13" spans="1:75" s="85" customFormat="1" x14ac:dyDescent="0.2">
      <c r="A13" s="85" t="s">
        <v>682</v>
      </c>
      <c r="B13" s="85">
        <v>39</v>
      </c>
      <c r="C13" s="85">
        <v>9</v>
      </c>
      <c r="D13" s="85">
        <v>9109</v>
      </c>
      <c r="E13" s="111">
        <v>43400</v>
      </c>
      <c r="F13" s="85" t="s">
        <v>683</v>
      </c>
      <c r="G13" s="85">
        <v>1</v>
      </c>
      <c r="H13" s="85">
        <v>3</v>
      </c>
      <c r="I13" s="85">
        <v>5</v>
      </c>
      <c r="J13" s="87">
        <v>9.6816321312796789E-3</v>
      </c>
      <c r="K13" s="87">
        <v>3.2116877525535339E-2</v>
      </c>
      <c r="L13" s="87">
        <v>4.9463495179450645E-2</v>
      </c>
      <c r="M13" s="87">
        <v>0.90873799516373432</v>
      </c>
      <c r="N13" s="87">
        <v>1.0445648651967281E-2</v>
      </c>
      <c r="O13" s="87">
        <v>0.24964701893992566</v>
      </c>
      <c r="P13" s="87">
        <v>4.1561908782162767E-2</v>
      </c>
      <c r="Q13" s="87">
        <v>2.3251730695797172E-3</v>
      </c>
      <c r="R13" s="88">
        <v>1.2287784047883391E-2</v>
      </c>
      <c r="S13" s="87">
        <v>0.39368387837203928</v>
      </c>
      <c r="T13" s="87">
        <v>0.60631612162796067</v>
      </c>
      <c r="U13" s="87">
        <v>0.50266420083130392</v>
      </c>
      <c r="V13" s="87">
        <v>0.29240257919820578</v>
      </c>
      <c r="W13" s="87">
        <v>-2.6538643396170632E-2</v>
      </c>
      <c r="X13" s="87">
        <v>-6.4892136448549756E-2</v>
      </c>
      <c r="Y13" s="89">
        <v>-4.9792984554574073E-2</v>
      </c>
      <c r="Z13" s="90">
        <v>27452</v>
      </c>
      <c r="AA13" s="90">
        <v>208600</v>
      </c>
      <c r="AB13" s="87">
        <v>0.24964701893992566</v>
      </c>
      <c r="AC13" s="87">
        <v>4.1561908782162767E-2</v>
      </c>
      <c r="AD13" s="87">
        <v>0.12348166198054389</v>
      </c>
      <c r="AE13" s="100">
        <v>0</v>
      </c>
      <c r="AF13" s="93">
        <v>0.23471396443701709</v>
      </c>
      <c r="AG13" s="93">
        <v>0.60728136903812291</v>
      </c>
      <c r="AH13" s="93">
        <f t="shared" si="0"/>
        <v>0.59499358499023947</v>
      </c>
      <c r="AI13" s="93">
        <f t="shared" si="9"/>
        <v>0.35763435009819722</v>
      </c>
      <c r="AJ13" s="93">
        <f t="shared" si="10"/>
        <v>0.56571946025596009</v>
      </c>
      <c r="AK13" s="115">
        <f t="shared" si="11"/>
        <v>0.65707435359269695</v>
      </c>
      <c r="AL13" s="94">
        <f t="shared" si="12"/>
        <v>0.63382001243429353</v>
      </c>
      <c r="AM13" s="94">
        <f t="shared" si="13"/>
        <v>0.67217350548667265</v>
      </c>
      <c r="AN13" s="94">
        <f t="shared" si="1"/>
        <v>0.48379970705757902</v>
      </c>
      <c r="AO13" s="93">
        <v>0.37256740460110582</v>
      </c>
      <c r="AP13" s="93">
        <f t="shared" si="14"/>
        <v>0.36027962055322238</v>
      </c>
      <c r="AQ13" s="94">
        <f t="shared" si="2"/>
        <v>0.42236038915567986</v>
      </c>
      <c r="AR13" s="94">
        <f t="shared" si="3"/>
        <v>0.24908574262056193</v>
      </c>
      <c r="AS13" s="93">
        <v>0.60056993445013562</v>
      </c>
      <c r="AT13" s="93">
        <f t="shared" si="4"/>
        <v>0.58828215040225218</v>
      </c>
      <c r="AU13" s="94">
        <f t="shared" si="5"/>
        <v>0.65036291900470966</v>
      </c>
      <c r="AV13" s="94">
        <f t="shared" si="6"/>
        <v>0.47708827246959173</v>
      </c>
      <c r="AW13" s="93">
        <v>1.0111751091804688</v>
      </c>
      <c r="AX13" s="94">
        <f t="shared" si="7"/>
        <v>1.0103195222111652</v>
      </c>
      <c r="AY13" s="94">
        <f t="shared" si="8"/>
        <v>1.014067490180059</v>
      </c>
      <c r="AZ13" s="105">
        <v>0</v>
      </c>
      <c r="BA13" s="93">
        <v>0.31208130801691136</v>
      </c>
      <c r="BB13" s="93">
        <v>0.62040506935603557</v>
      </c>
      <c r="BC13" s="93">
        <v>0.3083237613391242</v>
      </c>
      <c r="BD13" s="93">
        <v>0.3083237613391242</v>
      </c>
      <c r="BE13" s="93">
        <v>0.62442921965576104</v>
      </c>
      <c r="BF13" s="108">
        <v>0</v>
      </c>
      <c r="BG13" s="93">
        <v>6.1550715726844896E-2</v>
      </c>
      <c r="BH13" s="93">
        <v>0.73988281050164961</v>
      </c>
      <c r="BI13" s="93">
        <v>0.67833209477480472</v>
      </c>
      <c r="BJ13" s="93">
        <v>0.67833209477480472</v>
      </c>
      <c r="BK13" s="93">
        <v>0.82737152500001698</v>
      </c>
      <c r="BL13" s="108">
        <v>0</v>
      </c>
      <c r="BM13" s="93">
        <v>0.25921813674531108</v>
      </c>
      <c r="BN13" s="93">
        <v>0.67670743782027709</v>
      </c>
      <c r="BO13" s="93">
        <v>0.41748930107496607</v>
      </c>
      <c r="BP13" s="93">
        <v>0.41748930107496607</v>
      </c>
      <c r="BQ13" s="93">
        <v>0.58206104828260896</v>
      </c>
      <c r="BR13" s="93">
        <v>3</v>
      </c>
      <c r="BS13" s="93">
        <v>-7.7092761185101707E-2</v>
      </c>
      <c r="BT13" s="93">
        <v>-0.26633476082363011</v>
      </c>
      <c r="BU13" s="93">
        <v>-0.18924199963852842</v>
      </c>
      <c r="BV13" s="93">
        <v>-0.18924199963852842</v>
      </c>
      <c r="BW13" s="93">
        <v>-0.20851518993480384</v>
      </c>
    </row>
    <row r="14" spans="1:75" s="85" customFormat="1" x14ac:dyDescent="0.2">
      <c r="A14" s="85" t="s">
        <v>682</v>
      </c>
      <c r="B14" s="85">
        <v>39</v>
      </c>
      <c r="C14" s="85">
        <v>9</v>
      </c>
      <c r="D14" s="85">
        <v>9109</v>
      </c>
      <c r="E14" s="111">
        <v>43400</v>
      </c>
      <c r="F14" s="85" t="s">
        <v>683</v>
      </c>
      <c r="G14" s="85">
        <v>1</v>
      </c>
      <c r="H14" s="85">
        <v>3</v>
      </c>
      <c r="I14" s="85">
        <v>12</v>
      </c>
      <c r="J14" s="87">
        <v>1.3379264370450566E-2</v>
      </c>
      <c r="K14" s="87">
        <v>4.6941022183380837E-2</v>
      </c>
      <c r="L14" s="87">
        <v>8.253922615612494E-2</v>
      </c>
      <c r="M14" s="87">
        <v>0.85714048729004366</v>
      </c>
      <c r="N14" s="87">
        <v>3.8577538413501838E-2</v>
      </c>
      <c r="O14" s="87">
        <v>0.22948761074413995</v>
      </c>
      <c r="P14" s="87">
        <v>1.6046056337456285E-2</v>
      </c>
      <c r="Q14" s="87">
        <v>-4.6479904858142008E-3</v>
      </c>
      <c r="R14" s="88">
        <v>8.6289703549681483E-3</v>
      </c>
      <c r="S14" s="87">
        <v>0.3625342303970438</v>
      </c>
      <c r="T14" s="87">
        <v>0.63746576960295609</v>
      </c>
      <c r="U14" s="87">
        <v>0.52653213020415357</v>
      </c>
      <c r="V14" s="87">
        <v>0.29606365159128978</v>
      </c>
      <c r="W14" s="87">
        <v>3.422590459277871E-2</v>
      </c>
      <c r="X14" s="87">
        <v>8.8012947846423134E-2</v>
      </c>
      <c r="Y14" s="89">
        <v>6.851330351513063E-2</v>
      </c>
      <c r="Z14" s="90">
        <v>26900</v>
      </c>
      <c r="AA14" s="90">
        <v>212100</v>
      </c>
      <c r="AB14" s="87">
        <v>0.22948761074413995</v>
      </c>
      <c r="AC14" s="87">
        <v>1.6046056337456285E-2</v>
      </c>
      <c r="AD14" s="87">
        <v>9.34259259990321E-2</v>
      </c>
      <c r="AE14" s="100">
        <v>0</v>
      </c>
      <c r="AF14" s="93">
        <v>0.3378445820052372</v>
      </c>
      <c r="AG14" s="93">
        <v>1.0114653402148273</v>
      </c>
      <c r="AH14" s="93">
        <f t="shared" si="0"/>
        <v>1.002836369859859</v>
      </c>
      <c r="AI14" s="93">
        <f t="shared" si="9"/>
        <v>0.78197772947068733</v>
      </c>
      <c r="AJ14" s="93">
        <f t="shared" si="10"/>
        <v>0.995419283877371</v>
      </c>
      <c r="AK14" s="115">
        <f t="shared" si="11"/>
        <v>0.94295203669969663</v>
      </c>
      <c r="AL14" s="94">
        <f t="shared" si="12"/>
        <v>0.97723943562204851</v>
      </c>
      <c r="AM14" s="94">
        <f t="shared" si="13"/>
        <v>0.92345239236840415</v>
      </c>
      <c r="AN14" s="94">
        <f t="shared" si="1"/>
        <v>0.91803941421579516</v>
      </c>
      <c r="AO14" s="93">
        <v>0.67362075820959</v>
      </c>
      <c r="AP14" s="93">
        <f t="shared" si="14"/>
        <v>0.66499178785462187</v>
      </c>
      <c r="AQ14" s="94">
        <f t="shared" si="2"/>
        <v>0.60510745469445948</v>
      </c>
      <c r="AR14" s="94">
        <f t="shared" si="3"/>
        <v>0.5801948322105579</v>
      </c>
      <c r="AS14" s="93">
        <v>0.85637525214563315</v>
      </c>
      <c r="AT14" s="93">
        <f t="shared" si="4"/>
        <v>0.84774628179066502</v>
      </c>
      <c r="AU14" s="94">
        <f t="shared" si="5"/>
        <v>0.78786194863050252</v>
      </c>
      <c r="AV14" s="94">
        <f t="shared" si="6"/>
        <v>0.76294932614660105</v>
      </c>
      <c r="AW14" s="93">
        <v>1.1811006187773627</v>
      </c>
      <c r="AX14" s="94">
        <f t="shared" si="7"/>
        <v>1.1968493190193774</v>
      </c>
      <c r="AY14" s="94">
        <f t="shared" si="8"/>
        <v>1.2032770496731438</v>
      </c>
      <c r="AZ14" s="105">
        <v>0</v>
      </c>
      <c r="BA14" s="93">
        <v>0.2303361410370719</v>
      </c>
      <c r="BB14" s="93">
        <v>0.69637907310500435</v>
      </c>
      <c r="BC14" s="93">
        <v>0.46604293206793251</v>
      </c>
      <c r="BD14" s="93">
        <v>0.46604293206793251</v>
      </c>
      <c r="BE14" s="93">
        <v>0.58591661195475564</v>
      </c>
      <c r="BF14" s="108">
        <v>0</v>
      </c>
      <c r="BG14" s="93">
        <v>0.37091006541408927</v>
      </c>
      <c r="BH14" s="93">
        <v>0.90634203910056832</v>
      </c>
      <c r="BI14" s="93">
        <v>0.5354319736864791</v>
      </c>
      <c r="BJ14" s="93">
        <v>0.5354319736864791</v>
      </c>
      <c r="BK14" s="93">
        <v>0.87801965845961805</v>
      </c>
      <c r="BL14" s="108">
        <v>0</v>
      </c>
      <c r="BM14" s="93">
        <v>0.17694129273114034</v>
      </c>
      <c r="BN14" s="93">
        <v>0.40578286515998779</v>
      </c>
      <c r="BO14" s="93">
        <v>0.22884157242884745</v>
      </c>
      <c r="BP14" s="93">
        <v>0.22884157242884745</v>
      </c>
      <c r="BQ14" s="93">
        <v>0.19525987325482497</v>
      </c>
      <c r="BR14" s="93">
        <v>3</v>
      </c>
      <c r="BS14" s="93">
        <v>-0.25887468592127644</v>
      </c>
      <c r="BT14" s="93">
        <v>-0.13824669813266172</v>
      </c>
      <c r="BU14" s="93">
        <v>0.12062798778861472</v>
      </c>
      <c r="BV14" s="93">
        <v>0.12062798778861472</v>
      </c>
      <c r="BW14" s="93">
        <v>-0.1729322561205518</v>
      </c>
    </row>
    <row r="15" spans="1:75" s="85" customFormat="1" x14ac:dyDescent="0.2">
      <c r="A15" s="85" t="s">
        <v>682</v>
      </c>
      <c r="B15" s="85">
        <v>39</v>
      </c>
      <c r="C15" s="85">
        <v>9</v>
      </c>
      <c r="D15" s="85">
        <v>9109</v>
      </c>
      <c r="E15" s="111">
        <v>43400</v>
      </c>
      <c r="F15" s="85" t="s">
        <v>683</v>
      </c>
      <c r="G15" s="85">
        <v>1</v>
      </c>
      <c r="H15" s="85">
        <v>3</v>
      </c>
      <c r="I15" s="85">
        <v>20</v>
      </c>
      <c r="J15" s="87">
        <v>5.4183640583308088E-2</v>
      </c>
      <c r="K15" s="87">
        <v>7.0354863113013894E-2</v>
      </c>
      <c r="L15" s="87">
        <v>0.10392341436052972</v>
      </c>
      <c r="M15" s="87">
        <v>0.77153808194314832</v>
      </c>
      <c r="N15" s="87">
        <v>1.9388425276841235E-2</v>
      </c>
      <c r="O15" s="87">
        <v>0.17540382747205222</v>
      </c>
      <c r="P15" s="87">
        <v>8.615899744689394E-2</v>
      </c>
      <c r="Q15" s="87">
        <v>1.5650505257519139E-3</v>
      </c>
      <c r="R15" s="88">
        <v>2.3552481011315757E-2</v>
      </c>
      <c r="S15" s="87">
        <v>0.4036926697516513</v>
      </c>
      <c r="T15" s="87">
        <v>0.59630733024834859</v>
      </c>
      <c r="U15" s="87">
        <v>0.67109025791943144</v>
      </c>
      <c r="V15" s="87">
        <v>0.32287516600265603</v>
      </c>
      <c r="W15" s="87">
        <v>2.1131110709325957E-2</v>
      </c>
      <c r="X15" s="87">
        <v>0.15111731227028793</v>
      </c>
      <c r="Y15" s="89">
        <v>9.8642835531266918E-2</v>
      </c>
      <c r="Z15" s="90">
        <v>24172</v>
      </c>
      <c r="AA15" s="90">
        <v>194500</v>
      </c>
      <c r="AB15" s="87">
        <v>0.17540382747205222</v>
      </c>
      <c r="AC15" s="87">
        <v>8.615899744689394E-2</v>
      </c>
      <c r="AD15" s="87">
        <v>0.12218648114128242</v>
      </c>
      <c r="AE15" s="100">
        <v>0</v>
      </c>
      <c r="AF15" s="93">
        <v>0.1656048046124087</v>
      </c>
      <c r="AG15" s="93">
        <v>0.22905102635137098</v>
      </c>
      <c r="AH15" s="93">
        <f t="shared" si="0"/>
        <v>0.20549854534005521</v>
      </c>
      <c r="AI15" s="93">
        <f t="shared" si="9"/>
        <v>5.3647198879318764E-2</v>
      </c>
      <c r="AJ15" s="93">
        <f t="shared" si="10"/>
        <v>0.14289202890447705</v>
      </c>
      <c r="AK15" s="115">
        <f t="shared" si="11"/>
        <v>0.13040819082010408</v>
      </c>
      <c r="AL15" s="94">
        <f t="shared" si="12"/>
        <v>0.20791991564204501</v>
      </c>
      <c r="AM15" s="94">
        <f t="shared" si="13"/>
        <v>7.7933714081083044E-2</v>
      </c>
      <c r="AN15" s="94">
        <f t="shared" si="1"/>
        <v>0.10686454521008856</v>
      </c>
      <c r="AO15" s="93">
        <v>6.3446221738962263E-2</v>
      </c>
      <c r="AP15" s="93">
        <f t="shared" si="14"/>
        <v>3.9893740727646509E-2</v>
      </c>
      <c r="AQ15" s="94">
        <f t="shared" si="2"/>
        <v>-3.5196613792304626E-2</v>
      </c>
      <c r="AR15" s="94">
        <f t="shared" si="3"/>
        <v>-5.8740259402320139E-2</v>
      </c>
      <c r="AS15" s="93">
        <v>0.63996573922709998</v>
      </c>
      <c r="AT15" s="93">
        <f t="shared" si="4"/>
        <v>0.61641325821578419</v>
      </c>
      <c r="AU15" s="94">
        <f t="shared" si="5"/>
        <v>0.54132290369583302</v>
      </c>
      <c r="AV15" s="94">
        <f t="shared" si="6"/>
        <v>0.5177792580858176</v>
      </c>
      <c r="AW15" s="93">
        <v>0.35791138855026944</v>
      </c>
      <c r="AX15" s="94">
        <f t="shared" si="7"/>
        <v>0.24090647177452493</v>
      </c>
      <c r="AY15" s="94">
        <f t="shared" si="8"/>
        <v>0.20639016248962344</v>
      </c>
      <c r="AZ15" s="105">
        <v>0</v>
      </c>
      <c r="BA15" s="93">
        <v>0.49446460781637214</v>
      </c>
      <c r="BB15" s="93">
        <v>0.83538701531194914</v>
      </c>
      <c r="BC15" s="93">
        <v>0.34092240749557701</v>
      </c>
      <c r="BD15" s="93">
        <v>0.34092240749557701</v>
      </c>
      <c r="BE15" s="93">
        <v>0.73359158344659825</v>
      </c>
      <c r="BF15" s="108">
        <v>0</v>
      </c>
      <c r="BG15" s="93">
        <v>0.43471078330201046</v>
      </c>
      <c r="BH15" s="93">
        <v>0.64087668288467414</v>
      </c>
      <c r="BI15" s="93">
        <v>0.20616589958266371</v>
      </c>
      <c r="BJ15" s="93">
        <v>0.20616589958266371</v>
      </c>
      <c r="BK15" s="93">
        <v>0.71974923448869177</v>
      </c>
      <c r="BL15" s="108">
        <v>0</v>
      </c>
      <c r="BM15" s="93">
        <v>0.33436020178582515</v>
      </c>
      <c r="BN15" s="93">
        <v>0.58828253348768134</v>
      </c>
      <c r="BO15" s="93">
        <v>0.25392233170185613</v>
      </c>
      <c r="BP15" s="93">
        <v>0.25392233170185613</v>
      </c>
      <c r="BQ15" s="93">
        <v>0.51648589137711653</v>
      </c>
      <c r="BR15" s="93">
        <v>0</v>
      </c>
      <c r="BS15" s="93">
        <v>1.1584322595136418</v>
      </c>
      <c r="BT15" s="93">
        <v>1.2747712515977916</v>
      </c>
      <c r="BU15" s="93">
        <v>0.11633899208414977</v>
      </c>
      <c r="BV15" s="93">
        <v>0.11633899208414977</v>
      </c>
      <c r="BW15" s="93">
        <v>1.138759493914937</v>
      </c>
    </row>
    <row r="16" spans="1:75" s="85" customFormat="1" x14ac:dyDescent="0.2">
      <c r="A16" s="85" t="s">
        <v>682</v>
      </c>
      <c r="B16" s="85">
        <v>39</v>
      </c>
      <c r="C16" s="85">
        <v>9</v>
      </c>
      <c r="D16" s="85">
        <v>9109</v>
      </c>
      <c r="E16" s="111">
        <v>43400</v>
      </c>
      <c r="F16" s="85" t="s">
        <v>683</v>
      </c>
      <c r="G16" s="85">
        <v>1</v>
      </c>
      <c r="H16" s="85">
        <v>3</v>
      </c>
      <c r="I16" s="85">
        <v>30</v>
      </c>
      <c r="J16" s="87">
        <v>0.1045953116097325</v>
      </c>
      <c r="K16" s="87">
        <v>5.5283157275296063E-2</v>
      </c>
      <c r="L16" s="87">
        <v>0.10576882535458335</v>
      </c>
      <c r="M16" s="87">
        <v>0.73435270576038814</v>
      </c>
      <c r="N16" s="87">
        <v>-0.11261353011767246</v>
      </c>
      <c r="O16" s="87">
        <v>9.8749418176962978E-2</v>
      </c>
      <c r="P16" s="87">
        <v>0.16765792505138402</v>
      </c>
      <c r="Q16" s="87">
        <v>1.4400429727902449E-3</v>
      </c>
      <c r="R16" s="88">
        <v>1.2470813589342489E-2</v>
      </c>
      <c r="S16" s="87">
        <v>0.34326281721315222</v>
      </c>
      <c r="T16" s="87">
        <v>0.65673718278684778</v>
      </c>
      <c r="U16" s="87">
        <v>1.0671041685922913</v>
      </c>
      <c r="V16" s="87">
        <v>0.54870220485626575</v>
      </c>
      <c r="W16" s="87">
        <v>-0.12619335156395495</v>
      </c>
      <c r="X16" s="87">
        <v>-3.4817777346817812E-2</v>
      </c>
      <c r="Y16" s="89">
        <v>-6.6183614377061786E-2</v>
      </c>
      <c r="Z16" s="90">
        <v>34635</v>
      </c>
      <c r="AA16" s="90">
        <v>196600</v>
      </c>
      <c r="AB16" s="87">
        <v>9.8749418176962978E-2</v>
      </c>
      <c r="AC16" s="87">
        <v>0.16765792505138402</v>
      </c>
      <c r="AD16" s="87">
        <v>0.14400419685171839</v>
      </c>
      <c r="AE16" s="100">
        <v>0</v>
      </c>
      <c r="AF16" s="93">
        <v>2.0766949047295331E-2</v>
      </c>
      <c r="AG16" s="93">
        <v>0.50173960966360487</v>
      </c>
      <c r="AH16" s="93">
        <f t="shared" si="0"/>
        <v>0.48926879607426238</v>
      </c>
      <c r="AI16" s="93">
        <f t="shared" si="9"/>
        <v>0.40299019148664189</v>
      </c>
      <c r="AJ16" s="93">
        <f t="shared" si="10"/>
        <v>0.33408168461222087</v>
      </c>
      <c r="AK16" s="115">
        <f t="shared" si="11"/>
        <v>0.56792322404066664</v>
      </c>
      <c r="AL16" s="94">
        <f t="shared" si="12"/>
        <v>0.62793296122755982</v>
      </c>
      <c r="AM16" s="94">
        <f t="shared" si="13"/>
        <v>0.53655738701042266</v>
      </c>
      <c r="AN16" s="94">
        <f t="shared" si="1"/>
        <v>0.35773541281188648</v>
      </c>
      <c r="AO16" s="93">
        <v>0.48097266061630956</v>
      </c>
      <c r="AP16" s="93">
        <f t="shared" si="14"/>
        <v>0.46850184702696707</v>
      </c>
      <c r="AQ16" s="94">
        <f t="shared" si="2"/>
        <v>0.54715627499337127</v>
      </c>
      <c r="AR16" s="94">
        <f t="shared" si="3"/>
        <v>0.33696846376459116</v>
      </c>
      <c r="AS16" s="93">
        <v>0.59152491353595971</v>
      </c>
      <c r="AT16" s="93">
        <f t="shared" si="4"/>
        <v>0.57905409994661716</v>
      </c>
      <c r="AU16" s="94">
        <f t="shared" si="5"/>
        <v>0.65770852791302148</v>
      </c>
      <c r="AV16" s="94">
        <f t="shared" si="6"/>
        <v>0.44752071668424132</v>
      </c>
      <c r="AW16" s="93">
        <v>0.84821382528819445</v>
      </c>
      <c r="AX16" s="94">
        <f t="shared" si="7"/>
        <v>0.86348770000405339</v>
      </c>
      <c r="AY16" s="94">
        <f t="shared" si="8"/>
        <v>0.79937173738550082</v>
      </c>
      <c r="AZ16" s="105">
        <v>0</v>
      </c>
      <c r="BA16" s="93">
        <v>0.29897847068494265</v>
      </c>
      <c r="BB16" s="93">
        <v>0.50340273382745959</v>
      </c>
      <c r="BC16" s="93">
        <v>0.20442426314251697</v>
      </c>
      <c r="BD16" s="93">
        <v>0.20442426314251697</v>
      </c>
      <c r="BE16" s="93">
        <v>0.45470809048541128</v>
      </c>
      <c r="BF16" s="108">
        <v>0</v>
      </c>
      <c r="BG16" s="93">
        <v>0.26894355460446012</v>
      </c>
      <c r="BH16" s="93">
        <v>0.22785135357623026</v>
      </c>
      <c r="BI16" s="93">
        <v>-4.1092201028229844E-2</v>
      </c>
      <c r="BJ16" s="93">
        <v>-4.1092201028229844E-2</v>
      </c>
      <c r="BK16" s="93">
        <v>0.51616345843251632</v>
      </c>
      <c r="BL16" s="108">
        <v>3</v>
      </c>
      <c r="BM16" s="93">
        <v>0.16885697550578307</v>
      </c>
      <c r="BN16" s="93">
        <v>-0.19809649721531045</v>
      </c>
      <c r="BO16" s="93">
        <v>-0.36695347272109352</v>
      </c>
      <c r="BP16" s="93">
        <v>-0.36695347272109352</v>
      </c>
      <c r="BQ16" s="93">
        <v>-0.18736019776805449</v>
      </c>
      <c r="BR16" s="93">
        <v>0</v>
      </c>
      <c r="BS16" s="93">
        <v>0.20887174672716916</v>
      </c>
      <c r="BT16" s="93">
        <v>0.1968955556804535</v>
      </c>
      <c r="BU16" s="93">
        <v>-1.1976191046715649E-2</v>
      </c>
      <c r="BV16" s="93">
        <v>-1.1976191046715649E-2</v>
      </c>
      <c r="BW16" s="93">
        <v>0.22657132382657003</v>
      </c>
    </row>
    <row r="17" spans="1:75" s="85" customFormat="1" x14ac:dyDescent="0.2">
      <c r="A17" s="85" t="s">
        <v>682</v>
      </c>
      <c r="B17" s="85">
        <v>39</v>
      </c>
      <c r="C17" s="85">
        <v>9</v>
      </c>
      <c r="D17" s="85">
        <v>9109</v>
      </c>
      <c r="E17" s="111">
        <v>43400</v>
      </c>
      <c r="F17" s="85" t="s">
        <v>683</v>
      </c>
      <c r="G17" s="85">
        <v>1</v>
      </c>
      <c r="H17" s="85">
        <v>3</v>
      </c>
      <c r="I17" s="85">
        <v>40</v>
      </c>
      <c r="J17" s="87">
        <v>0.15937339312432286</v>
      </c>
      <c r="K17" s="87">
        <v>6.8363459401519819E-2</v>
      </c>
      <c r="L17" s="87">
        <v>0.12547896144621523</v>
      </c>
      <c r="M17" s="87">
        <v>0.64678418602794208</v>
      </c>
      <c r="N17" s="87">
        <v>-9.7848689132396277E-2</v>
      </c>
      <c r="O17" s="87">
        <v>3.6391573926632996E-2</v>
      </c>
      <c r="P17" s="87">
        <v>-2.7929689549962291E-3</v>
      </c>
      <c r="Q17" s="87">
        <v>-2.119005362236117E-2</v>
      </c>
      <c r="R17" s="88">
        <v>-2.7162474140958029E-2</v>
      </c>
      <c r="S17" s="87">
        <v>0.35267543142798408</v>
      </c>
      <c r="T17" s="87">
        <v>0.64732456857201592</v>
      </c>
      <c r="U17" s="87">
        <v>1.3716532972184603</v>
      </c>
      <c r="V17" s="87">
        <v>0.66658421963888204</v>
      </c>
      <c r="W17" s="87">
        <v>-0.13188427735409103</v>
      </c>
      <c r="X17" s="87">
        <v>-8.8707311923412524E-2</v>
      </c>
      <c r="Y17" s="89">
        <v>-0.10393476683442822</v>
      </c>
      <c r="Z17" s="90">
        <v>52666</v>
      </c>
      <c r="AA17" s="90">
        <v>269500</v>
      </c>
      <c r="AB17" s="87">
        <v>3.6391573926632996E-2</v>
      </c>
      <c r="AC17" s="87">
        <v>-2.7929689549962291E-3</v>
      </c>
      <c r="AD17" s="87">
        <v>1.1026456611090701E-2</v>
      </c>
      <c r="AE17" s="100">
        <v>0</v>
      </c>
      <c r="AF17" s="93">
        <v>0.41450995416295555</v>
      </c>
      <c r="AG17" s="93">
        <v>0.41830502513150686</v>
      </c>
      <c r="AH17" s="93">
        <f t="shared" si="0"/>
        <v>0.44546749927246487</v>
      </c>
      <c r="AI17" s="93">
        <f t="shared" si="9"/>
        <v>0.38191345120487386</v>
      </c>
      <c r="AJ17" s="93">
        <f t="shared" si="10"/>
        <v>0.42109799408650311</v>
      </c>
      <c r="AK17" s="115">
        <f t="shared" si="11"/>
        <v>0.52223979196593506</v>
      </c>
      <c r="AL17" s="94">
        <f t="shared" si="12"/>
        <v>0.55018930248559794</v>
      </c>
      <c r="AM17" s="94">
        <f t="shared" si="13"/>
        <v>0.50701233705491933</v>
      </c>
      <c r="AN17" s="94">
        <f t="shared" si="1"/>
        <v>0.40727856852041616</v>
      </c>
      <c r="AO17" s="93">
        <v>3.7950709685513132E-3</v>
      </c>
      <c r="AP17" s="93">
        <f t="shared" si="14"/>
        <v>3.0957545109509321E-2</v>
      </c>
      <c r="AQ17" s="94">
        <f t="shared" si="2"/>
        <v>0.10772983780297951</v>
      </c>
      <c r="AR17" s="94">
        <f t="shared" si="3"/>
        <v>-7.2313856425393896E-3</v>
      </c>
      <c r="AS17" s="93">
        <v>0.27607792553943056</v>
      </c>
      <c r="AT17" s="93">
        <f t="shared" si="4"/>
        <v>0.30324039968038857</v>
      </c>
      <c r="AU17" s="94">
        <f t="shared" si="5"/>
        <v>0.38001269237385876</v>
      </c>
      <c r="AV17" s="94">
        <f t="shared" si="6"/>
        <v>0.26505146892833986</v>
      </c>
      <c r="AW17" s="93">
        <v>1.5151701256599122</v>
      </c>
      <c r="AX17" s="94">
        <f t="shared" si="7"/>
        <v>1.3742693400676007</v>
      </c>
      <c r="AY17" s="94">
        <f t="shared" si="8"/>
        <v>1.5366018161194543</v>
      </c>
      <c r="AZ17" s="105">
        <v>0</v>
      </c>
      <c r="BA17" s="93">
        <v>6.3064986110349386E-2</v>
      </c>
      <c r="BB17" s="93">
        <v>0.37082752211715592</v>
      </c>
      <c r="BC17" s="93">
        <v>0.30776253600680653</v>
      </c>
      <c r="BD17" s="93">
        <v>0.30776253600680653</v>
      </c>
      <c r="BE17" s="93">
        <v>0.33087624933705734</v>
      </c>
      <c r="BF17" s="108">
        <v>0</v>
      </c>
      <c r="BG17" s="93">
        <v>0.30167118332201942</v>
      </c>
      <c r="BH17" s="93">
        <v>0.43267298405154547</v>
      </c>
      <c r="BI17" s="93">
        <v>0.13100180072952605</v>
      </c>
      <c r="BJ17" s="93">
        <v>0.13100180072952605</v>
      </c>
      <c r="BK17" s="93">
        <v>0.54730501953030086</v>
      </c>
      <c r="BL17" s="108">
        <v>0</v>
      </c>
      <c r="BM17" s="93">
        <v>0.33128181239799964</v>
      </c>
      <c r="BN17" s="93">
        <v>0.37384142681679555</v>
      </c>
      <c r="BO17" s="93">
        <v>4.2559614418795903E-2</v>
      </c>
      <c r="BP17" s="93">
        <v>4.2559614418795903E-2</v>
      </c>
      <c r="BQ17" s="93">
        <v>0.35624566492641596</v>
      </c>
      <c r="BR17" s="93">
        <v>0</v>
      </c>
      <c r="BS17" s="93">
        <v>0.93787157430284573</v>
      </c>
      <c r="BT17" s="93">
        <v>0.92913789433409122</v>
      </c>
      <c r="BU17" s="93">
        <v>-8.7336799687545534E-3</v>
      </c>
      <c r="BV17" s="93">
        <v>-8.7336799687545534E-3</v>
      </c>
      <c r="BW17" s="93">
        <v>0.76765042444297849</v>
      </c>
    </row>
    <row r="18" spans="1:75" s="85" customFormat="1" x14ac:dyDescent="0.2">
      <c r="A18" s="85" t="s">
        <v>682</v>
      </c>
      <c r="B18" s="85">
        <v>39</v>
      </c>
      <c r="C18" s="85">
        <v>9</v>
      </c>
      <c r="D18" s="85">
        <v>9109</v>
      </c>
      <c r="E18" s="111">
        <v>43400</v>
      </c>
      <c r="F18" s="85" t="s">
        <v>683</v>
      </c>
      <c r="G18" s="85">
        <v>1</v>
      </c>
      <c r="H18" s="85">
        <v>3</v>
      </c>
      <c r="I18" s="85">
        <v>50</v>
      </c>
      <c r="J18" s="87">
        <v>7.2046047109915259E-2</v>
      </c>
      <c r="K18" s="87">
        <v>3.8919728150298663E-2</v>
      </c>
      <c r="L18" s="87">
        <v>9.2685205135343812E-2</v>
      </c>
      <c r="M18" s="87">
        <v>0.79634901960444215</v>
      </c>
      <c r="N18" s="87">
        <v>9.6888152288221018E-3</v>
      </c>
      <c r="O18" s="87">
        <v>5.0200111885703558E-2</v>
      </c>
      <c r="P18" s="87">
        <v>-5.3069881447119119E-2</v>
      </c>
      <c r="Q18" s="87">
        <v>-1.2420816641945252E-2</v>
      </c>
      <c r="R18" s="88">
        <v>-1.2158282457813111E-2</v>
      </c>
      <c r="S18" s="87">
        <v>0.29573152904401517</v>
      </c>
      <c r="T18" s="87">
        <v>0.70426847095598477</v>
      </c>
      <c r="U18" s="87">
        <v>1.363031863031863</v>
      </c>
      <c r="V18" s="87">
        <v>0.57796881247500997</v>
      </c>
      <c r="W18" s="87">
        <v>-2.8085668680494339E-2</v>
      </c>
      <c r="X18" s="87">
        <v>-6.2654735509546061E-2</v>
      </c>
      <c r="Y18" s="89">
        <v>-5.2431572518565853E-2</v>
      </c>
      <c r="Z18" s="90">
        <v>69899</v>
      </c>
      <c r="AA18" s="90">
        <v>289100</v>
      </c>
      <c r="AB18" s="87">
        <v>5.0200111885703558E-2</v>
      </c>
      <c r="AC18" s="87">
        <v>-5.3069881447119119E-2</v>
      </c>
      <c r="AD18" s="87">
        <v>-2.2529688414438219E-2</v>
      </c>
      <c r="AE18" s="100">
        <v>0</v>
      </c>
      <c r="AF18" s="93">
        <v>0.46389620377218321</v>
      </c>
      <c r="AG18" s="93">
        <v>0.33674102828693675</v>
      </c>
      <c r="AH18" s="93">
        <f t="shared" si="0"/>
        <v>0.34889931074474984</v>
      </c>
      <c r="AI18" s="93">
        <f t="shared" si="9"/>
        <v>0.28654091640123319</v>
      </c>
      <c r="AJ18" s="93">
        <f t="shared" si="10"/>
        <v>0.38981090973405585</v>
      </c>
      <c r="AK18" s="115">
        <f t="shared" si="11"/>
        <v>0.38917260080550259</v>
      </c>
      <c r="AL18" s="94">
        <f t="shared" si="12"/>
        <v>0.36482669696743109</v>
      </c>
      <c r="AM18" s="94">
        <f t="shared" si="13"/>
        <v>0.39939576379648278</v>
      </c>
      <c r="AN18" s="94">
        <f t="shared" si="1"/>
        <v>0.35927071670137495</v>
      </c>
      <c r="AO18" s="93">
        <v>-0.12715517548524649</v>
      </c>
      <c r="AP18" s="93">
        <f t="shared" si="14"/>
        <v>-0.11499689302743338</v>
      </c>
      <c r="AQ18" s="94">
        <f t="shared" si="2"/>
        <v>-7.4723602966680625E-2</v>
      </c>
      <c r="AR18" s="94">
        <f t="shared" si="3"/>
        <v>-0.10462548707080827</v>
      </c>
      <c r="AS18" s="93">
        <v>0.5964943252137076</v>
      </c>
      <c r="AT18" s="93">
        <f t="shared" si="4"/>
        <v>0.60865260767152074</v>
      </c>
      <c r="AU18" s="94">
        <f t="shared" si="5"/>
        <v>0.64892589773227349</v>
      </c>
      <c r="AV18" s="94">
        <f t="shared" si="6"/>
        <v>0.61902401362814585</v>
      </c>
      <c r="AW18" s="93">
        <v>0.56453349856478796</v>
      </c>
      <c r="AX18" s="94">
        <f t="shared" si="7"/>
        <v>0.59971809133446397</v>
      </c>
      <c r="AY18" s="94">
        <f t="shared" si="8"/>
        <v>0.58038251956602216</v>
      </c>
      <c r="AZ18" s="105">
        <v>0</v>
      </c>
      <c r="BA18" s="93">
        <v>0.42573770221705437</v>
      </c>
      <c r="BB18" s="93">
        <v>0.25130264408380809</v>
      </c>
      <c r="BC18" s="93">
        <v>-0.17443505813324631</v>
      </c>
      <c r="BD18" s="93">
        <v>-0.17443505813324631</v>
      </c>
      <c r="BE18" s="93">
        <v>0.25232305233561358</v>
      </c>
      <c r="BF18" s="108">
        <v>0</v>
      </c>
      <c r="BG18" s="93">
        <v>0.49026051477798349</v>
      </c>
      <c r="BH18" s="93">
        <v>0.49629310898277468</v>
      </c>
      <c r="BI18" s="93">
        <v>6.0325942047912079E-3</v>
      </c>
      <c r="BJ18" s="93">
        <v>6.0325942047912079E-3</v>
      </c>
      <c r="BK18" s="93">
        <v>0.54443388527293879</v>
      </c>
      <c r="BL18" s="108">
        <v>0</v>
      </c>
      <c r="BM18" s="93">
        <v>0.21039020068643591</v>
      </c>
      <c r="BN18" s="93">
        <v>0.49396549118556332</v>
      </c>
      <c r="BO18" s="93">
        <v>0.28357529049912744</v>
      </c>
      <c r="BP18" s="93">
        <v>0.28357529049912744</v>
      </c>
      <c r="BQ18" s="93">
        <v>0.54020488383559251</v>
      </c>
      <c r="BR18" s="93">
        <v>0</v>
      </c>
      <c r="BS18" s="93">
        <v>0.44862964882828393</v>
      </c>
      <c r="BT18" s="93">
        <v>0.17099791223000443</v>
      </c>
      <c r="BU18" s="93">
        <v>-0.2776317365982795</v>
      </c>
      <c r="BV18" s="93">
        <v>-0.2776317365982795</v>
      </c>
      <c r="BW18" s="93">
        <v>0.35331946902395905</v>
      </c>
    </row>
    <row r="19" spans="1:75" x14ac:dyDescent="0.2">
      <c r="A19" s="11" t="s">
        <v>682</v>
      </c>
      <c r="B19" s="11">
        <v>51</v>
      </c>
      <c r="C19" s="11">
        <v>12</v>
      </c>
      <c r="D19" s="11">
        <v>9112</v>
      </c>
      <c r="E19" s="112">
        <v>43401</v>
      </c>
      <c r="F19" s="11" t="s">
        <v>683</v>
      </c>
      <c r="G19" s="11">
        <v>1</v>
      </c>
      <c r="H19" s="11">
        <v>4</v>
      </c>
      <c r="I19" s="10">
        <v>5</v>
      </c>
      <c r="J19" s="8">
        <v>7.3530288691294517E-3</v>
      </c>
      <c r="K19" s="8">
        <v>3.6358971821089249E-2</v>
      </c>
      <c r="L19" s="8">
        <v>2.5011845742764778E-2</v>
      </c>
      <c r="M19" s="8">
        <v>0.93127615356701654</v>
      </c>
      <c r="N19" s="8">
        <v>4.4676025762971555E-2</v>
      </c>
      <c r="O19" s="8">
        <v>0.29576117754854031</v>
      </c>
      <c r="P19" s="8">
        <v>0.2175629682900132</v>
      </c>
      <c r="Q19" s="8">
        <v>1.1664710352465855E-2</v>
      </c>
      <c r="R19" s="21">
        <v>2.7386794419178247E-2</v>
      </c>
      <c r="S19" s="8">
        <v>0.59244724552119743</v>
      </c>
      <c r="T19" s="8">
        <v>0.40755275447880246</v>
      </c>
      <c r="U19" s="8">
        <v>0.41818476236741964</v>
      </c>
      <c r="V19" s="8">
        <v>0.29582448690728946</v>
      </c>
      <c r="W19" s="8">
        <v>0.11248996765773514</v>
      </c>
      <c r="X19" s="8">
        <v>-2.8670712044735806E-2</v>
      </c>
      <c r="Y19" s="15">
        <v>5.495954382089311E-2</v>
      </c>
      <c r="Z19" s="5">
        <v>20660</v>
      </c>
      <c r="AA19" s="5">
        <v>167200</v>
      </c>
      <c r="AB19" s="8">
        <v>0.29576117754854031</v>
      </c>
      <c r="AC19" s="8">
        <v>0.2175629682900132</v>
      </c>
      <c r="AD19" s="8">
        <v>0.26389128196991779</v>
      </c>
      <c r="AE19" s="12">
        <v>0</v>
      </c>
      <c r="AF19" s="74">
        <v>0.25750354049859281</v>
      </c>
      <c r="AG19" s="74">
        <v>0.34752969215631241</v>
      </c>
      <c r="AH19" s="74">
        <f t="shared" si="0"/>
        <v>0.32014289773713417</v>
      </c>
      <c r="AI19" s="74">
        <f t="shared" si="9"/>
        <v>5.1768514607772098E-2</v>
      </c>
      <c r="AJ19" s="74">
        <f t="shared" si="10"/>
        <v>0.12996672386629921</v>
      </c>
      <c r="AK19" s="116">
        <f t="shared" si="11"/>
        <v>0.29257014833541928</v>
      </c>
      <c r="AL19" s="83">
        <f t="shared" si="12"/>
        <v>0.23503972449857727</v>
      </c>
      <c r="AM19" s="83">
        <f t="shared" si="13"/>
        <v>0.37620040420104822</v>
      </c>
      <c r="AN19" s="83">
        <f t="shared" si="1"/>
        <v>8.3638410186394618E-2</v>
      </c>
      <c r="AO19" s="74">
        <v>9.0026151657719614E-2</v>
      </c>
      <c r="AP19" s="74">
        <f t="shared" si="14"/>
        <v>6.263935723854136E-2</v>
      </c>
      <c r="AQ19" s="83">
        <f t="shared" si="2"/>
        <v>3.5066607836826469E-2</v>
      </c>
      <c r="AR19" s="83">
        <f t="shared" si="3"/>
        <v>-0.17386513031219819</v>
      </c>
      <c r="AS19" s="74">
        <v>0.15053142094642497</v>
      </c>
      <c r="AT19" s="74">
        <f t="shared" si="4"/>
        <v>0.12314462652724673</v>
      </c>
      <c r="AU19" s="83">
        <f t="shared" si="5"/>
        <v>9.5571877125531862E-2</v>
      </c>
      <c r="AV19" s="83">
        <f t="shared" si="6"/>
        <v>-0.11335986102349283</v>
      </c>
      <c r="AW19" s="74">
        <v>2.3086853892118664</v>
      </c>
      <c r="AX19" s="83">
        <f t="shared" si="7"/>
        <v>3.0612577374736909</v>
      </c>
      <c r="AY19" s="83">
        <f t="shared" si="8"/>
        <v>-0.7378132738629708</v>
      </c>
      <c r="AZ19" s="102">
        <v>0</v>
      </c>
      <c r="BA19" s="74">
        <v>0.27576182509681707</v>
      </c>
      <c r="BB19" s="74">
        <v>0.43602263708859867</v>
      </c>
      <c r="BC19" s="74">
        <v>0.16026081199178158</v>
      </c>
      <c r="BD19" s="74">
        <v>0.39438331518324449</v>
      </c>
      <c r="BE19" s="74">
        <v>1.1055808405231522</v>
      </c>
      <c r="BF19" s="109">
        <v>0</v>
      </c>
      <c r="BG19" s="74">
        <v>0.32114079107678561</v>
      </c>
      <c r="BH19" s="74">
        <v>0.77154589350279856</v>
      </c>
      <c r="BI19" s="74">
        <v>0.45040510242601289</v>
      </c>
      <c r="BJ19" s="74">
        <v>0.75733671311980444</v>
      </c>
      <c r="BK19" s="74">
        <v>1.0187620382543721</v>
      </c>
      <c r="BL19" s="109">
        <v>0</v>
      </c>
      <c r="BM19" s="74">
        <v>0.39773552170565513</v>
      </c>
      <c r="BN19" s="74">
        <v>0.73647276495772007</v>
      </c>
      <c r="BO19" s="74">
        <v>0.338737243252065</v>
      </c>
      <c r="BP19" s="74">
        <v>0.68898266032193212</v>
      </c>
      <c r="BQ19" s="74">
        <v>1.0689278662159623</v>
      </c>
      <c r="BR19" s="74">
        <v>0</v>
      </c>
      <c r="BS19" s="74">
        <v>0.5473035332422781</v>
      </c>
      <c r="BT19" s="74">
        <v>0.62014085719454437</v>
      </c>
      <c r="BU19" s="74">
        <v>7.2837323952266303E-2</v>
      </c>
      <c r="BV19" s="74">
        <v>0.4245079557623504</v>
      </c>
      <c r="BW19" s="74">
        <v>1.4608462545321856</v>
      </c>
    </row>
    <row r="20" spans="1:75" x14ac:dyDescent="0.2">
      <c r="A20" s="11" t="s">
        <v>682</v>
      </c>
      <c r="B20" s="11">
        <v>51</v>
      </c>
      <c r="C20" s="11">
        <v>12</v>
      </c>
      <c r="D20" s="11">
        <v>9112</v>
      </c>
      <c r="E20" s="112">
        <v>43401</v>
      </c>
      <c r="F20" s="11" t="s">
        <v>683</v>
      </c>
      <c r="G20" s="11">
        <v>1</v>
      </c>
      <c r="H20" s="11">
        <v>4</v>
      </c>
      <c r="I20" s="10">
        <v>12</v>
      </c>
      <c r="J20" s="8">
        <v>1.1595644671599807E-2</v>
      </c>
      <c r="K20" s="8">
        <v>4.9855420980028653E-2</v>
      </c>
      <c r="L20" s="8">
        <v>4.5464487922706222E-2</v>
      </c>
      <c r="M20" s="8">
        <v>0.89308444642566531</v>
      </c>
      <c r="N20" s="8">
        <v>0.1226526024461192</v>
      </c>
      <c r="O20" s="8">
        <v>0.38695101550780475</v>
      </c>
      <c r="P20" s="8">
        <v>0.12455882798525462</v>
      </c>
      <c r="Q20" s="8">
        <v>2.7031614006923737E-3</v>
      </c>
      <c r="R20" s="21">
        <v>2.8790996506542016E-2</v>
      </c>
      <c r="S20" s="8">
        <v>0.5230326125353465</v>
      </c>
      <c r="T20" s="8">
        <v>0.47696738746465356</v>
      </c>
      <c r="U20" s="8">
        <v>0.42799785335214963</v>
      </c>
      <c r="V20" s="8">
        <v>0.27568289786223277</v>
      </c>
      <c r="W20" s="8">
        <v>0.27206820869802639</v>
      </c>
      <c r="X20" s="8">
        <v>9.0483360357323406E-2</v>
      </c>
      <c r="Y20" s="15">
        <v>0.18545815798179596</v>
      </c>
      <c r="Z20" s="5">
        <v>21533</v>
      </c>
      <c r="AA20" s="5">
        <v>185700</v>
      </c>
      <c r="AB20" s="8">
        <v>0.38695101550780475</v>
      </c>
      <c r="AC20" s="8">
        <v>0.12455882798525462</v>
      </c>
      <c r="AD20" s="8">
        <v>0.26179849933403854</v>
      </c>
      <c r="AE20" s="12">
        <v>2</v>
      </c>
      <c r="AF20" s="74">
        <v>-0.50908122294703306</v>
      </c>
      <c r="AG20" s="74">
        <v>-0.22247731771559759</v>
      </c>
      <c r="AH20" s="74">
        <f t="shared" si="0"/>
        <v>-0.25126831422213958</v>
      </c>
      <c r="AI20" s="74">
        <f t="shared" si="9"/>
        <v>-0.60942833322340229</v>
      </c>
      <c r="AJ20" s="74">
        <f t="shared" si="10"/>
        <v>-0.34703614570085223</v>
      </c>
      <c r="AK20" s="116">
        <f t="shared" si="11"/>
        <v>-0.40793547569739352</v>
      </c>
      <c r="AL20" s="83">
        <f t="shared" si="12"/>
        <v>-0.49454552641362398</v>
      </c>
      <c r="AM20" s="83">
        <f t="shared" si="13"/>
        <v>-0.31296067807292099</v>
      </c>
      <c r="AN20" s="83">
        <f t="shared" si="1"/>
        <v>-0.48427581704963613</v>
      </c>
      <c r="AO20" s="74">
        <v>0.28660390523143547</v>
      </c>
      <c r="AP20" s="74">
        <f t="shared" si="14"/>
        <v>0.25781290872489349</v>
      </c>
      <c r="AQ20" s="83">
        <f t="shared" si="2"/>
        <v>0.10114574724963954</v>
      </c>
      <c r="AR20" s="83">
        <f t="shared" si="3"/>
        <v>2.4805405897396937E-2</v>
      </c>
      <c r="AS20" s="74">
        <v>0.19691410009076127</v>
      </c>
      <c r="AT20" s="74">
        <f t="shared" si="4"/>
        <v>0.16812310358421925</v>
      </c>
      <c r="AU20" s="83">
        <f t="shared" si="5"/>
        <v>1.1455942108965306E-2</v>
      </c>
      <c r="AV20" s="83">
        <f t="shared" si="6"/>
        <v>-6.4884399243277269E-2</v>
      </c>
      <c r="AW20" s="74">
        <v>-1.129819132368143</v>
      </c>
      <c r="AX20" s="83">
        <f t="shared" si="7"/>
        <v>-35.609072725511361</v>
      </c>
      <c r="AY20" s="83">
        <f t="shared" si="8"/>
        <v>7.4636711243005367</v>
      </c>
      <c r="AZ20" s="102">
        <v>0</v>
      </c>
      <c r="BA20" s="74">
        <v>0.42898706278717541</v>
      </c>
      <c r="BB20" s="74">
        <v>0.71611612963950688</v>
      </c>
      <c r="BC20" s="74">
        <v>0.28712906685233142</v>
      </c>
      <c r="BD20" s="74">
        <v>0.66818852067732026</v>
      </c>
      <c r="BE20" s="74">
        <v>1.0717276748687692</v>
      </c>
      <c r="BF20" s="109">
        <v>0</v>
      </c>
      <c r="BG20" s="74">
        <v>0.40873923659228972</v>
      </c>
      <c r="BH20" s="74">
        <v>0.49100807710142558</v>
      </c>
      <c r="BI20" s="74">
        <v>8.2268840509135827E-2</v>
      </c>
      <c r="BJ20" s="74">
        <v>0.71174719068394365</v>
      </c>
      <c r="BK20" s="74">
        <v>0.68986303497678458</v>
      </c>
      <c r="BL20" s="109">
        <v>0</v>
      </c>
      <c r="BM20" s="74">
        <v>0.2691935139118839</v>
      </c>
      <c r="BN20" s="74">
        <v>0.16142211366974712</v>
      </c>
      <c r="BO20" s="74">
        <v>-0.10777140024213679</v>
      </c>
      <c r="BP20" s="74">
        <v>0.40774325329666244</v>
      </c>
      <c r="BQ20" s="74">
        <v>0.39589156255713925</v>
      </c>
      <c r="BR20" s="74">
        <v>0</v>
      </c>
      <c r="BS20" s="74">
        <v>0.58660171223911162</v>
      </c>
      <c r="BT20" s="74">
        <v>0.42931623360648186</v>
      </c>
      <c r="BU20" s="74">
        <v>-0.15728547863262976</v>
      </c>
      <c r="BV20" s="74">
        <v>0.24919006737596283</v>
      </c>
      <c r="BW20" s="74">
        <v>1.722846492748668</v>
      </c>
    </row>
    <row r="21" spans="1:75" x14ac:dyDescent="0.2">
      <c r="A21" s="11" t="s">
        <v>682</v>
      </c>
      <c r="B21" s="11">
        <v>51</v>
      </c>
      <c r="C21" s="11">
        <v>12</v>
      </c>
      <c r="D21" s="11">
        <v>9112</v>
      </c>
      <c r="E21" s="112">
        <v>43401</v>
      </c>
      <c r="F21" s="11" t="s">
        <v>683</v>
      </c>
      <c r="G21" s="11">
        <v>1</v>
      </c>
      <c r="H21" s="11">
        <v>4</v>
      </c>
      <c r="I21" s="10">
        <v>20</v>
      </c>
      <c r="J21" s="8">
        <v>2.6188556896339848E-2</v>
      </c>
      <c r="K21" s="8">
        <v>6.8768174204140484E-2</v>
      </c>
      <c r="L21" s="8">
        <v>5.7140895975453875E-2</v>
      </c>
      <c r="M21" s="8">
        <v>0.84790237292406567</v>
      </c>
      <c r="N21" s="8">
        <v>0.19054613859912853</v>
      </c>
      <c r="O21" s="8">
        <v>0.38047216901934244</v>
      </c>
      <c r="P21" s="8">
        <v>0.10871627404163949</v>
      </c>
      <c r="Q21" s="8">
        <v>-1.8643742325777993E-2</v>
      </c>
      <c r="R21" s="21">
        <v>2.1558576738670718E-2</v>
      </c>
      <c r="S21" s="8">
        <v>0.54617331464723573</v>
      </c>
      <c r="T21" s="8">
        <v>0.45382668535276416</v>
      </c>
      <c r="U21" s="8">
        <v>0.45038053059293975</v>
      </c>
      <c r="V21" s="8">
        <v>0.29070339399901624</v>
      </c>
      <c r="W21" s="8">
        <v>0.3405127142435167</v>
      </c>
      <c r="X21" s="8">
        <v>0.23038178638050041</v>
      </c>
      <c r="Y21" s="15">
        <v>0.29053236029661961</v>
      </c>
      <c r="Z21" s="5">
        <v>20949</v>
      </c>
      <c r="AA21" s="5">
        <v>177300</v>
      </c>
      <c r="AB21" s="8">
        <v>0.38047216901934244</v>
      </c>
      <c r="AC21" s="8">
        <v>0.10871627404163949</v>
      </c>
      <c r="AD21" s="8">
        <v>0.25714209197653759</v>
      </c>
      <c r="AE21" s="12">
        <v>0</v>
      </c>
      <c r="AF21" s="74">
        <v>0.55402059194888775</v>
      </c>
      <c r="AG21" s="74">
        <v>0.9154811146876336</v>
      </c>
      <c r="AH21" s="74">
        <f t="shared" si="0"/>
        <v>0.89392253794896293</v>
      </c>
      <c r="AI21" s="74">
        <f t="shared" si="9"/>
        <v>0.53500894566829116</v>
      </c>
      <c r="AJ21" s="74">
        <f t="shared" si="10"/>
        <v>0.80676484064599407</v>
      </c>
      <c r="AK21" s="116">
        <f t="shared" si="11"/>
        <v>0.62494875439101394</v>
      </c>
      <c r="AL21" s="83">
        <f t="shared" si="12"/>
        <v>0.5749684004441169</v>
      </c>
      <c r="AM21" s="83">
        <f t="shared" si="13"/>
        <v>0.68509932830713316</v>
      </c>
      <c r="AN21" s="83">
        <f t="shared" si="1"/>
        <v>0.65833902271109601</v>
      </c>
      <c r="AO21" s="74">
        <v>0.36146052273874579</v>
      </c>
      <c r="AP21" s="74">
        <f t="shared" si="14"/>
        <v>0.33990194600007517</v>
      </c>
      <c r="AQ21" s="83">
        <f t="shared" si="2"/>
        <v>7.0928162442126186E-2</v>
      </c>
      <c r="AR21" s="83">
        <f t="shared" si="3"/>
        <v>0.10431843076220826</v>
      </c>
      <c r="AS21" s="74">
        <v>0.96071495651178218</v>
      </c>
      <c r="AT21" s="74">
        <f t="shared" si="4"/>
        <v>0.9391563797731115</v>
      </c>
      <c r="AU21" s="83">
        <f t="shared" si="5"/>
        <v>0.67018259621516263</v>
      </c>
      <c r="AV21" s="83">
        <f t="shared" si="6"/>
        <v>0.70357286453524459</v>
      </c>
      <c r="AW21" s="74">
        <v>0.9529164800469162</v>
      </c>
      <c r="AX21" s="83">
        <f t="shared" si="7"/>
        <v>0.93250519771834495</v>
      </c>
      <c r="AY21" s="83">
        <f t="shared" si="8"/>
        <v>0.93570837633991399</v>
      </c>
      <c r="AZ21" s="102">
        <v>0</v>
      </c>
      <c r="BA21" s="74">
        <v>0.29082553473327227</v>
      </c>
      <c r="BB21" s="74">
        <v>0.6571940684754789</v>
      </c>
      <c r="BC21" s="74">
        <v>0.36636853374220663</v>
      </c>
      <c r="BD21" s="74">
        <v>0.53357227261973317</v>
      </c>
      <c r="BE21" s="74">
        <v>1.2316870688365935</v>
      </c>
      <c r="BF21" s="109">
        <v>0</v>
      </c>
      <c r="BG21" s="74">
        <v>7.911315446680027E-2</v>
      </c>
      <c r="BH21" s="74">
        <v>0.13675488974349601</v>
      </c>
      <c r="BI21" s="74">
        <v>5.7641735276695735E-2</v>
      </c>
      <c r="BJ21" s="74">
        <v>0.265173033371362</v>
      </c>
      <c r="BK21" s="74">
        <v>0.51571944554398708</v>
      </c>
      <c r="BL21" s="109">
        <v>0</v>
      </c>
      <c r="BM21" s="74">
        <v>0.78466488277894486</v>
      </c>
      <c r="BN21" s="74">
        <v>1.0426270858457982</v>
      </c>
      <c r="BO21" s="74">
        <v>0.2579622030668533</v>
      </c>
      <c r="BP21" s="74">
        <v>0.69432039157758252</v>
      </c>
      <c r="BQ21" s="74">
        <v>1.5016512527837753</v>
      </c>
      <c r="BR21" s="74">
        <v>0</v>
      </c>
      <c r="BS21" s="74">
        <v>0.99707412413041252</v>
      </c>
      <c r="BT21" s="74">
        <v>0.25174119039989706</v>
      </c>
      <c r="BU21" s="74">
        <v>-0.74533293373051546</v>
      </c>
      <c r="BV21" s="74">
        <v>0.30956076128872323</v>
      </c>
      <c r="BW21" s="74">
        <v>0.81322060765027449</v>
      </c>
    </row>
    <row r="22" spans="1:75" x14ac:dyDescent="0.2">
      <c r="A22" s="11" t="s">
        <v>682</v>
      </c>
      <c r="B22" s="11">
        <v>51</v>
      </c>
      <c r="C22" s="11">
        <v>12</v>
      </c>
      <c r="D22" s="11">
        <v>9112</v>
      </c>
      <c r="E22" s="112">
        <v>43401</v>
      </c>
      <c r="F22" s="11" t="s">
        <v>683</v>
      </c>
      <c r="G22" s="11">
        <v>1</v>
      </c>
      <c r="H22" s="11">
        <v>4</v>
      </c>
      <c r="I22" s="10">
        <v>30</v>
      </c>
      <c r="J22" s="8">
        <v>0.19474609609804971</v>
      </c>
      <c r="K22" s="8">
        <v>7.7656125766217207E-2</v>
      </c>
      <c r="L22" s="8">
        <v>5.4862820712755694E-2</v>
      </c>
      <c r="M22" s="8">
        <v>0.67273495742297729</v>
      </c>
      <c r="N22" s="8">
        <v>5.0186897017431537E-2</v>
      </c>
      <c r="O22" s="8">
        <v>7.5751806200625868E-2</v>
      </c>
      <c r="P22" s="8">
        <v>9.2321679216076383E-2</v>
      </c>
      <c r="Q22" s="8">
        <v>-1.1840358335001612E-2</v>
      </c>
      <c r="R22" s="21">
        <v>1.2755898833115601E-2</v>
      </c>
      <c r="S22" s="8">
        <v>0.58600017453760156</v>
      </c>
      <c r="T22" s="8">
        <v>0.41399982546239839</v>
      </c>
      <c r="U22" s="8">
        <v>1.0051528340587323</v>
      </c>
      <c r="V22" s="8">
        <v>0.46088957055214724</v>
      </c>
      <c r="W22" s="8">
        <v>-2.6496810261582668E-2</v>
      </c>
      <c r="X22" s="8">
        <v>0.14771835233112476</v>
      </c>
      <c r="Y22" s="15">
        <v>4.5628236644701572E-2</v>
      </c>
      <c r="Z22" s="5">
        <v>20092</v>
      </c>
      <c r="AA22" s="5">
        <v>180300</v>
      </c>
      <c r="AB22" s="8">
        <v>7.5751806200625868E-2</v>
      </c>
      <c r="AC22" s="8">
        <v>9.2321679216076383E-2</v>
      </c>
      <c r="AD22" s="8">
        <v>8.261173073695649E-2</v>
      </c>
      <c r="AE22" s="12">
        <v>2</v>
      </c>
      <c r="AF22" s="74">
        <v>-0.15298948413886748</v>
      </c>
      <c r="AG22" s="74">
        <v>-0.72937351694317498</v>
      </c>
      <c r="AH22" s="74">
        <f t="shared" si="0"/>
        <v>-0.74212941577629055</v>
      </c>
      <c r="AI22" s="74">
        <f t="shared" si="9"/>
        <v>-0.80512532314380081</v>
      </c>
      <c r="AJ22" s="74">
        <f t="shared" si="10"/>
        <v>-0.82169519615925135</v>
      </c>
      <c r="AK22" s="116">
        <f t="shared" si="11"/>
        <v>-0.7750017535878766</v>
      </c>
      <c r="AL22" s="83">
        <f t="shared" si="12"/>
        <v>-0.7028767066815923</v>
      </c>
      <c r="AM22" s="83">
        <f t="shared" si="13"/>
        <v>-0.87709186927429972</v>
      </c>
      <c r="AN22" s="83">
        <f t="shared" si="1"/>
        <v>-0.81198524768013147</v>
      </c>
      <c r="AO22" s="74">
        <v>-0.5763840328043075</v>
      </c>
      <c r="AP22" s="74">
        <f t="shared" si="14"/>
        <v>-0.58913993163742306</v>
      </c>
      <c r="AQ22" s="83">
        <f t="shared" si="2"/>
        <v>-0.62201226944900911</v>
      </c>
      <c r="AR22" s="83">
        <f t="shared" si="3"/>
        <v>-0.65899576354126399</v>
      </c>
      <c r="AS22" s="74">
        <v>-0.76679992246229178</v>
      </c>
      <c r="AT22" s="74">
        <f t="shared" si="4"/>
        <v>-0.77955582129540735</v>
      </c>
      <c r="AU22" s="83">
        <f t="shared" si="5"/>
        <v>-0.8124281591069934</v>
      </c>
      <c r="AV22" s="83">
        <f t="shared" si="6"/>
        <v>-0.84941165319924827</v>
      </c>
      <c r="AW22" s="74">
        <v>0.95119143283304486</v>
      </c>
      <c r="AX22" s="83">
        <f t="shared" si="7"/>
        <v>0.95393265841467723</v>
      </c>
      <c r="AY22" s="83">
        <f t="shared" si="8"/>
        <v>0.95593843647170029</v>
      </c>
      <c r="AZ22" s="102">
        <v>0</v>
      </c>
      <c r="BA22" s="74">
        <v>0.22849778861340819</v>
      </c>
      <c r="BB22" s="74">
        <v>0.4248283114307333</v>
      </c>
      <c r="BC22" s="74">
        <v>0.19633052281732513</v>
      </c>
      <c r="BD22" s="74">
        <v>0.38470342394463397</v>
      </c>
      <c r="BE22" s="74">
        <v>1.10430083276793</v>
      </c>
      <c r="BF22" s="109">
        <v>0</v>
      </c>
      <c r="BG22" s="74">
        <v>0.38282074474271938</v>
      </c>
      <c r="BH22" s="74">
        <v>0.24581615467832649</v>
      </c>
      <c r="BI22" s="74">
        <v>-0.13700459006439289</v>
      </c>
      <c r="BJ22" s="74">
        <v>0.38896650596546606</v>
      </c>
      <c r="BK22" s="74">
        <v>0.63197255009959907</v>
      </c>
      <c r="BL22" s="109">
        <v>0</v>
      </c>
      <c r="BM22" s="74">
        <v>0.50426143999015027</v>
      </c>
      <c r="BN22" s="74">
        <v>0.39721335664735274</v>
      </c>
      <c r="BO22" s="74">
        <v>-0.10704808334279754</v>
      </c>
      <c r="BP22" s="74">
        <v>0.39312814524658274</v>
      </c>
      <c r="BQ22" s="74">
        <v>1.0103915515848085</v>
      </c>
      <c r="BR22" s="74">
        <v>0</v>
      </c>
      <c r="BS22" s="74">
        <v>0.55980512741368538</v>
      </c>
      <c r="BT22" s="74">
        <v>0.22858224667861626</v>
      </c>
      <c r="BU22" s="74">
        <v>-0.33122288073506911</v>
      </c>
      <c r="BV22" s="74">
        <v>0.19124457624097185</v>
      </c>
      <c r="BW22" s="74">
        <v>1.1952351861241712</v>
      </c>
    </row>
    <row r="23" spans="1:75" x14ac:dyDescent="0.2">
      <c r="A23" s="11" t="s">
        <v>682</v>
      </c>
      <c r="B23" s="11">
        <v>51</v>
      </c>
      <c r="C23" s="11">
        <v>12</v>
      </c>
      <c r="D23" s="11">
        <v>9112</v>
      </c>
      <c r="E23" s="112">
        <v>43401</v>
      </c>
      <c r="F23" s="11" t="s">
        <v>683</v>
      </c>
      <c r="G23" s="11">
        <v>1</v>
      </c>
      <c r="H23" s="11">
        <v>4</v>
      </c>
      <c r="I23" s="10">
        <v>40</v>
      </c>
      <c r="J23" s="8">
        <v>0.12241736392709519</v>
      </c>
      <c r="K23" s="8">
        <v>7.0324553900267123E-2</v>
      </c>
      <c r="L23" s="8">
        <v>9.5633090469672263E-2</v>
      </c>
      <c r="M23" s="8">
        <v>0.71162499170296556</v>
      </c>
      <c r="N23" s="8">
        <v>5.0318855757763258E-3</v>
      </c>
      <c r="O23" s="8">
        <v>0.13823650456364664</v>
      </c>
      <c r="P23" s="8">
        <v>3.1768112528485493E-2</v>
      </c>
      <c r="Q23" s="8">
        <v>-1.3855740589536284E-2</v>
      </c>
      <c r="R23" s="21">
        <v>3.5154021813601829E-3</v>
      </c>
      <c r="S23" s="8">
        <v>0.42375001264482465</v>
      </c>
      <c r="T23" s="8">
        <v>0.57624998735517541</v>
      </c>
      <c r="U23" s="8">
        <v>1.278613034064225</v>
      </c>
      <c r="V23" s="8">
        <v>0.62446941323345817</v>
      </c>
      <c r="W23" s="8">
        <v>-2.5354720823575608E-2</v>
      </c>
      <c r="X23" s="8">
        <v>6.9677169316320925E-2</v>
      </c>
      <c r="Y23" s="15">
        <v>2.9407404667878188E-2</v>
      </c>
      <c r="Z23" s="5">
        <v>41927</v>
      </c>
      <c r="AA23" s="5">
        <v>250100</v>
      </c>
      <c r="AB23" s="8">
        <v>0.13823650456364664</v>
      </c>
      <c r="AC23" s="8">
        <v>3.1768112528485493E-2</v>
      </c>
      <c r="AD23" s="8">
        <v>7.6884094999659175E-2</v>
      </c>
      <c r="AE23" s="12">
        <v>0</v>
      </c>
      <c r="AF23" s="74">
        <v>4.8542635081517793E-2</v>
      </c>
      <c r="AG23" s="74">
        <v>3.0616418813365898E-2</v>
      </c>
      <c r="AH23" s="74">
        <f t="shared" si="0"/>
        <v>2.7101016632005717E-2</v>
      </c>
      <c r="AI23" s="74">
        <f t="shared" si="9"/>
        <v>-0.10762008575028074</v>
      </c>
      <c r="AJ23" s="74">
        <f t="shared" si="10"/>
        <v>-1.1516937151195943E-3</v>
      </c>
      <c r="AK23" s="116">
        <f t="shared" si="11"/>
        <v>1.20901414548771E-3</v>
      </c>
      <c r="AL23" s="83">
        <f t="shared" si="12"/>
        <v>5.5971139636941503E-2</v>
      </c>
      <c r="AM23" s="83">
        <f t="shared" si="13"/>
        <v>-3.906075050295503E-2</v>
      </c>
      <c r="AN23" s="83">
        <f t="shared" si="1"/>
        <v>-4.626767618629328E-2</v>
      </c>
      <c r="AO23" s="74">
        <v>-1.7926216268151895E-2</v>
      </c>
      <c r="AP23" s="74">
        <f t="shared" si="14"/>
        <v>-2.1441618449512076E-2</v>
      </c>
      <c r="AQ23" s="83">
        <f t="shared" si="2"/>
        <v>-4.733362093603008E-2</v>
      </c>
      <c r="AR23" s="83">
        <f t="shared" si="3"/>
        <v>-9.4810311267811073E-2</v>
      </c>
      <c r="AS23" s="74">
        <v>0.19028892382493198</v>
      </c>
      <c r="AT23" s="74">
        <f t="shared" si="4"/>
        <v>0.1867735216435718</v>
      </c>
      <c r="AU23" s="83">
        <f t="shared" si="5"/>
        <v>0.16088151915705379</v>
      </c>
      <c r="AV23" s="83">
        <f t="shared" si="6"/>
        <v>0.11340482882527281</v>
      </c>
      <c r="AW23" s="74">
        <v>0.16089438206888679</v>
      </c>
      <c r="AX23" s="83">
        <f t="shared" si="7"/>
        <v>7.5149349149759145E-3</v>
      </c>
      <c r="AY23" s="83">
        <f t="shared" si="8"/>
        <v>-0.40798682618338655</v>
      </c>
      <c r="AZ23" s="102">
        <v>0</v>
      </c>
      <c r="BA23" s="74">
        <v>0.25613049570801327</v>
      </c>
      <c r="BB23" s="74">
        <v>0.38484973764346786</v>
      </c>
      <c r="BC23" s="74">
        <v>0.12871924193545459</v>
      </c>
      <c r="BD23" s="74">
        <v>0.45282547423324554</v>
      </c>
      <c r="BE23" s="74">
        <v>0.84988535217706385</v>
      </c>
      <c r="BF23" s="109">
        <v>0</v>
      </c>
      <c r="BG23" s="74">
        <v>0.14853710681838536</v>
      </c>
      <c r="BH23" s="74">
        <v>0.10402750710865609</v>
      </c>
      <c r="BI23" s="74">
        <v>-4.4509599709729272E-2</v>
      </c>
      <c r="BJ23" s="74">
        <v>0.24991807045548009</v>
      </c>
      <c r="BK23" s="74">
        <v>0.41624643995956007</v>
      </c>
      <c r="BL23" s="109">
        <v>0</v>
      </c>
      <c r="BM23" s="74">
        <v>0.25537399450568582</v>
      </c>
      <c r="BN23" s="74">
        <v>0.18963096491998183</v>
      </c>
      <c r="BO23" s="74">
        <v>-6.574302958570398E-2</v>
      </c>
      <c r="BP23" s="74">
        <v>0.27748373867780329</v>
      </c>
      <c r="BQ23" s="74">
        <v>0.68339487504227914</v>
      </c>
      <c r="BR23" s="74">
        <v>0</v>
      </c>
      <c r="BS23" s="74">
        <v>0.32323397448488006</v>
      </c>
      <c r="BT23" s="74">
        <v>0.15400005244629322</v>
      </c>
      <c r="BU23" s="74">
        <v>-0.16923392203858684</v>
      </c>
      <c r="BV23" s="74">
        <v>-6.7372019219534451E-2</v>
      </c>
      <c r="BW23" s="74">
        <v>-2.2858161923940239</v>
      </c>
    </row>
    <row r="24" spans="1:75" x14ac:dyDescent="0.2">
      <c r="A24" s="11" t="s">
        <v>682</v>
      </c>
      <c r="B24" s="11">
        <v>51</v>
      </c>
      <c r="C24" s="11">
        <v>12</v>
      </c>
      <c r="D24" s="11">
        <v>9112</v>
      </c>
      <c r="E24" s="112">
        <v>43401</v>
      </c>
      <c r="F24" s="11" t="s">
        <v>683</v>
      </c>
      <c r="G24" s="11">
        <v>1</v>
      </c>
      <c r="H24" s="11">
        <v>4</v>
      </c>
      <c r="I24" s="10">
        <v>50</v>
      </c>
      <c r="J24" s="8">
        <v>0.24311464814480427</v>
      </c>
      <c r="K24" s="8">
        <v>0.12149384150885509</v>
      </c>
      <c r="L24" s="8">
        <v>0.10769685543734304</v>
      </c>
      <c r="M24" s="8">
        <v>0.52769465490899758</v>
      </c>
      <c r="N24" s="8">
        <v>3.7745473612983908E-2</v>
      </c>
      <c r="O24" s="8">
        <v>0.11312702718152273</v>
      </c>
      <c r="P24" s="8">
        <v>-2.4347071441283672E-3</v>
      </c>
      <c r="Q24" s="8">
        <v>-1.1438066321238068E-2</v>
      </c>
      <c r="R24" s="21">
        <v>1.6622697883694033E-2</v>
      </c>
      <c r="S24" s="8">
        <v>0.53009935886435833</v>
      </c>
      <c r="T24" s="8">
        <v>0.46990064113564162</v>
      </c>
      <c r="U24" s="8">
        <v>1.4430477099742753</v>
      </c>
      <c r="V24" s="8">
        <v>0.71799678628816288</v>
      </c>
      <c r="W24" s="8">
        <v>-1.2215581042182023E-2</v>
      </c>
      <c r="X24" s="8">
        <v>6.0533842977873946E-2</v>
      </c>
      <c r="Y24" s="15">
        <v>2.1969419947090923E-2</v>
      </c>
      <c r="Z24" s="5">
        <v>54413</v>
      </c>
      <c r="AA24" s="5">
        <v>268100</v>
      </c>
      <c r="AB24" s="8">
        <v>0.11312702718152273</v>
      </c>
      <c r="AC24" s="8">
        <v>-2.4347071441283672E-3</v>
      </c>
      <c r="AD24" s="8">
        <v>5.8824494131152594E-2</v>
      </c>
      <c r="AE24" s="12">
        <v>0</v>
      </c>
      <c r="AF24" s="74">
        <v>0.46980704372562149</v>
      </c>
      <c r="AG24" s="74">
        <v>0.75748911617740244</v>
      </c>
      <c r="AH24" s="74">
        <f t="shared" si="0"/>
        <v>0.74086641829370836</v>
      </c>
      <c r="AI24" s="74">
        <f t="shared" si="9"/>
        <v>0.64436208899587966</v>
      </c>
      <c r="AJ24" s="74">
        <f t="shared" si="10"/>
        <v>0.75992382332153086</v>
      </c>
      <c r="AK24" s="116">
        <f t="shared" si="11"/>
        <v>0.73551969623031155</v>
      </c>
      <c r="AL24" s="83">
        <f t="shared" si="12"/>
        <v>0.76970469721958445</v>
      </c>
      <c r="AM24" s="83">
        <f t="shared" si="13"/>
        <v>0.69695527319952855</v>
      </c>
      <c r="AN24" s="83">
        <f t="shared" si="1"/>
        <v>0.69866462204624979</v>
      </c>
      <c r="AO24" s="74">
        <v>0.28768207245178101</v>
      </c>
      <c r="AP24" s="74">
        <f t="shared" si="14"/>
        <v>0.27105937456808687</v>
      </c>
      <c r="AQ24" s="83">
        <f t="shared" si="2"/>
        <v>0.26571265250469006</v>
      </c>
      <c r="AR24" s="83">
        <f t="shared" si="3"/>
        <v>0.22885757832062831</v>
      </c>
      <c r="AS24" s="74">
        <v>0.59842442154771502</v>
      </c>
      <c r="AT24" s="74">
        <f t="shared" si="4"/>
        <v>0.58180172366402094</v>
      </c>
      <c r="AU24" s="83">
        <f t="shared" si="5"/>
        <v>0.57645500160062413</v>
      </c>
      <c r="AV24" s="83">
        <f t="shared" si="6"/>
        <v>0.53959992741656237</v>
      </c>
      <c r="AW24" s="74">
        <v>1.2658058209227085</v>
      </c>
      <c r="AX24" s="83">
        <f t="shared" si="7"/>
        <v>1.2759360126775161</v>
      </c>
      <c r="AY24" s="83">
        <f t="shared" si="8"/>
        <v>1.2947826464529748</v>
      </c>
      <c r="AZ24" s="102">
        <v>0</v>
      </c>
      <c r="BA24" s="74">
        <v>0.18748944145462296</v>
      </c>
      <c r="BB24" s="74">
        <v>0.16249857365500162</v>
      </c>
      <c r="BC24" s="74">
        <v>-2.4990867799621334E-2</v>
      </c>
      <c r="BD24" s="74">
        <v>0.18306712833076971</v>
      </c>
      <c r="BE24" s="74">
        <v>0.8876447406843877</v>
      </c>
      <c r="BF24" s="109">
        <v>0</v>
      </c>
      <c r="BG24" s="74">
        <v>0.19001081811477441</v>
      </c>
      <c r="BH24" s="74">
        <v>5.7839045006291334E-2</v>
      </c>
      <c r="BI24" s="74">
        <v>-0.13217177310848308</v>
      </c>
      <c r="BJ24" s="74">
        <v>9.8725449690492614E-2</v>
      </c>
      <c r="BK24" s="74">
        <v>0.58585749862490932</v>
      </c>
      <c r="BL24" s="109">
        <v>0</v>
      </c>
      <c r="BM24" s="74">
        <v>0.57904739552487505</v>
      </c>
      <c r="BN24" s="74">
        <v>0.43057048978352463</v>
      </c>
      <c r="BO24" s="74">
        <v>-0.14847690574135042</v>
      </c>
      <c r="BP24" s="74">
        <v>0.55164842133676062</v>
      </c>
      <c r="BQ24" s="74">
        <v>0.78051612789929026</v>
      </c>
      <c r="BR24" s="74">
        <v>0</v>
      </c>
      <c r="BS24" s="74">
        <v>0.76072647795681714</v>
      </c>
      <c r="BT24" s="74">
        <v>0.30705926803077499</v>
      </c>
      <c r="BU24" s="74">
        <v>-0.45366720992604215</v>
      </c>
      <c r="BV24" s="74">
        <v>0.26931894004792811</v>
      </c>
      <c r="BW24" s="74">
        <v>1.1401324688717793</v>
      </c>
    </row>
    <row r="25" spans="1:75" s="85" customFormat="1" x14ac:dyDescent="0.2">
      <c r="A25" s="85" t="s">
        <v>682</v>
      </c>
      <c r="B25" s="85">
        <v>69</v>
      </c>
      <c r="C25" s="85">
        <v>15</v>
      </c>
      <c r="D25" s="85">
        <v>9115</v>
      </c>
      <c r="E25" s="111">
        <v>43402</v>
      </c>
      <c r="F25" s="85" t="s">
        <v>683</v>
      </c>
      <c r="G25" s="85">
        <v>1</v>
      </c>
      <c r="H25" s="85">
        <v>5</v>
      </c>
      <c r="I25" s="85">
        <v>5</v>
      </c>
      <c r="J25" s="87">
        <v>3.2473654764206474E-2</v>
      </c>
      <c r="K25" s="87">
        <v>6.5663762074807119E-2</v>
      </c>
      <c r="L25" s="87">
        <v>7.6042234716731091E-2</v>
      </c>
      <c r="M25" s="87">
        <v>0.82582034844425534</v>
      </c>
      <c r="N25" s="87">
        <v>0.1881380458771641</v>
      </c>
      <c r="O25" s="87">
        <v>0.42062727733803085</v>
      </c>
      <c r="P25" s="87">
        <v>0.18348840112583648</v>
      </c>
      <c r="Q25" s="87">
        <v>8.3996501139890403E-3</v>
      </c>
      <c r="R25" s="88">
        <v>5.4618969461278657E-2</v>
      </c>
      <c r="S25" s="87">
        <v>0.46338026309080055</v>
      </c>
      <c r="T25" s="87">
        <v>0.5366197369091994</v>
      </c>
      <c r="U25" s="87">
        <v>0.45171912832929784</v>
      </c>
      <c r="V25" s="87">
        <v>0.29634062927496579</v>
      </c>
      <c r="W25" s="87">
        <v>0.21459883319275158</v>
      </c>
      <c r="X25" s="87">
        <v>0.14840746331083454</v>
      </c>
      <c r="Y25" s="89">
        <v>0.17907923770105777</v>
      </c>
      <c r="Z25" s="90">
        <v>18656</v>
      </c>
      <c r="AA25" s="90">
        <v>173300</v>
      </c>
      <c r="AB25" s="87">
        <v>0.42062727733803085</v>
      </c>
      <c r="AC25" s="87">
        <v>0.18348840112583648</v>
      </c>
      <c r="AD25" s="87">
        <v>0.29337387597409992</v>
      </c>
      <c r="AE25" s="100">
        <v>0</v>
      </c>
      <c r="AF25" s="93">
        <v>0.74036984844909937</v>
      </c>
      <c r="AG25" s="93">
        <v>1.3118200940315248</v>
      </c>
      <c r="AH25" s="93">
        <f t="shared" si="0"/>
        <v>1.2572011245702461</v>
      </c>
      <c r="AI25" s="93">
        <f t="shared" si="9"/>
        <v>0.89119281669349393</v>
      </c>
      <c r="AJ25" s="93">
        <f t="shared" si="10"/>
        <v>1.1283316929056884</v>
      </c>
      <c r="AK25" s="115">
        <f t="shared" si="11"/>
        <v>1.1327408563304671</v>
      </c>
      <c r="AL25" s="94">
        <f t="shared" si="12"/>
        <v>1.0972212608387732</v>
      </c>
      <c r="AM25" s="94">
        <f t="shared" si="13"/>
        <v>1.1634126307206902</v>
      </c>
      <c r="AN25" s="94">
        <f t="shared" si="1"/>
        <v>1.018446218057425</v>
      </c>
      <c r="AO25" s="93">
        <v>0.57145024558242552</v>
      </c>
      <c r="AP25" s="93">
        <f t="shared" si="14"/>
        <v>0.51683127612114677</v>
      </c>
      <c r="AQ25" s="94">
        <f t="shared" si="2"/>
        <v>0.39237100788136769</v>
      </c>
      <c r="AR25" s="94">
        <f t="shared" si="3"/>
        <v>0.2780763696083256</v>
      </c>
      <c r="AS25" s="93">
        <v>0.87650202277367928</v>
      </c>
      <c r="AT25" s="93">
        <f t="shared" si="4"/>
        <v>0.82188305331240064</v>
      </c>
      <c r="AU25" s="94">
        <f t="shared" si="5"/>
        <v>0.69742278507262156</v>
      </c>
      <c r="AV25" s="94">
        <f t="shared" si="6"/>
        <v>0.58312814679957936</v>
      </c>
      <c r="AW25" s="93">
        <v>1.4966538124809878</v>
      </c>
      <c r="AX25" s="94">
        <f t="shared" si="7"/>
        <v>1.6241810284596832</v>
      </c>
      <c r="AY25" s="94">
        <f t="shared" si="8"/>
        <v>1.7465221386534511</v>
      </c>
      <c r="AZ25" s="105">
        <v>0</v>
      </c>
      <c r="BA25" s="93">
        <v>1.8876665376972028</v>
      </c>
      <c r="BB25" s="93">
        <v>2.0354622996083616</v>
      </c>
      <c r="BC25" s="93">
        <v>0.14779576191115881</v>
      </c>
      <c r="BD25" s="93">
        <v>0.77790649888353181</v>
      </c>
      <c r="BE25" s="93">
        <v>2.6165899147644365</v>
      </c>
      <c r="BF25" s="108">
        <v>0</v>
      </c>
      <c r="BG25" s="93">
        <v>1.8815405239110266</v>
      </c>
      <c r="BH25" s="93">
        <v>2.1431543601520859</v>
      </c>
      <c r="BI25" s="93">
        <v>0.26161383624105927</v>
      </c>
      <c r="BJ25" s="93">
        <v>1.0910903753619234</v>
      </c>
      <c r="BK25" s="93">
        <v>1.9642317525174617</v>
      </c>
      <c r="BL25" s="108">
        <v>0</v>
      </c>
      <c r="BM25" s="93">
        <v>1.9837491806647323</v>
      </c>
      <c r="BN25" s="93">
        <v>2.2592607174962578</v>
      </c>
      <c r="BO25" s="93">
        <v>0.27551153683152568</v>
      </c>
      <c r="BP25" s="93">
        <v>1.0484619480999222</v>
      </c>
      <c r="BQ25" s="93">
        <v>2.154833298042536</v>
      </c>
      <c r="BR25" s="93">
        <v>0</v>
      </c>
      <c r="BS25" s="93">
        <v>1.7192593801732974</v>
      </c>
      <c r="BT25" s="93">
        <v>1.5777192079379687</v>
      </c>
      <c r="BU25" s="93">
        <v>-0.14154017223532861</v>
      </c>
      <c r="BV25" s="93">
        <v>0.61044292133094591</v>
      </c>
      <c r="BW25" s="93">
        <v>2.5845482891309062</v>
      </c>
    </row>
    <row r="26" spans="1:75" s="85" customFormat="1" x14ac:dyDescent="0.2">
      <c r="A26" s="85" t="s">
        <v>682</v>
      </c>
      <c r="B26" s="85">
        <v>69</v>
      </c>
      <c r="C26" s="85">
        <v>15</v>
      </c>
      <c r="D26" s="85">
        <v>9115</v>
      </c>
      <c r="E26" s="111">
        <v>43402</v>
      </c>
      <c r="F26" s="85" t="s">
        <v>683</v>
      </c>
      <c r="G26" s="85">
        <v>1</v>
      </c>
      <c r="H26" s="85">
        <v>5</v>
      </c>
      <c r="I26" s="85">
        <v>12</v>
      </c>
      <c r="J26" s="87">
        <v>3.086845188565843E-2</v>
      </c>
      <c r="K26" s="87">
        <v>7.4987578524841308E-2</v>
      </c>
      <c r="L26" s="87">
        <v>7.1100372061774622E-2</v>
      </c>
      <c r="M26" s="87">
        <v>0.8230435975277256</v>
      </c>
      <c r="N26" s="87">
        <v>0.2399427053634352</v>
      </c>
      <c r="O26" s="87">
        <v>0.44069865948587128</v>
      </c>
      <c r="P26" s="87">
        <v>0.18465390542381482</v>
      </c>
      <c r="Q26" s="87">
        <v>7.4375915490195732E-3</v>
      </c>
      <c r="R26" s="88">
        <v>5.970400867355484E-2</v>
      </c>
      <c r="S26" s="87">
        <v>0.51330433635168948</v>
      </c>
      <c r="T26" s="87">
        <v>0.48669566364831041</v>
      </c>
      <c r="U26" s="87">
        <v>0.4835212378795205</v>
      </c>
      <c r="V26" s="87">
        <v>0.3117233927606699</v>
      </c>
      <c r="W26" s="87">
        <v>0.17074598480315634</v>
      </c>
      <c r="X26" s="87">
        <v>2.5284054475747237E-2</v>
      </c>
      <c r="Y26" s="89">
        <v>9.9950294086893654E-2</v>
      </c>
      <c r="Z26" s="90">
        <v>18999</v>
      </c>
      <c r="AA26" s="90">
        <v>173100</v>
      </c>
      <c r="AB26" s="87">
        <v>0.44069865948587128</v>
      </c>
      <c r="AC26" s="87">
        <v>0.18465390542381482</v>
      </c>
      <c r="AD26" s="87">
        <v>0.31608278798397027</v>
      </c>
      <c r="AE26" s="100">
        <v>2</v>
      </c>
      <c r="AF26" s="95">
        <v>8.9518305330494758</v>
      </c>
      <c r="AG26" s="95">
        <v>3.6312900297167285</v>
      </c>
      <c r="AH26" s="95">
        <f t="shared" si="0"/>
        <v>3.5715860210431738</v>
      </c>
      <c r="AI26" s="95">
        <f t="shared" si="9"/>
        <v>3.190591370230857</v>
      </c>
      <c r="AJ26" s="95">
        <f t="shared" si="10"/>
        <v>3.4466361242929135</v>
      </c>
      <c r="AK26" s="117">
        <f t="shared" si="11"/>
        <v>3.5313397356298348</v>
      </c>
      <c r="AL26" s="96">
        <f t="shared" si="12"/>
        <v>3.460544044913572</v>
      </c>
      <c r="AM26" s="96">
        <f t="shared" si="13"/>
        <v>3.6060059752409814</v>
      </c>
      <c r="AN26" s="96">
        <f t="shared" si="1"/>
        <v>3.3152072417327583</v>
      </c>
      <c r="AO26" s="95">
        <v>-5.3205405033327473</v>
      </c>
      <c r="AP26" s="95">
        <f t="shared" si="14"/>
        <v>-5.3802445120063016</v>
      </c>
      <c r="AQ26" s="96">
        <f t="shared" si="2"/>
        <v>-5.4204907974196406</v>
      </c>
      <c r="AR26" s="96">
        <f t="shared" si="3"/>
        <v>-5.6366232913167176</v>
      </c>
      <c r="AS26" s="95">
        <v>3.6085617786391726</v>
      </c>
      <c r="AT26" s="95">
        <f t="shared" si="4"/>
        <v>3.5488577699656179</v>
      </c>
      <c r="AU26" s="96">
        <f t="shared" si="5"/>
        <v>3.5086114845522789</v>
      </c>
      <c r="AV26" s="96">
        <f t="shared" si="6"/>
        <v>3.2924789906552023</v>
      </c>
      <c r="AW26" s="95">
        <v>1.0062984237133186</v>
      </c>
      <c r="AX26" s="96">
        <f t="shared" si="7"/>
        <v>1.0064778477690175</v>
      </c>
      <c r="AY26" s="96">
        <f t="shared" si="8"/>
        <v>1.0069030815814053</v>
      </c>
      <c r="AZ26" s="106">
        <v>0</v>
      </c>
      <c r="BA26" s="93">
        <v>1.9112510651876107</v>
      </c>
      <c r="BB26" s="93">
        <v>2.0574571547197733</v>
      </c>
      <c r="BC26" s="93">
        <v>0.14620608953216277</v>
      </c>
      <c r="BD26" s="93">
        <v>2.0741764574488313</v>
      </c>
      <c r="BE26" s="93">
        <v>0.99193930551616516</v>
      </c>
      <c r="BF26" s="108">
        <v>0</v>
      </c>
      <c r="BG26" s="93">
        <v>1.8925502578932027</v>
      </c>
      <c r="BH26" s="93">
        <v>1.9998750504774088</v>
      </c>
      <c r="BI26" s="93">
        <v>0.10732479258420613</v>
      </c>
      <c r="BJ26" s="93">
        <v>2.1725594002220769</v>
      </c>
      <c r="BK26" s="93">
        <v>0.92051570616342338</v>
      </c>
      <c r="BL26" s="108">
        <v>0</v>
      </c>
      <c r="BM26" s="93">
        <v>2.0110091657066556</v>
      </c>
      <c r="BN26" s="93">
        <v>2.2223182593738624</v>
      </c>
      <c r="BO26" s="93">
        <v>0.21130909366720696</v>
      </c>
      <c r="BP26" s="93">
        <v>2.0905900436024365</v>
      </c>
      <c r="BQ26" s="93">
        <v>1.0630100655910693</v>
      </c>
      <c r="BR26" s="93">
        <v>0</v>
      </c>
      <c r="BS26" s="93">
        <v>1.5547380926181897</v>
      </c>
      <c r="BT26" s="93">
        <v>1.4263569259699829</v>
      </c>
      <c r="BU26" s="93">
        <v>-0.12838116664820687</v>
      </c>
      <c r="BV26" s="93">
        <v>1.5902447810750995</v>
      </c>
      <c r="BW26" s="93">
        <v>0.89694174314829778</v>
      </c>
    </row>
    <row r="27" spans="1:75" s="85" customFormat="1" x14ac:dyDescent="0.2">
      <c r="A27" s="85" t="s">
        <v>682</v>
      </c>
      <c r="B27" s="85">
        <v>69</v>
      </c>
      <c r="C27" s="85">
        <v>15</v>
      </c>
      <c r="D27" s="85">
        <v>9115</v>
      </c>
      <c r="E27" s="111">
        <v>43402</v>
      </c>
      <c r="F27" s="85" t="s">
        <v>683</v>
      </c>
      <c r="G27" s="85">
        <v>1</v>
      </c>
      <c r="H27" s="85">
        <v>5</v>
      </c>
      <c r="I27" s="85">
        <v>20</v>
      </c>
      <c r="J27" s="87">
        <v>3.7226703269565238E-2</v>
      </c>
      <c r="K27" s="87">
        <v>7.7167756888100902E-2</v>
      </c>
      <c r="L27" s="87">
        <v>8.9690741266014271E-2</v>
      </c>
      <c r="M27" s="87">
        <v>0.79591479857631953</v>
      </c>
      <c r="N27" s="87">
        <v>0.3254576127316629</v>
      </c>
      <c r="O27" s="87">
        <v>0.36911016145777498</v>
      </c>
      <c r="P27" s="87">
        <v>0.15615540240628734</v>
      </c>
      <c r="Q27" s="87">
        <v>-1.4231984335436334E-3</v>
      </c>
      <c r="R27" s="88">
        <v>5.3472066280228596E-2</v>
      </c>
      <c r="S27" s="87">
        <v>0.46247423860201958</v>
      </c>
      <c r="T27" s="87">
        <v>0.53752576139798047</v>
      </c>
      <c r="U27" s="87">
        <v>0.52094206162079104</v>
      </c>
      <c r="V27" s="87">
        <v>0.27415439391487295</v>
      </c>
      <c r="W27" s="87">
        <v>0.31979151776928083</v>
      </c>
      <c r="X27" s="87">
        <v>0.29376564988809906</v>
      </c>
      <c r="Y27" s="89">
        <v>0.30580194332040539</v>
      </c>
      <c r="Z27" s="90">
        <v>19664</v>
      </c>
      <c r="AA27" s="90">
        <v>169400</v>
      </c>
      <c r="AB27" s="87">
        <v>0.36911016145777498</v>
      </c>
      <c r="AC27" s="87">
        <v>0.15615540240628734</v>
      </c>
      <c r="AD27" s="87">
        <v>0.2546414924553006</v>
      </c>
      <c r="AE27" s="100">
        <v>0</v>
      </c>
      <c r="AF27" s="93">
        <v>2.5754385732389046E-2</v>
      </c>
      <c r="AG27" s="93">
        <v>7.7426396276709691E-2</v>
      </c>
      <c r="AH27" s="93">
        <f t="shared" si="0"/>
        <v>2.3954329996481095E-2</v>
      </c>
      <c r="AI27" s="93">
        <f t="shared" si="9"/>
        <v>-0.29168376518106531</v>
      </c>
      <c r="AJ27" s="93">
        <f t="shared" si="10"/>
        <v>-7.8729006129577644E-2</v>
      </c>
      <c r="AK27" s="115">
        <f t="shared" si="11"/>
        <v>-0.2283755470436957</v>
      </c>
      <c r="AL27" s="94">
        <f t="shared" si="12"/>
        <v>-0.24236512149257114</v>
      </c>
      <c r="AM27" s="94">
        <f t="shared" si="13"/>
        <v>-0.21633925361138936</v>
      </c>
      <c r="AN27" s="94">
        <f t="shared" si="1"/>
        <v>-0.17721509617859091</v>
      </c>
      <c r="AO27" s="93">
        <v>5.1672010544320648E-2</v>
      </c>
      <c r="AP27" s="93">
        <f t="shared" si="14"/>
        <v>-1.800055735907951E-3</v>
      </c>
      <c r="AQ27" s="94">
        <f t="shared" si="2"/>
        <v>-0.25412993277608475</v>
      </c>
      <c r="AR27" s="94">
        <f t="shared" si="3"/>
        <v>-0.20296948191097997</v>
      </c>
      <c r="AS27" s="93">
        <v>0.37939442597596695</v>
      </c>
      <c r="AT27" s="93">
        <f t="shared" si="4"/>
        <v>0.32592235969573835</v>
      </c>
      <c r="AU27" s="94">
        <f t="shared" si="5"/>
        <v>7.3592482655561564E-2</v>
      </c>
      <c r="AV27" s="94">
        <f t="shared" si="6"/>
        <v>0.12475293352066635</v>
      </c>
      <c r="AW27" s="93">
        <v>0.20407889777910002</v>
      </c>
      <c r="AX27" s="94">
        <f t="shared" si="7"/>
        <v>-3.1032455870876481</v>
      </c>
      <c r="AY27" s="94">
        <f t="shared" si="8"/>
        <v>-1.4205284892097048</v>
      </c>
      <c r="AZ27" s="105">
        <v>0</v>
      </c>
      <c r="BA27" s="93">
        <v>0.3127043048874707</v>
      </c>
      <c r="BB27" s="93">
        <v>0.48002755044318446</v>
      </c>
      <c r="BC27" s="93">
        <v>0.16732324555571376</v>
      </c>
      <c r="BD27" s="93">
        <v>0.42334790558261243</v>
      </c>
      <c r="BE27" s="93">
        <v>1.1338843162163974</v>
      </c>
      <c r="BF27" s="108">
        <v>0</v>
      </c>
      <c r="BG27" s="93">
        <v>0.34767534130398275</v>
      </c>
      <c r="BH27" s="93">
        <v>0.36739176541921181</v>
      </c>
      <c r="BI27" s="93">
        <v>1.9716424115229034E-2</v>
      </c>
      <c r="BJ27" s="93">
        <v>0.5030443853512897</v>
      </c>
      <c r="BK27" s="93">
        <v>0.73033667826876159</v>
      </c>
      <c r="BL27" s="108">
        <v>0</v>
      </c>
      <c r="BM27" s="93">
        <v>0.16852027387902582</v>
      </c>
      <c r="BN27" s="93">
        <v>0.10582795080898062</v>
      </c>
      <c r="BO27" s="93">
        <v>-6.26923230700452E-2</v>
      </c>
      <c r="BP27" s="93">
        <v>0.28511805397410878</v>
      </c>
      <c r="BQ27" s="93">
        <v>0.37117239450080819</v>
      </c>
      <c r="BR27" s="93">
        <v>3</v>
      </c>
      <c r="BS27" s="93">
        <v>-0.14666786028577139</v>
      </c>
      <c r="BT27" s="93">
        <v>-0.13483340263876858</v>
      </c>
      <c r="BU27" s="93">
        <v>1.1834457647002798E-2</v>
      </c>
      <c r="BV27" s="93">
        <v>-1.3136467661248818E-2</v>
      </c>
      <c r="BW27" s="93">
        <v>10.264053177439227</v>
      </c>
    </row>
    <row r="28" spans="1:75" s="85" customFormat="1" x14ac:dyDescent="0.2">
      <c r="A28" s="85" t="s">
        <v>682</v>
      </c>
      <c r="B28" s="85">
        <v>69</v>
      </c>
      <c r="C28" s="85">
        <v>15</v>
      </c>
      <c r="D28" s="85">
        <v>9115</v>
      </c>
      <c r="E28" s="111">
        <v>43402</v>
      </c>
      <c r="F28" s="85" t="s">
        <v>683</v>
      </c>
      <c r="G28" s="85">
        <v>1</v>
      </c>
      <c r="H28" s="85">
        <v>5</v>
      </c>
      <c r="I28" s="85">
        <v>30</v>
      </c>
      <c r="J28" s="87">
        <v>0.19863914233882488</v>
      </c>
      <c r="K28" s="87">
        <v>7.7596869442614486E-2</v>
      </c>
      <c r="L28" s="87">
        <v>8.1913983938859999E-2</v>
      </c>
      <c r="M28" s="87">
        <v>0.64185000427970074</v>
      </c>
      <c r="N28" s="87">
        <v>0.27026229531311652</v>
      </c>
      <c r="O28" s="87">
        <v>0.26747282732111927</v>
      </c>
      <c r="P28" s="87">
        <v>0.16405544910691722</v>
      </c>
      <c r="Q28" s="87">
        <v>-6.6020731746639187E-3</v>
      </c>
      <c r="R28" s="88">
        <v>8.3640619336417088E-2</v>
      </c>
      <c r="S28" s="87">
        <v>0.48646764654339536</v>
      </c>
      <c r="T28" s="87">
        <v>0.51353235345660475</v>
      </c>
      <c r="U28" s="87">
        <v>0.86581246984399296</v>
      </c>
      <c r="V28" s="87">
        <v>0.38220608261461642</v>
      </c>
      <c r="W28" s="87">
        <v>0.13112985159550597</v>
      </c>
      <c r="X28" s="87">
        <v>0.14691262773211544</v>
      </c>
      <c r="Y28" s="89">
        <v>0.13923481776901778</v>
      </c>
      <c r="Z28" s="90">
        <v>16150</v>
      </c>
      <c r="AA28" s="90">
        <v>168400</v>
      </c>
      <c r="AB28" s="87">
        <v>0.26747282732111927</v>
      </c>
      <c r="AC28" s="87">
        <v>0.16405544910691722</v>
      </c>
      <c r="AD28" s="87">
        <v>0.2143646576984683</v>
      </c>
      <c r="AE28" s="100">
        <v>0</v>
      </c>
      <c r="AF28" s="93">
        <v>8.4866702768608235E-2</v>
      </c>
      <c r="AG28" s="93">
        <v>0.24933903040391997</v>
      </c>
      <c r="AH28" s="93">
        <f t="shared" si="0"/>
        <v>0.16569841106750288</v>
      </c>
      <c r="AI28" s="93">
        <f t="shared" si="9"/>
        <v>-1.8133796917199296E-2</v>
      </c>
      <c r="AJ28" s="93">
        <f t="shared" si="10"/>
        <v>8.5283581297002753E-2</v>
      </c>
      <c r="AK28" s="115">
        <f t="shared" si="11"/>
        <v>0.11010421263490219</v>
      </c>
      <c r="AL28" s="94">
        <f t="shared" si="12"/>
        <v>0.118209178808414</v>
      </c>
      <c r="AM28" s="94">
        <f t="shared" si="13"/>
        <v>0.10242640267180453</v>
      </c>
      <c r="AN28" s="94">
        <f t="shared" si="1"/>
        <v>3.4974372705451673E-2</v>
      </c>
      <c r="AO28" s="93">
        <v>0.16447232763531172</v>
      </c>
      <c r="AP28" s="93">
        <f t="shared" si="14"/>
        <v>8.0831708298894647E-2</v>
      </c>
      <c r="AQ28" s="94">
        <f t="shared" si="2"/>
        <v>2.5237509866293958E-2</v>
      </c>
      <c r="AR28" s="94">
        <f t="shared" si="3"/>
        <v>-4.9892330063156562E-2</v>
      </c>
      <c r="AS28" s="93">
        <v>0.53761334450759823</v>
      </c>
      <c r="AT28" s="93">
        <f t="shared" si="4"/>
        <v>0.45397272517118115</v>
      </c>
      <c r="AU28" s="94">
        <f t="shared" si="5"/>
        <v>0.39837852673858043</v>
      </c>
      <c r="AV28" s="94">
        <f t="shared" si="6"/>
        <v>0.32324868680912994</v>
      </c>
      <c r="AW28" s="93">
        <v>0.46378876743152719</v>
      </c>
      <c r="AX28" s="94">
        <f t="shared" si="7"/>
        <v>0.27638089215374195</v>
      </c>
      <c r="AY28" s="94">
        <f t="shared" si="8"/>
        <v>0.10819648813021518</v>
      </c>
      <c r="AZ28" s="105">
        <v>0</v>
      </c>
      <c r="BA28" s="93">
        <v>0.23761013358671779</v>
      </c>
      <c r="BB28" s="93">
        <v>0.26568522733544941</v>
      </c>
      <c r="BC28" s="93">
        <v>2.8075093748731624E-2</v>
      </c>
      <c r="BD28" s="93">
        <v>0.28965851038074747</v>
      </c>
      <c r="BE28" s="93">
        <v>0.91723604801465741</v>
      </c>
      <c r="BF28" s="108">
        <v>0</v>
      </c>
      <c r="BG28" s="93">
        <v>0.63876181743363503</v>
      </c>
      <c r="BH28" s="93">
        <v>0.60126996399584942</v>
      </c>
      <c r="BI28" s="93">
        <v>-3.7491853437785591E-2</v>
      </c>
      <c r="BJ28" s="93">
        <v>0.44126196247685467</v>
      </c>
      <c r="BK28" s="93">
        <v>1.3626145354130486</v>
      </c>
      <c r="BL28" s="108">
        <v>0</v>
      </c>
      <c r="BM28" s="93">
        <v>0.29647029981252243</v>
      </c>
      <c r="BN28" s="93">
        <v>0.16226019972255856</v>
      </c>
      <c r="BO28" s="93">
        <v>-0.13421010008996387</v>
      </c>
      <c r="BP28" s="93">
        <v>0.22879582007882932</v>
      </c>
      <c r="BQ28" s="93">
        <v>0.70919215074232311</v>
      </c>
      <c r="BR28" s="93">
        <v>0</v>
      </c>
      <c r="BS28" s="93">
        <v>0.75535270616877259</v>
      </c>
      <c r="BT28" s="93">
        <v>0.65326858005549282</v>
      </c>
      <c r="BU28" s="93">
        <v>-0.10208412611327974</v>
      </c>
      <c r="BV28" s="93">
        <v>0.71224258251504402</v>
      </c>
      <c r="BW28" s="93">
        <v>0.91719955545018883</v>
      </c>
    </row>
    <row r="29" spans="1:75" s="85" customFormat="1" x14ac:dyDescent="0.2">
      <c r="A29" s="85" t="s">
        <v>682</v>
      </c>
      <c r="B29" s="85">
        <v>69</v>
      </c>
      <c r="C29" s="85">
        <v>15</v>
      </c>
      <c r="D29" s="85">
        <v>9115</v>
      </c>
      <c r="E29" s="111">
        <v>43402</v>
      </c>
      <c r="F29" s="85" t="s">
        <v>683</v>
      </c>
      <c r="G29" s="85">
        <v>1</v>
      </c>
      <c r="H29" s="85">
        <v>5</v>
      </c>
      <c r="I29" s="85">
        <v>40</v>
      </c>
      <c r="J29" s="87">
        <v>7.8141473024361363E-2</v>
      </c>
      <c r="K29" s="87">
        <v>3.5370142287019707E-2</v>
      </c>
      <c r="L29" s="87">
        <v>4.0851797794131992E-2</v>
      </c>
      <c r="M29" s="87">
        <v>0.84563658689448695</v>
      </c>
      <c r="N29" s="87">
        <v>0.10793682275882234</v>
      </c>
      <c r="O29" s="87">
        <v>0.20404140784342265</v>
      </c>
      <c r="P29" s="87">
        <v>-1.8378586822539501E-2</v>
      </c>
      <c r="Q29" s="87">
        <v>1.3298305979933289E-2</v>
      </c>
      <c r="R29" s="88">
        <v>2.6146051719542519E-2</v>
      </c>
      <c r="S29" s="87">
        <v>0.46404148529100608</v>
      </c>
      <c r="T29" s="87">
        <v>0.53595851470899381</v>
      </c>
      <c r="U29" s="87">
        <v>1.0420292931437063</v>
      </c>
      <c r="V29" s="87">
        <v>0.5571886691608765</v>
      </c>
      <c r="W29" s="87">
        <v>0.14294559246568461</v>
      </c>
      <c r="X29" s="87">
        <v>9.2926342638862069E-2</v>
      </c>
      <c r="Y29" s="89">
        <v>0.1161373496216427</v>
      </c>
      <c r="Z29" s="90">
        <v>29454</v>
      </c>
      <c r="AA29" s="90">
        <v>208500</v>
      </c>
      <c r="AB29" s="87">
        <v>0.20404140784342265</v>
      </c>
      <c r="AC29" s="87">
        <v>-1.8378586822539501E-2</v>
      </c>
      <c r="AD29" s="87">
        <v>8.4833517860671226E-2</v>
      </c>
      <c r="AE29" s="100">
        <v>0</v>
      </c>
      <c r="AF29" s="93">
        <v>0.14782111767090861</v>
      </c>
      <c r="AG29" s="93">
        <v>0.20635762012348105</v>
      </c>
      <c r="AH29" s="93">
        <f t="shared" si="0"/>
        <v>0.18021156840393854</v>
      </c>
      <c r="AI29" s="93">
        <f t="shared" si="9"/>
        <v>2.3162122800584051E-3</v>
      </c>
      <c r="AJ29" s="93">
        <f t="shared" si="10"/>
        <v>0.22473620694602056</v>
      </c>
      <c r="AK29" s="115">
        <f t="shared" si="11"/>
        <v>9.0220270501838354E-2</v>
      </c>
      <c r="AL29" s="94">
        <f t="shared" si="12"/>
        <v>6.3412027657796438E-2</v>
      </c>
      <c r="AM29" s="94">
        <f t="shared" si="13"/>
        <v>0.11343127748461898</v>
      </c>
      <c r="AN29" s="94">
        <f t="shared" si="1"/>
        <v>0.12152410226280982</v>
      </c>
      <c r="AO29" s="93">
        <v>5.8536502452572449E-2</v>
      </c>
      <c r="AP29" s="93">
        <f t="shared" si="14"/>
        <v>3.239045073302993E-2</v>
      </c>
      <c r="AQ29" s="94">
        <f t="shared" si="2"/>
        <v>-5.7600847169070254E-2</v>
      </c>
      <c r="AR29" s="94">
        <f t="shared" si="3"/>
        <v>-2.6297015408098784E-2</v>
      </c>
      <c r="AS29" s="93">
        <v>0.26481582061007564</v>
      </c>
      <c r="AT29" s="93">
        <f t="shared" si="4"/>
        <v>0.23866976889053312</v>
      </c>
      <c r="AU29" s="94">
        <f t="shared" si="5"/>
        <v>0.14867847098843295</v>
      </c>
      <c r="AV29" s="94">
        <f t="shared" si="6"/>
        <v>0.17998230274940441</v>
      </c>
      <c r="AW29" s="93">
        <v>0.77924959184115161</v>
      </c>
      <c r="AX29" s="94">
        <f t="shared" si="7"/>
        <v>0.60681462421588539</v>
      </c>
      <c r="AY29" s="94">
        <f t="shared" si="8"/>
        <v>0.67520028584150316</v>
      </c>
      <c r="AZ29" s="105">
        <v>0</v>
      </c>
      <c r="BA29" s="93">
        <v>0.35251079860305073</v>
      </c>
      <c r="BB29" s="93">
        <v>0.36283169260673531</v>
      </c>
      <c r="BC29" s="93">
        <v>1.0320894003684588E-2</v>
      </c>
      <c r="BD29" s="93">
        <v>0.26001036066941347</v>
      </c>
      <c r="BE29" s="93">
        <v>1.3954509030817144</v>
      </c>
      <c r="BF29" s="108">
        <v>0</v>
      </c>
      <c r="BG29" s="93">
        <v>0.41634928213376848</v>
      </c>
      <c r="BH29" s="93">
        <v>0.18265728642194765</v>
      </c>
      <c r="BI29" s="93">
        <v>-0.23369199571182084</v>
      </c>
      <c r="BJ29" s="93">
        <v>0.12817852711600825</v>
      </c>
      <c r="BK29" s="93">
        <v>1.4250225098672984</v>
      </c>
      <c r="BL29" s="108">
        <v>0</v>
      </c>
      <c r="BM29" s="93">
        <v>0.4905085786652062</v>
      </c>
      <c r="BN29" s="93">
        <v>0.62885925772567763</v>
      </c>
      <c r="BO29" s="93">
        <v>0.13835067906047144</v>
      </c>
      <c r="BP29" s="93">
        <v>0.50693605280715415</v>
      </c>
      <c r="BQ29" s="93">
        <v>1.2405100293091698</v>
      </c>
      <c r="BR29" s="93">
        <v>0</v>
      </c>
      <c r="BS29" s="93">
        <v>0.60706330914138684</v>
      </c>
      <c r="BT29" s="93">
        <v>-9.9270875700512295E-2</v>
      </c>
      <c r="BU29" s="93">
        <v>-0.70633418484189914</v>
      </c>
      <c r="BV29" s="93">
        <v>9.3322231415272072E-2</v>
      </c>
      <c r="BW29" s="93">
        <v>-1.0637430566653461</v>
      </c>
    </row>
    <row r="30" spans="1:75" s="85" customFormat="1" x14ac:dyDescent="0.2">
      <c r="A30" s="85" t="s">
        <v>682</v>
      </c>
      <c r="B30" s="85">
        <v>69</v>
      </c>
      <c r="C30" s="85">
        <v>15</v>
      </c>
      <c r="D30" s="85">
        <v>9115</v>
      </c>
      <c r="E30" s="111">
        <v>43402</v>
      </c>
      <c r="F30" s="85" t="s">
        <v>683</v>
      </c>
      <c r="G30" s="85">
        <v>1</v>
      </c>
      <c r="H30" s="85">
        <v>5</v>
      </c>
      <c r="I30" s="85">
        <v>50</v>
      </c>
      <c r="J30" s="87">
        <v>0.12666528806534205</v>
      </c>
      <c r="K30" s="87">
        <v>4.3299236886140867E-2</v>
      </c>
      <c r="L30" s="87">
        <v>9.5411386519388172E-2</v>
      </c>
      <c r="M30" s="87">
        <v>0.73462408852912886</v>
      </c>
      <c r="N30" s="87">
        <v>9.5785059888027629E-2</v>
      </c>
      <c r="O30" s="87">
        <v>0.12332739644185439</v>
      </c>
      <c r="P30" s="87">
        <v>1.7619415478699108E-2</v>
      </c>
      <c r="Q30" s="87">
        <v>-7.0670935884806793E-4</v>
      </c>
      <c r="R30" s="88">
        <v>1.8634551498045007E-2</v>
      </c>
      <c r="S30" s="87">
        <v>0.31215516031207563</v>
      </c>
      <c r="T30" s="87">
        <v>0.68784483968792431</v>
      </c>
      <c r="U30" s="87">
        <v>1.2170033039272454</v>
      </c>
      <c r="V30" s="87">
        <v>0.51160292221744741</v>
      </c>
      <c r="W30" s="87">
        <v>0.12951456490833871</v>
      </c>
      <c r="X30" s="87">
        <v>0.26830929451895724</v>
      </c>
      <c r="Y30" s="89">
        <v>0.2249838034468834</v>
      </c>
      <c r="Z30" s="90">
        <v>35730</v>
      </c>
      <c r="AA30" s="90">
        <v>238100</v>
      </c>
      <c r="AB30" s="87">
        <v>0.12332739644185439</v>
      </c>
      <c r="AC30" s="87">
        <v>1.7619415478699108E-2</v>
      </c>
      <c r="AD30" s="87">
        <v>5.0616707222518681E-2</v>
      </c>
      <c r="AE30" s="100">
        <v>0</v>
      </c>
      <c r="AF30" s="93">
        <v>8.9365822552372784E-2</v>
      </c>
      <c r="AG30" s="93">
        <v>6.2608373382823254E-2</v>
      </c>
      <c r="AH30" s="93">
        <f t="shared" si="0"/>
        <v>4.3973821884778247E-2</v>
      </c>
      <c r="AI30" s="93">
        <f t="shared" si="9"/>
        <v>-6.0719023059031138E-2</v>
      </c>
      <c r="AJ30" s="93">
        <f t="shared" si="10"/>
        <v>4.4988957904124147E-2</v>
      </c>
      <c r="AK30" s="115">
        <f t="shared" si="11"/>
        <v>-0.16237543006406013</v>
      </c>
      <c r="AL30" s="94">
        <f t="shared" si="12"/>
        <v>-6.6906191525515454E-2</v>
      </c>
      <c r="AM30" s="94">
        <f t="shared" si="13"/>
        <v>-0.20570092113613397</v>
      </c>
      <c r="AN30" s="94">
        <f t="shared" si="1"/>
        <v>1.1991666160304573E-2</v>
      </c>
      <c r="AO30" s="93">
        <v>-2.675744916954953E-2</v>
      </c>
      <c r="AP30" s="93">
        <f t="shared" si="14"/>
        <v>-4.5392000667594537E-2</v>
      </c>
      <c r="AQ30" s="94">
        <f t="shared" si="2"/>
        <v>-0.25174125261643293</v>
      </c>
      <c r="AR30" s="94">
        <f t="shared" si="3"/>
        <v>-7.7374156392068211E-2</v>
      </c>
      <c r="AS30" s="93">
        <v>0.2016331244234538</v>
      </c>
      <c r="AT30" s="93">
        <f t="shared" si="4"/>
        <v>0.18299857292540878</v>
      </c>
      <c r="AU30" s="94">
        <f t="shared" si="5"/>
        <v>-2.3350679023429605E-2</v>
      </c>
      <c r="AV30" s="94">
        <f t="shared" si="6"/>
        <v>0.15101641720093512</v>
      </c>
      <c r="AW30" s="93">
        <v>0.31050638907592459</v>
      </c>
      <c r="AX30" s="94">
        <f t="shared" si="7"/>
        <v>6.9537776567925871</v>
      </c>
      <c r="AY30" s="94">
        <f t="shared" si="8"/>
        <v>7.9406374370205354E-2</v>
      </c>
      <c r="AZ30" s="105">
        <v>0</v>
      </c>
      <c r="BA30" s="93">
        <v>0.12315897831528209</v>
      </c>
      <c r="BB30" s="93">
        <v>-3.7479062951330938E-3</v>
      </c>
      <c r="BC30" s="93">
        <v>-0.12690688461041519</v>
      </c>
      <c r="BD30" s="93">
        <v>2.1365079460776343E-2</v>
      </c>
      <c r="BE30" s="93">
        <v>-0.17542206206224453</v>
      </c>
      <c r="BF30" s="108">
        <v>0</v>
      </c>
      <c r="BG30" s="93">
        <v>0.16437234081262217</v>
      </c>
      <c r="BH30" s="93">
        <v>0.12556058415585025</v>
      </c>
      <c r="BI30" s="93">
        <v>-3.8811756656771917E-2</v>
      </c>
      <c r="BJ30" s="93">
        <v>0.17946793257172577</v>
      </c>
      <c r="BK30" s="93">
        <v>0.69962684896739968</v>
      </c>
      <c r="BL30" s="108">
        <v>0</v>
      </c>
      <c r="BM30" s="93">
        <v>0.19314889962925461</v>
      </c>
      <c r="BN30" s="93">
        <v>-8.0085037075140281E-2</v>
      </c>
      <c r="BO30" s="93">
        <v>-0.27323393670439489</v>
      </c>
      <c r="BP30" s="93">
        <v>-8.0996198869385999E-2</v>
      </c>
      <c r="BQ30" s="93">
        <v>0.98875056105145065</v>
      </c>
      <c r="BR30" s="93">
        <v>0</v>
      </c>
      <c r="BS30" s="93">
        <v>0.4039327261100924</v>
      </c>
      <c r="BT30" s="93">
        <v>-5.1129323137444116E-2</v>
      </c>
      <c r="BU30" s="93">
        <v>-0.45506204924753652</v>
      </c>
      <c r="BV30" s="93">
        <v>-0.3597446052556908</v>
      </c>
      <c r="BW30" s="93">
        <v>0.14212672654563818</v>
      </c>
    </row>
    <row r="31" spans="1:75" x14ac:dyDescent="0.2">
      <c r="A31" s="11" t="s">
        <v>682</v>
      </c>
      <c r="B31" s="11">
        <v>90</v>
      </c>
      <c r="C31" s="11">
        <v>19</v>
      </c>
      <c r="D31" s="11">
        <v>9119</v>
      </c>
      <c r="E31" s="112">
        <v>43403</v>
      </c>
      <c r="F31" s="11" t="s">
        <v>683</v>
      </c>
      <c r="G31" s="11">
        <v>1</v>
      </c>
      <c r="H31" s="11">
        <v>6</v>
      </c>
      <c r="I31" s="24">
        <v>5</v>
      </c>
      <c r="J31" s="8">
        <v>2.3733207805049433E-2</v>
      </c>
      <c r="K31" s="8">
        <v>2.8347057721997828E-2</v>
      </c>
      <c r="L31" s="8">
        <v>7.0125901745822977E-2</v>
      </c>
      <c r="M31" s="8">
        <v>0.87779383272712974</v>
      </c>
      <c r="N31" s="8"/>
      <c r="O31" s="8"/>
      <c r="P31" s="8"/>
      <c r="Q31" s="8"/>
      <c r="R31" s="21" t="s">
        <v>503</v>
      </c>
      <c r="S31" s="8"/>
      <c r="T31" s="8"/>
      <c r="U31" s="8">
        <v>0.47495938203688398</v>
      </c>
      <c r="V31" s="8">
        <v>0.32599195944764903</v>
      </c>
      <c r="W31" s="8"/>
      <c r="X31" s="8"/>
      <c r="Y31" s="15"/>
      <c r="Z31" s="5">
        <v>16663</v>
      </c>
      <c r="AA31" s="5">
        <v>186500</v>
      </c>
      <c r="AB31" s="8" t="e">
        <v>#NUM!</v>
      </c>
      <c r="AC31" s="8" t="e">
        <v>#NUM!</v>
      </c>
      <c r="AD31" s="8" t="e">
        <v>#NUM!</v>
      </c>
      <c r="AE31" s="12">
        <v>2</v>
      </c>
      <c r="AF31" s="74" t="e">
        <v>#NUM!</v>
      </c>
      <c r="AG31" s="74" t="e">
        <v>#NUM!</v>
      </c>
      <c r="AH31" s="74" t="e">
        <f t="shared" si="0"/>
        <v>#NUM!</v>
      </c>
      <c r="AI31" s="74" t="e">
        <f t="shared" si="9"/>
        <v>#NUM!</v>
      </c>
      <c r="AJ31" s="74" t="e">
        <f t="shared" si="10"/>
        <v>#NUM!</v>
      </c>
      <c r="AK31" s="116" t="e">
        <f t="shared" si="11"/>
        <v>#NUM!</v>
      </c>
      <c r="AL31" s="83" t="e">
        <f t="shared" si="12"/>
        <v>#NUM!</v>
      </c>
      <c r="AM31" s="83" t="e">
        <f t="shared" si="13"/>
        <v>#NUM!</v>
      </c>
      <c r="AN31" s="83" t="e">
        <f t="shared" si="1"/>
        <v>#NUM!</v>
      </c>
      <c r="AO31" s="74" t="e">
        <v>#NUM!</v>
      </c>
      <c r="AP31" s="74" t="e">
        <f t="shared" si="14"/>
        <v>#NUM!</v>
      </c>
      <c r="AQ31" s="83" t="e">
        <f t="shared" si="2"/>
        <v>#NUM!</v>
      </c>
      <c r="AR31" s="83" t="e">
        <f t="shared" si="3"/>
        <v>#NUM!</v>
      </c>
      <c r="AS31" s="74" t="e">
        <v>#NUM!</v>
      </c>
      <c r="AT31" s="74" t="e">
        <f t="shared" si="4"/>
        <v>#NUM!</v>
      </c>
      <c r="AU31" s="83" t="e">
        <f t="shared" si="5"/>
        <v>#NUM!</v>
      </c>
      <c r="AV31" s="83" t="e">
        <f t="shared" si="6"/>
        <v>#NUM!</v>
      </c>
      <c r="AW31" s="74" t="e">
        <v>#NUM!</v>
      </c>
      <c r="AX31" s="83" t="e">
        <f t="shared" si="7"/>
        <v>#NUM!</v>
      </c>
      <c r="AY31" s="83" t="e">
        <f t="shared" si="8"/>
        <v>#NUM!</v>
      </c>
      <c r="BA31" s="74" t="e">
        <v>#NUM!</v>
      </c>
      <c r="BB31" s="74" t="e">
        <v>#NUM!</v>
      </c>
      <c r="BC31" s="74" t="e">
        <v>#NUM!</v>
      </c>
      <c r="BD31" s="74" t="e">
        <v>#NUM!</v>
      </c>
      <c r="BE31" s="74" t="e">
        <v>#NUM!</v>
      </c>
      <c r="BF31" s="109"/>
      <c r="BG31" s="74" t="e">
        <v>#NUM!</v>
      </c>
      <c r="BH31" s="74" t="e">
        <v>#NUM!</v>
      </c>
      <c r="BI31" s="74" t="e">
        <v>#NUM!</v>
      </c>
      <c r="BJ31" s="74" t="e">
        <v>#NUM!</v>
      </c>
      <c r="BK31" s="74" t="e">
        <v>#NUM!</v>
      </c>
      <c r="BL31" s="109"/>
      <c r="BM31" s="74" t="e">
        <v>#NUM!</v>
      </c>
      <c r="BN31" s="74" t="e">
        <v>#NUM!</v>
      </c>
      <c r="BO31" s="74" t="e">
        <v>#NUM!</v>
      </c>
      <c r="BP31" s="74" t="e">
        <v>#NUM!</v>
      </c>
      <c r="BQ31" s="74" t="e">
        <v>#NUM!</v>
      </c>
      <c r="BR31" s="74"/>
      <c r="BS31" s="74" t="e">
        <v>#NUM!</v>
      </c>
      <c r="BT31" s="74" t="e">
        <v>#NUM!</v>
      </c>
      <c r="BU31" s="74" t="e">
        <v>#NUM!</v>
      </c>
      <c r="BV31" s="74" t="e">
        <v>#NUM!</v>
      </c>
      <c r="BW31" s="74" t="e">
        <v>#NUM!</v>
      </c>
    </row>
    <row r="32" spans="1:75" x14ac:dyDescent="0.2">
      <c r="A32" s="11" t="s">
        <v>682</v>
      </c>
      <c r="B32" s="11">
        <v>90</v>
      </c>
      <c r="C32" s="11">
        <v>19</v>
      </c>
      <c r="D32" s="11">
        <v>9119</v>
      </c>
      <c r="E32" s="112">
        <v>43403</v>
      </c>
      <c r="F32" s="11" t="s">
        <v>683</v>
      </c>
      <c r="G32" s="11">
        <v>1</v>
      </c>
      <c r="H32" s="11">
        <v>6</v>
      </c>
      <c r="I32" s="24">
        <v>12</v>
      </c>
      <c r="J32" s="8">
        <v>4.6050682868465219E-2</v>
      </c>
      <c r="K32" s="8">
        <v>5.2544664311669487E-2</v>
      </c>
      <c r="L32" s="8">
        <v>0.11839165021580356</v>
      </c>
      <c r="M32" s="8">
        <v>0.78301300260406181</v>
      </c>
      <c r="N32" s="8"/>
      <c r="O32" s="8"/>
      <c r="P32" s="8"/>
      <c r="Q32" s="8"/>
      <c r="R32" s="21" t="s">
        <v>503</v>
      </c>
      <c r="S32" s="8"/>
      <c r="T32" s="8"/>
      <c r="U32" s="8">
        <v>0.47802212963218454</v>
      </c>
      <c r="V32" s="8">
        <v>0.29491803278688522</v>
      </c>
      <c r="W32" s="8"/>
      <c r="X32" s="8"/>
      <c r="Y32" s="15"/>
      <c r="Z32" s="5">
        <v>17324</v>
      </c>
      <c r="AA32" s="5">
        <v>179900</v>
      </c>
      <c r="AB32" s="8" t="e">
        <v>#NUM!</v>
      </c>
      <c r="AC32" s="8" t="e">
        <v>#NUM!</v>
      </c>
      <c r="AD32" s="8" t="e">
        <v>#NUM!</v>
      </c>
      <c r="AE32" s="12">
        <v>2</v>
      </c>
      <c r="AF32" s="74" t="e">
        <v>#NUM!</v>
      </c>
      <c r="AG32" s="74" t="e">
        <v>#NUM!</v>
      </c>
      <c r="AH32" s="74" t="e">
        <f t="shared" si="0"/>
        <v>#NUM!</v>
      </c>
      <c r="AI32" s="74" t="e">
        <f t="shared" si="9"/>
        <v>#NUM!</v>
      </c>
      <c r="AJ32" s="74" t="e">
        <f t="shared" si="10"/>
        <v>#NUM!</v>
      </c>
      <c r="AK32" s="116" t="e">
        <f t="shared" si="11"/>
        <v>#NUM!</v>
      </c>
      <c r="AL32" s="83" t="e">
        <f t="shared" si="12"/>
        <v>#NUM!</v>
      </c>
      <c r="AM32" s="83" t="e">
        <f t="shared" si="13"/>
        <v>#NUM!</v>
      </c>
      <c r="AN32" s="83" t="e">
        <f t="shared" si="1"/>
        <v>#NUM!</v>
      </c>
      <c r="AO32" s="74" t="e">
        <v>#NUM!</v>
      </c>
      <c r="AP32" s="74" t="e">
        <f t="shared" si="14"/>
        <v>#NUM!</v>
      </c>
      <c r="AQ32" s="83" t="e">
        <f t="shared" si="2"/>
        <v>#NUM!</v>
      </c>
      <c r="AR32" s="83" t="e">
        <f t="shared" si="3"/>
        <v>#NUM!</v>
      </c>
      <c r="AS32" s="74" t="e">
        <v>#NUM!</v>
      </c>
      <c r="AT32" s="74" t="e">
        <f t="shared" si="4"/>
        <v>#NUM!</v>
      </c>
      <c r="AU32" s="83" t="e">
        <f t="shared" si="5"/>
        <v>#NUM!</v>
      </c>
      <c r="AV32" s="83" t="e">
        <f t="shared" si="6"/>
        <v>#NUM!</v>
      </c>
      <c r="AW32" s="74" t="e">
        <v>#NUM!</v>
      </c>
      <c r="AX32" s="83" t="e">
        <f t="shared" si="7"/>
        <v>#NUM!</v>
      </c>
      <c r="AY32" s="83" t="e">
        <f t="shared" si="8"/>
        <v>#NUM!</v>
      </c>
      <c r="BA32" s="74" t="e">
        <v>#NUM!</v>
      </c>
      <c r="BB32" s="74" t="e">
        <v>#NUM!</v>
      </c>
      <c r="BC32" s="74" t="e">
        <v>#NUM!</v>
      </c>
      <c r="BD32" s="74" t="e">
        <v>#NUM!</v>
      </c>
      <c r="BE32" s="74" t="e">
        <v>#NUM!</v>
      </c>
      <c r="BF32" s="109"/>
      <c r="BG32" s="74" t="e">
        <v>#NUM!</v>
      </c>
      <c r="BH32" s="74" t="e">
        <v>#NUM!</v>
      </c>
      <c r="BI32" s="74" t="e">
        <v>#NUM!</v>
      </c>
      <c r="BJ32" s="74" t="e">
        <v>#NUM!</v>
      </c>
      <c r="BK32" s="74" t="e">
        <v>#NUM!</v>
      </c>
      <c r="BL32" s="109"/>
      <c r="BM32" s="74" t="e">
        <v>#NUM!</v>
      </c>
      <c r="BN32" s="74" t="e">
        <v>#NUM!</v>
      </c>
      <c r="BO32" s="74" t="e">
        <v>#NUM!</v>
      </c>
      <c r="BP32" s="74" t="e">
        <v>#NUM!</v>
      </c>
      <c r="BQ32" s="74" t="e">
        <v>#NUM!</v>
      </c>
      <c r="BR32" s="74"/>
      <c r="BS32" s="74" t="e">
        <v>#NUM!</v>
      </c>
      <c r="BT32" s="74" t="e">
        <v>#NUM!</v>
      </c>
      <c r="BU32" s="74" t="e">
        <v>#NUM!</v>
      </c>
      <c r="BV32" s="74" t="e">
        <v>#NUM!</v>
      </c>
      <c r="BW32" s="74" t="e">
        <v>#NUM!</v>
      </c>
    </row>
    <row r="33" spans="1:75" x14ac:dyDescent="0.2">
      <c r="A33" s="11" t="s">
        <v>682</v>
      </c>
      <c r="B33" s="11">
        <v>90</v>
      </c>
      <c r="C33" s="11">
        <v>19</v>
      </c>
      <c r="D33" s="11">
        <v>9119</v>
      </c>
      <c r="E33" s="112">
        <v>43403</v>
      </c>
      <c r="F33" s="11" t="s">
        <v>683</v>
      </c>
      <c r="G33" s="11">
        <v>1</v>
      </c>
      <c r="H33" s="11">
        <v>6</v>
      </c>
      <c r="I33" s="24">
        <v>20</v>
      </c>
      <c r="J33" s="8">
        <v>6.2380548678492242E-2</v>
      </c>
      <c r="K33" s="8">
        <v>5.5232884394663201E-2</v>
      </c>
      <c r="L33" s="8">
        <v>0.15921882769938867</v>
      </c>
      <c r="M33" s="8">
        <v>0.72316773922745581</v>
      </c>
      <c r="N33" s="8"/>
      <c r="O33" s="5"/>
      <c r="P33" s="5"/>
      <c r="Q33" s="5"/>
      <c r="R33" s="21" t="s">
        <v>503</v>
      </c>
      <c r="S33" s="8"/>
      <c r="T33" s="8"/>
      <c r="U33" s="8">
        <v>0.5741307093943222</v>
      </c>
      <c r="V33" s="8">
        <v>0.28010395610742134</v>
      </c>
      <c r="W33" s="8"/>
      <c r="X33" s="8"/>
      <c r="Y33" s="15"/>
      <c r="Z33" s="5">
        <v>17271</v>
      </c>
      <c r="AA33" s="5">
        <v>194000</v>
      </c>
      <c r="AB33" s="8" t="e">
        <v>#NUM!</v>
      </c>
      <c r="AC33" s="8" t="e">
        <v>#NUM!</v>
      </c>
      <c r="AD33" s="8" t="e">
        <v>#NUM!</v>
      </c>
      <c r="AE33" s="12">
        <v>2</v>
      </c>
      <c r="AF33" s="74" t="e">
        <v>#NUM!</v>
      </c>
      <c r="AG33" s="74" t="e">
        <v>#NUM!</v>
      </c>
      <c r="AH33" s="74" t="e">
        <f t="shared" si="0"/>
        <v>#NUM!</v>
      </c>
      <c r="AI33" s="74" t="e">
        <f t="shared" si="9"/>
        <v>#NUM!</v>
      </c>
      <c r="AJ33" s="74" t="e">
        <f t="shared" si="10"/>
        <v>#NUM!</v>
      </c>
      <c r="AK33" s="116" t="e">
        <f t="shared" si="11"/>
        <v>#NUM!</v>
      </c>
      <c r="AL33" s="83" t="e">
        <f t="shared" si="12"/>
        <v>#NUM!</v>
      </c>
      <c r="AM33" s="83" t="e">
        <f t="shared" si="13"/>
        <v>#NUM!</v>
      </c>
      <c r="AN33" s="83" t="e">
        <f t="shared" si="1"/>
        <v>#NUM!</v>
      </c>
      <c r="AO33" s="74" t="e">
        <v>#NUM!</v>
      </c>
      <c r="AP33" s="74" t="e">
        <f t="shared" si="14"/>
        <v>#NUM!</v>
      </c>
      <c r="AQ33" s="83" t="e">
        <f t="shared" si="2"/>
        <v>#NUM!</v>
      </c>
      <c r="AR33" s="83" t="e">
        <f t="shared" si="3"/>
        <v>#NUM!</v>
      </c>
      <c r="AS33" s="74" t="e">
        <v>#NUM!</v>
      </c>
      <c r="AT33" s="74" t="e">
        <f t="shared" si="4"/>
        <v>#NUM!</v>
      </c>
      <c r="AU33" s="83" t="e">
        <f t="shared" si="5"/>
        <v>#NUM!</v>
      </c>
      <c r="AV33" s="83" t="e">
        <f t="shared" si="6"/>
        <v>#NUM!</v>
      </c>
      <c r="AW33" s="74" t="e">
        <v>#NUM!</v>
      </c>
      <c r="AX33" s="83" t="e">
        <f t="shared" si="7"/>
        <v>#NUM!</v>
      </c>
      <c r="AY33" s="83" t="e">
        <f t="shared" si="8"/>
        <v>#NUM!</v>
      </c>
      <c r="BA33" s="74" t="e">
        <v>#NUM!</v>
      </c>
      <c r="BB33" s="74" t="e">
        <v>#NUM!</v>
      </c>
      <c r="BC33" s="74" t="e">
        <v>#NUM!</v>
      </c>
      <c r="BD33" s="74" t="e">
        <v>#NUM!</v>
      </c>
      <c r="BE33" s="74" t="e">
        <v>#NUM!</v>
      </c>
      <c r="BF33" s="109"/>
      <c r="BG33" s="74" t="e">
        <v>#NUM!</v>
      </c>
      <c r="BH33" s="74" t="e">
        <v>#NUM!</v>
      </c>
      <c r="BI33" s="74" t="e">
        <v>#NUM!</v>
      </c>
      <c r="BJ33" s="74" t="e">
        <v>#NUM!</v>
      </c>
      <c r="BK33" s="74" t="e">
        <v>#NUM!</v>
      </c>
      <c r="BL33" s="109"/>
      <c r="BM33" s="74" t="e">
        <v>#NUM!</v>
      </c>
      <c r="BN33" s="74" t="e">
        <v>#NUM!</v>
      </c>
      <c r="BO33" s="74" t="e">
        <v>#NUM!</v>
      </c>
      <c r="BP33" s="74" t="e">
        <v>#NUM!</v>
      </c>
      <c r="BQ33" s="74" t="e">
        <v>#NUM!</v>
      </c>
      <c r="BR33" s="74"/>
      <c r="BS33" s="74" t="e">
        <v>#NUM!</v>
      </c>
      <c r="BT33" s="74" t="e">
        <v>#NUM!</v>
      </c>
      <c r="BU33" s="74" t="e">
        <v>#NUM!</v>
      </c>
      <c r="BV33" s="74" t="e">
        <v>#NUM!</v>
      </c>
      <c r="BW33" s="74" t="e">
        <v>#NUM!</v>
      </c>
    </row>
    <row r="34" spans="1:75" x14ac:dyDescent="0.2">
      <c r="A34" s="11" t="s">
        <v>682</v>
      </c>
      <c r="B34" s="11">
        <v>90</v>
      </c>
      <c r="C34" s="11">
        <v>19</v>
      </c>
      <c r="D34" s="11">
        <v>9119</v>
      </c>
      <c r="E34" s="112">
        <v>43403</v>
      </c>
      <c r="F34" s="11" t="s">
        <v>683</v>
      </c>
      <c r="G34" s="11">
        <v>1</v>
      </c>
      <c r="H34" s="11">
        <v>6</v>
      </c>
      <c r="I34" s="24">
        <v>30</v>
      </c>
      <c r="J34" s="8">
        <v>0.16785919457888535</v>
      </c>
      <c r="K34" s="8">
        <v>5.7848708278694372E-2</v>
      </c>
      <c r="L34" s="8">
        <v>8.9480930939423484E-2</v>
      </c>
      <c r="M34" s="8">
        <v>0.68481116620299676</v>
      </c>
      <c r="N34" s="8">
        <v>0.26366013553758871</v>
      </c>
      <c r="O34" s="8">
        <v>0.21433355957174366</v>
      </c>
      <c r="P34" s="8">
        <v>0.15484907285035218</v>
      </c>
      <c r="Q34" s="8">
        <v>1.6197874708152246E-2</v>
      </c>
      <c r="R34" s="21">
        <v>8.1605222218555235E-2</v>
      </c>
      <c r="S34" s="8">
        <v>0.39264813642182889</v>
      </c>
      <c r="T34" s="8">
        <v>0.60735186357817117</v>
      </c>
      <c r="U34" s="8">
        <v>0.66746411483253587</v>
      </c>
      <c r="V34" s="8">
        <v>0.35380557648831951</v>
      </c>
      <c r="W34" s="8">
        <v>0.23373710451204863</v>
      </c>
      <c r="X34" s="8">
        <v>0.11984905581343656</v>
      </c>
      <c r="Y34" s="15">
        <v>0.1645669858956651</v>
      </c>
      <c r="Z34" s="5">
        <v>15345</v>
      </c>
      <c r="AA34" s="5">
        <v>187800</v>
      </c>
      <c r="AB34" s="8">
        <v>0.21433355957174366</v>
      </c>
      <c r="AC34" s="8">
        <v>0.15484907285035218</v>
      </c>
      <c r="AD34" s="8">
        <v>0.17820554570751557</v>
      </c>
      <c r="AE34" s="12">
        <v>0</v>
      </c>
      <c r="AF34" s="74">
        <v>7.9840557928300502E-3</v>
      </c>
      <c r="AG34" s="74">
        <v>0.19129131991154366</v>
      </c>
      <c r="AH34" s="74">
        <f t="shared" si="0"/>
        <v>0.10968609769298843</v>
      </c>
      <c r="AI34" s="74">
        <f t="shared" si="9"/>
        <v>-2.3042239660199998E-2</v>
      </c>
      <c r="AJ34" s="74">
        <f t="shared" si="10"/>
        <v>3.6442247061191479E-2</v>
      </c>
      <c r="AK34" s="116">
        <f t="shared" si="11"/>
        <v>2.6724334015878565E-2</v>
      </c>
      <c r="AL34" s="83">
        <f t="shared" si="12"/>
        <v>-4.2445784600504965E-2</v>
      </c>
      <c r="AM34" s="83">
        <f t="shared" si="13"/>
        <v>7.1442264098107097E-2</v>
      </c>
      <c r="AN34" s="83">
        <f t="shared" si="1"/>
        <v>1.3085774204028094E-2</v>
      </c>
      <c r="AO34" s="74">
        <v>0.18330726411871362</v>
      </c>
      <c r="AP34" s="74">
        <f t="shared" si="14"/>
        <v>0.10170204190015837</v>
      </c>
      <c r="AQ34" s="83">
        <f t="shared" si="2"/>
        <v>1.8740278223048516E-2</v>
      </c>
      <c r="AR34" s="83">
        <f t="shared" si="3"/>
        <v>5.1017184111980442E-3</v>
      </c>
      <c r="AS34" s="74">
        <v>0.50390627405624566</v>
      </c>
      <c r="AT34" s="74">
        <f t="shared" si="4"/>
        <v>0.4223010518376904</v>
      </c>
      <c r="AU34" s="83">
        <f t="shared" si="5"/>
        <v>0.33933928816058057</v>
      </c>
      <c r="AV34" s="83">
        <f t="shared" si="6"/>
        <v>0.3257007283487301</v>
      </c>
      <c r="AW34" s="74">
        <v>0.37961686480250462</v>
      </c>
      <c r="AX34" s="83">
        <f t="shared" si="7"/>
        <v>7.8754022738540666E-2</v>
      </c>
      <c r="AY34" s="83">
        <f t="shared" si="8"/>
        <v>4.0177294875487851E-2</v>
      </c>
      <c r="AZ34" s="102">
        <v>0</v>
      </c>
      <c r="BA34" s="74">
        <v>0.23422724707993847</v>
      </c>
      <c r="BB34" s="74">
        <v>0.4878606818903905</v>
      </c>
      <c r="BC34" s="74">
        <v>0.25363343481045203</v>
      </c>
      <c r="BD34" s="74">
        <v>0.39763572688058824</v>
      </c>
      <c r="BE34" s="74">
        <v>1.2269035423894323</v>
      </c>
      <c r="BF34" s="109">
        <v>0</v>
      </c>
      <c r="BG34" s="74">
        <v>0.33592916219967134</v>
      </c>
      <c r="BH34" s="74">
        <v>0.48705014659829771</v>
      </c>
      <c r="BI34" s="74">
        <v>0.1511209843986264</v>
      </c>
      <c r="BJ34" s="74">
        <v>0.43214089151908475</v>
      </c>
      <c r="BK34" s="74">
        <v>1.12706331698024</v>
      </c>
      <c r="BL34" s="109">
        <v>0</v>
      </c>
      <c r="BM34" s="74">
        <v>0.5523835956311246</v>
      </c>
      <c r="BN34" s="74">
        <v>0.48779228872458447</v>
      </c>
      <c r="BO34" s="74">
        <v>-6.4591306906540136E-2</v>
      </c>
      <c r="BP34" s="74">
        <v>0.29664814331545086</v>
      </c>
      <c r="BQ34" s="74">
        <v>1.6443463399866083</v>
      </c>
      <c r="BR34" s="74">
        <v>0</v>
      </c>
      <c r="BS34" s="74">
        <v>0.23360545203345406</v>
      </c>
      <c r="BT34" s="74">
        <v>0.40496370403013915</v>
      </c>
      <c r="BU34" s="74">
        <v>0.17135825199668511</v>
      </c>
      <c r="BV34" s="74">
        <v>0.3272149511557616</v>
      </c>
      <c r="BW34" s="74">
        <v>1.2376075805819993</v>
      </c>
    </row>
    <row r="35" spans="1:75" x14ac:dyDescent="0.2">
      <c r="A35" s="11" t="s">
        <v>682</v>
      </c>
      <c r="B35" s="11">
        <v>90</v>
      </c>
      <c r="C35" s="11">
        <v>19</v>
      </c>
      <c r="D35" s="11">
        <v>9119</v>
      </c>
      <c r="E35" s="112">
        <v>43403</v>
      </c>
      <c r="F35" s="11" t="s">
        <v>683</v>
      </c>
      <c r="G35" s="11">
        <v>1</v>
      </c>
      <c r="H35" s="11">
        <v>6</v>
      </c>
      <c r="I35" s="24">
        <v>40</v>
      </c>
      <c r="J35" s="8">
        <v>0.27466274773682936</v>
      </c>
      <c r="K35" s="8">
        <v>0.11016401160754213</v>
      </c>
      <c r="L35" s="8">
        <v>8.6800758744893167E-2</v>
      </c>
      <c r="M35" s="8">
        <v>0.52837248191073538</v>
      </c>
      <c r="N35" s="8">
        <v>0.19279684512332726</v>
      </c>
      <c r="O35" s="8">
        <v>0.1233725590660376</v>
      </c>
      <c r="P35" s="8">
        <v>0.10030639797747219</v>
      </c>
      <c r="Q35" s="8">
        <v>-6.2266795170998514E-3</v>
      </c>
      <c r="R35" s="21">
        <v>7.1961992606467143E-2</v>
      </c>
      <c r="S35" s="8">
        <v>0.55930820222531263</v>
      </c>
      <c r="T35" s="8">
        <v>0.44069179777468742</v>
      </c>
      <c r="U35" s="8">
        <v>0.94773381497996279</v>
      </c>
      <c r="V35" s="8">
        <v>0.43420459666516448</v>
      </c>
      <c r="W35" s="8">
        <v>9.9155385074993344E-2</v>
      </c>
      <c r="X35" s="8">
        <v>9.4508146893592077E-2</v>
      </c>
      <c r="Y35" s="15">
        <v>9.7107385326144463E-2</v>
      </c>
      <c r="Z35" s="5">
        <v>16791</v>
      </c>
      <c r="AA35" s="5">
        <v>192700</v>
      </c>
      <c r="AB35" s="8">
        <v>0.1233725590660376</v>
      </c>
      <c r="AC35" s="8">
        <v>0.10030639797747219</v>
      </c>
      <c r="AD35" s="8">
        <v>0.11320749106815717</v>
      </c>
      <c r="AE35" s="12">
        <v>0</v>
      </c>
      <c r="AF35" s="74">
        <v>1.1653536649678891</v>
      </c>
      <c r="AG35" s="74">
        <v>1.4279358180951371</v>
      </c>
      <c r="AH35" s="74">
        <f t="shared" si="0"/>
        <v>1.35597382548867</v>
      </c>
      <c r="AI35" s="74">
        <f t="shared" si="9"/>
        <v>1.3045632590290996</v>
      </c>
      <c r="AJ35" s="74">
        <f t="shared" si="10"/>
        <v>1.327629420117665</v>
      </c>
      <c r="AK35" s="116">
        <f t="shared" si="11"/>
        <v>1.3308284327689928</v>
      </c>
      <c r="AL35" s="83">
        <f t="shared" si="12"/>
        <v>1.3287804330201438</v>
      </c>
      <c r="AM35" s="83">
        <f t="shared" si="13"/>
        <v>1.3334276712015452</v>
      </c>
      <c r="AN35" s="83">
        <f t="shared" si="1"/>
        <v>1.3147283270269801</v>
      </c>
      <c r="AO35" s="74">
        <v>-9.3730259542532774</v>
      </c>
      <c r="AP35" s="74">
        <f t="shared" si="14"/>
        <v>0.1906201605207809</v>
      </c>
      <c r="AQ35" s="83">
        <f t="shared" si="2"/>
        <v>0.16547476780110371</v>
      </c>
      <c r="AR35" s="83">
        <f t="shared" si="3"/>
        <v>0.149374662059091</v>
      </c>
      <c r="AS35" s="74">
        <v>1.4279358180951371</v>
      </c>
      <c r="AT35" s="74">
        <f t="shared" si="4"/>
        <v>1.35597382548867</v>
      </c>
      <c r="AU35" s="83">
        <f t="shared" si="5"/>
        <v>1.3308284327689928</v>
      </c>
      <c r="AV35" s="83">
        <f t="shared" si="6"/>
        <v>1.3147283270269801</v>
      </c>
      <c r="AW35" s="74">
        <v>1</v>
      </c>
      <c r="AX35" s="83">
        <f t="shared" si="7"/>
        <v>1</v>
      </c>
      <c r="AY35" s="83">
        <f t="shared" si="8"/>
        <v>1</v>
      </c>
      <c r="AZ35" s="102">
        <v>0</v>
      </c>
      <c r="BA35" s="74">
        <v>0.21994091594181442</v>
      </c>
      <c r="BB35" s="74">
        <v>9.3821902276187558E-2</v>
      </c>
      <c r="BC35" s="74">
        <v>-0.12611901366562686</v>
      </c>
      <c r="BD35" s="74">
        <v>0.11563678765333937</v>
      </c>
      <c r="BE35" s="74">
        <v>0.81134995342010574</v>
      </c>
      <c r="BF35" s="109">
        <v>0</v>
      </c>
      <c r="BG35" s="74">
        <v>0.31190734479224524</v>
      </c>
      <c r="BH35" s="74">
        <v>3.2788722712212948E-2</v>
      </c>
      <c r="BI35" s="74">
        <v>-0.2791186220800323</v>
      </c>
      <c r="BJ35" s="74">
        <v>0.11551586629747199</v>
      </c>
      <c r="BK35" s="74">
        <v>0.28384605304155103</v>
      </c>
      <c r="BL35" s="109">
        <v>0</v>
      </c>
      <c r="BM35" s="74">
        <v>0.49260622744684196</v>
      </c>
      <c r="BN35" s="74">
        <v>0.26852998525202343</v>
      </c>
      <c r="BO35" s="74">
        <v>-0.22407624219481853</v>
      </c>
      <c r="BP35" s="74">
        <v>0.23532535375358343</v>
      </c>
      <c r="BQ35" s="74">
        <v>1.1411009522297781</v>
      </c>
      <c r="BR35" s="74">
        <v>0</v>
      </c>
      <c r="BS35" s="74">
        <v>0.72090478255422896</v>
      </c>
      <c r="BT35" s="74">
        <v>0.50914655346514459</v>
      </c>
      <c r="BU35" s="74">
        <v>-0.21175822908908437</v>
      </c>
      <c r="BV35" s="74">
        <v>0.44082730948766741</v>
      </c>
      <c r="BW35" s="74">
        <v>1.1549796088107116</v>
      </c>
    </row>
    <row r="36" spans="1:75" x14ac:dyDescent="0.2">
      <c r="A36" s="11" t="s">
        <v>682</v>
      </c>
      <c r="B36" s="11">
        <v>90</v>
      </c>
      <c r="C36" s="11">
        <v>19</v>
      </c>
      <c r="D36" s="11">
        <v>9119</v>
      </c>
      <c r="E36" s="112">
        <v>43403</v>
      </c>
      <c r="F36" s="11" t="s">
        <v>683</v>
      </c>
      <c r="G36" s="11">
        <v>1</v>
      </c>
      <c r="H36" s="11">
        <v>6</v>
      </c>
      <c r="I36" s="24">
        <v>50</v>
      </c>
      <c r="J36" s="8">
        <v>0.26392297191953079</v>
      </c>
      <c r="K36" s="8">
        <v>0.11662349525113651</v>
      </c>
      <c r="L36" s="8">
        <v>0.10923219590982573</v>
      </c>
      <c r="M36" s="8">
        <v>0.51022133691950688</v>
      </c>
      <c r="N36" s="8">
        <v>-1.2888724251040738E-2</v>
      </c>
      <c r="O36" s="8">
        <v>-0.1981152866627672</v>
      </c>
      <c r="P36" s="8">
        <v>-6.2429031701637019E-3</v>
      </c>
      <c r="Q36" s="8">
        <v>-4.7193269001553524E-3</v>
      </c>
      <c r="R36" s="21">
        <v>-2.9596354904365633E-2</v>
      </c>
      <c r="S36" s="8">
        <v>0.51636288043776402</v>
      </c>
      <c r="T36" s="8">
        <v>0.48363711956223593</v>
      </c>
      <c r="U36" s="8">
        <v>1.213052790726975</v>
      </c>
      <c r="V36" s="8">
        <v>0.56306081754735793</v>
      </c>
      <c r="W36" s="8">
        <v>-5.6481108542752116E-2</v>
      </c>
      <c r="X36" s="8">
        <v>-1.6439616238300717E-2</v>
      </c>
      <c r="Y36" s="15">
        <v>-3.7115556541653799E-2</v>
      </c>
      <c r="Z36" s="5">
        <v>28884</v>
      </c>
      <c r="AA36" s="5">
        <v>225900</v>
      </c>
      <c r="AB36" s="8">
        <v>-0.1981152866627672</v>
      </c>
      <c r="AC36" s="8">
        <v>-6.2429031701637019E-3</v>
      </c>
      <c r="AD36" s="8">
        <v>-0.10531867978686373</v>
      </c>
      <c r="AE36" s="12">
        <v>2</v>
      </c>
      <c r="AF36" s="79">
        <v>-6.062492792258503</v>
      </c>
      <c r="AG36" s="79">
        <v>-6.0881718066761943</v>
      </c>
      <c r="AH36" s="79">
        <f t="shared" si="0"/>
        <v>-6.0585754517718282</v>
      </c>
      <c r="AI36" s="79">
        <f t="shared" si="9"/>
        <v>-5.8900565200134274</v>
      </c>
      <c r="AJ36" s="79">
        <f t="shared" si="10"/>
        <v>-6.0819289035060304</v>
      </c>
      <c r="AK36" s="118">
        <f t="shared" si="11"/>
        <v>-6.0510562501345406</v>
      </c>
      <c r="AL36" s="84">
        <f t="shared" si="12"/>
        <v>-6.0316906981334419</v>
      </c>
      <c r="AM36" s="84">
        <f t="shared" si="13"/>
        <v>-6.0717321904378938</v>
      </c>
      <c r="AN36" s="84">
        <f t="shared" si="1"/>
        <v>-5.9828531268893306</v>
      </c>
      <c r="AO36" s="79">
        <v>-2.5679014417691048E-2</v>
      </c>
      <c r="AP36" s="79">
        <f t="shared" si="14"/>
        <v>3.9173404866748029E-3</v>
      </c>
      <c r="AQ36" s="84">
        <f t="shared" si="2"/>
        <v>1.143654212396239E-2</v>
      </c>
      <c r="AR36" s="84">
        <f t="shared" si="3"/>
        <v>7.9639665369172441E-2</v>
      </c>
      <c r="AS36" s="79">
        <v>-5.9506743010467282</v>
      </c>
      <c r="AT36" s="79">
        <f t="shared" si="4"/>
        <v>-5.9210779461423622</v>
      </c>
      <c r="AU36" s="84">
        <f t="shared" si="5"/>
        <v>-5.9135587445050746</v>
      </c>
      <c r="AV36" s="84">
        <f t="shared" si="6"/>
        <v>-5.8453556212598645</v>
      </c>
      <c r="AW36" s="79">
        <v>1.0231062058975871</v>
      </c>
      <c r="AX36" s="84">
        <f t="shared" si="7"/>
        <v>1.0232512285021655</v>
      </c>
      <c r="AY36" s="84">
        <f t="shared" si="8"/>
        <v>1.0235225219025821</v>
      </c>
      <c r="AZ36" s="107">
        <v>0</v>
      </c>
      <c r="BA36" s="74">
        <v>-0.17501605376054011</v>
      </c>
      <c r="BB36" s="74">
        <v>-0.15757590134959198</v>
      </c>
      <c r="BC36" s="74">
        <v>1.7440152410948116E-2</v>
      </c>
      <c r="BD36" s="74">
        <v>1.2498590385538189E-2</v>
      </c>
      <c r="BE36" s="74">
        <v>-12.607493844419382</v>
      </c>
      <c r="BF36" s="109">
        <v>0</v>
      </c>
      <c r="BG36" s="74">
        <v>-3.131225876940056E-2</v>
      </c>
      <c r="BH36" s="74">
        <v>-0.26045225220227952</v>
      </c>
      <c r="BI36" s="74">
        <v>-0.22913999343287897</v>
      </c>
      <c r="BJ36" s="74">
        <v>5.8558547604726577E-3</v>
      </c>
      <c r="BK36" s="74">
        <v>-44.477239080509065</v>
      </c>
      <c r="BL36" s="109">
        <v>0</v>
      </c>
      <c r="BM36" s="74">
        <v>0.89206617197451321</v>
      </c>
      <c r="BN36" s="74">
        <v>0.4771797290379583</v>
      </c>
      <c r="BO36" s="74">
        <v>-0.41488644293655491</v>
      </c>
      <c r="BP36" s="74">
        <v>0.4992468230666367</v>
      </c>
      <c r="BQ36" s="74">
        <v>0.9557992299417537</v>
      </c>
      <c r="BR36" s="74">
        <v>1</v>
      </c>
      <c r="BS36" s="74">
        <v>-0.1501888482079532</v>
      </c>
      <c r="BT36" s="74">
        <v>0.13166230393303446</v>
      </c>
      <c r="BU36" s="74">
        <v>0.28185115214098766</v>
      </c>
      <c r="BV36" s="74">
        <v>0.15249639083587657</v>
      </c>
      <c r="BW36" s="74">
        <v>0.86337980336029929</v>
      </c>
    </row>
    <row r="37" spans="1:75" s="85" customFormat="1" x14ac:dyDescent="0.2">
      <c r="A37" s="85" t="s">
        <v>682</v>
      </c>
      <c r="B37" s="85">
        <v>137</v>
      </c>
      <c r="C37" s="85">
        <v>25</v>
      </c>
      <c r="D37" s="85">
        <v>9125</v>
      </c>
      <c r="E37" s="111">
        <v>43406</v>
      </c>
      <c r="F37" s="85" t="s">
        <v>683</v>
      </c>
      <c r="G37" s="85">
        <v>2</v>
      </c>
      <c r="H37" s="85">
        <v>7</v>
      </c>
      <c r="I37" s="85">
        <v>5</v>
      </c>
      <c r="J37" s="87"/>
      <c r="K37" s="87"/>
      <c r="L37" s="87"/>
      <c r="M37" s="87"/>
      <c r="N37" s="87"/>
      <c r="O37" s="87"/>
      <c r="P37" s="87"/>
      <c r="Q37" s="87"/>
      <c r="R37" s="88">
        <v>-2.0411979642510625E-3</v>
      </c>
      <c r="S37" s="87">
        <v>5.0483551065375665E-2</v>
      </c>
      <c r="T37" s="87">
        <v>0.92409198243822177</v>
      </c>
      <c r="U37" s="87">
        <v>0.344659839063643</v>
      </c>
      <c r="V37" s="87">
        <v>0.29554339327599688</v>
      </c>
      <c r="W37" s="87">
        <v>-4.6446269146060384E-2</v>
      </c>
      <c r="X37" s="87">
        <v>1.1152451415297984E-2</v>
      </c>
      <c r="Y37" s="87">
        <v>3.4592779341101132E-3</v>
      </c>
      <c r="Z37" s="90">
        <v>47115</v>
      </c>
      <c r="AA37" s="90">
        <v>226800</v>
      </c>
      <c r="AB37" s="87">
        <v>1.5262261459324486E-2</v>
      </c>
      <c r="AC37" s="87">
        <v>-2.4511122755248173E-2</v>
      </c>
      <c r="AD37" s="89">
        <v>-2.1699195077664376E-2</v>
      </c>
      <c r="AE37" s="100">
        <v>0</v>
      </c>
      <c r="AF37" s="93">
        <v>0.16843419216382868</v>
      </c>
      <c r="AG37" s="93">
        <v>0.20925618668408411</v>
      </c>
      <c r="AH37" s="93">
        <f t="shared" si="0"/>
        <v>0.21129738464833517</v>
      </c>
      <c r="AI37" s="93">
        <f t="shared" si="9"/>
        <v>0.19399392522475961</v>
      </c>
      <c r="AJ37" s="93">
        <f t="shared" si="10"/>
        <v>0.23376730943933227</v>
      </c>
      <c r="AK37" s="115">
        <f t="shared" si="11"/>
        <v>0.205796908749974</v>
      </c>
      <c r="AL37" s="94">
        <f t="shared" si="12"/>
        <v>0.2557024558301445</v>
      </c>
      <c r="AM37" s="94">
        <f t="shared" si="13"/>
        <v>0.19810373526878611</v>
      </c>
      <c r="AN37" s="94">
        <f t="shared" si="1"/>
        <v>0.23095538176174848</v>
      </c>
      <c r="AO37" s="93">
        <v>4.0821994520255415E-2</v>
      </c>
      <c r="AP37" s="93">
        <f t="shared" si="14"/>
        <v>4.2863192484506485E-2</v>
      </c>
      <c r="AQ37" s="94">
        <f t="shared" si="2"/>
        <v>3.7362716586145317E-2</v>
      </c>
      <c r="AR37" s="94">
        <f t="shared" si="3"/>
        <v>6.2521189597919802E-2</v>
      </c>
      <c r="AS37" s="93">
        <v>0.55709218195561161</v>
      </c>
      <c r="AT37" s="93">
        <f t="shared" si="4"/>
        <v>0.55913337991986267</v>
      </c>
      <c r="AU37" s="94">
        <f t="shared" si="5"/>
        <v>0.55363290402150145</v>
      </c>
      <c r="AV37" s="94">
        <f t="shared" si="6"/>
        <v>0.57879137703327599</v>
      </c>
      <c r="AW37" s="93">
        <v>0.37562219227258403</v>
      </c>
      <c r="AX37" s="94">
        <f t="shared" si="7"/>
        <v>0.37172087723669955</v>
      </c>
      <c r="AY37" s="94">
        <f t="shared" si="8"/>
        <v>0.39903044676574434</v>
      </c>
      <c r="AZ37" s="105">
        <v>0</v>
      </c>
      <c r="BA37" s="93">
        <v>0.94168558468722496</v>
      </c>
      <c r="BB37" s="93">
        <v>1.1675444511011921</v>
      </c>
      <c r="BC37" s="93">
        <v>0.22585886641396721</v>
      </c>
      <c r="BD37" s="93">
        <v>1.0224372420994854</v>
      </c>
      <c r="BE37" s="93">
        <v>1.1419228516204494</v>
      </c>
      <c r="BF37" s="108">
        <v>0</v>
      </c>
      <c r="BG37" s="93">
        <v>0.83460620490090653</v>
      </c>
      <c r="BH37" s="93">
        <v>1.003298354949925</v>
      </c>
      <c r="BI37" s="93">
        <v>0.16869215004901847</v>
      </c>
      <c r="BJ37" s="93">
        <v>0.88436282667934052</v>
      </c>
      <c r="BK37" s="93">
        <v>1.1344872541931357</v>
      </c>
      <c r="BL37" s="108">
        <v>0</v>
      </c>
      <c r="BM37" s="93">
        <v>0.73258727985836047</v>
      </c>
      <c r="BN37" s="93">
        <v>0.93439939765651259</v>
      </c>
      <c r="BO37" s="93">
        <v>0.20181211779815211</v>
      </c>
      <c r="BP37" s="93">
        <v>0.68893464970062368</v>
      </c>
      <c r="BQ37" s="93">
        <v>1.3562961277423853</v>
      </c>
      <c r="BR37" s="93">
        <v>0</v>
      </c>
      <c r="BS37" s="93">
        <v>0.38357609660237463</v>
      </c>
      <c r="BT37" s="93">
        <v>0.70241333683395113</v>
      </c>
      <c r="BU37" s="93">
        <v>0.3188372402315765</v>
      </c>
      <c r="BV37" s="93">
        <v>0.50276461386749294</v>
      </c>
      <c r="BW37" s="93">
        <v>1.3971017797586625</v>
      </c>
    </row>
    <row r="38" spans="1:75" s="85" customFormat="1" x14ac:dyDescent="0.2">
      <c r="A38" s="85" t="s">
        <v>682</v>
      </c>
      <c r="B38" s="85">
        <v>137</v>
      </c>
      <c r="C38" s="85">
        <v>25</v>
      </c>
      <c r="D38" s="85">
        <v>9125</v>
      </c>
      <c r="E38" s="111">
        <v>43406</v>
      </c>
      <c r="F38" s="85" t="s">
        <v>683</v>
      </c>
      <c r="G38" s="85">
        <v>2</v>
      </c>
      <c r="H38" s="85">
        <v>7</v>
      </c>
      <c r="I38" s="85">
        <v>12</v>
      </c>
      <c r="J38" s="87"/>
      <c r="K38" s="87"/>
      <c r="L38" s="87"/>
      <c r="M38" s="87"/>
      <c r="N38" s="87"/>
      <c r="O38" s="87"/>
      <c r="P38" s="87"/>
      <c r="Q38" s="87"/>
      <c r="R38" s="88">
        <v>-1.9013408944926599E-3</v>
      </c>
      <c r="S38" s="87">
        <v>5.6665427149173414E-2</v>
      </c>
      <c r="T38" s="87">
        <v>0.91274538714868636</v>
      </c>
      <c r="U38" s="87">
        <v>0.34876608629825889</v>
      </c>
      <c r="V38" s="87">
        <v>0.31325470373490594</v>
      </c>
      <c r="W38" s="87">
        <v>5.3361277654229251E-3</v>
      </c>
      <c r="X38" s="87">
        <v>5.1064484359212162E-3</v>
      </c>
      <c r="Y38" s="87">
        <v>1.971681829725657E-3</v>
      </c>
      <c r="Z38" s="90">
        <v>46072</v>
      </c>
      <c r="AA38" s="90">
        <v>223100</v>
      </c>
      <c r="AB38" s="87">
        <v>5.3579871288119786E-2</v>
      </c>
      <c r="AC38" s="87">
        <v>6.2266744050679711E-3</v>
      </c>
      <c r="AD38" s="89">
        <v>8.9592490433262131E-3</v>
      </c>
      <c r="AE38" s="100">
        <v>0</v>
      </c>
      <c r="AF38" s="93">
        <v>0.3499475395400598</v>
      </c>
      <c r="AG38" s="93">
        <v>1.2075722564423685E-2</v>
      </c>
      <c r="AH38" s="93">
        <f t="shared" si="0"/>
        <v>1.3977063458916346E-2</v>
      </c>
      <c r="AI38" s="93">
        <f t="shared" si="9"/>
        <v>-4.1504148723696101E-2</v>
      </c>
      <c r="AJ38" s="93">
        <f t="shared" si="10"/>
        <v>5.8490481593557143E-3</v>
      </c>
      <c r="AK38" s="115">
        <f t="shared" si="11"/>
        <v>1.0104040734698028E-2</v>
      </c>
      <c r="AL38" s="94">
        <f t="shared" si="12"/>
        <v>6.7395947990007603E-3</v>
      </c>
      <c r="AM38" s="94">
        <f t="shared" si="13"/>
        <v>6.9692741285024692E-3</v>
      </c>
      <c r="AN38" s="94">
        <f t="shared" si="1"/>
        <v>3.1164735210974723E-3</v>
      </c>
      <c r="AO38" s="93">
        <v>-0.33787181697563612</v>
      </c>
      <c r="AP38" s="93">
        <f t="shared" si="14"/>
        <v>-0.33597047608114344</v>
      </c>
      <c r="AQ38" s="94">
        <f t="shared" si="2"/>
        <v>-0.3398434988053618</v>
      </c>
      <c r="AR38" s="94">
        <f t="shared" si="3"/>
        <v>-0.34683106601896235</v>
      </c>
      <c r="AS38" s="93">
        <v>0.27745203750190606</v>
      </c>
      <c r="AT38" s="93">
        <f t="shared" si="4"/>
        <v>0.27935337839639873</v>
      </c>
      <c r="AU38" s="94">
        <f t="shared" si="5"/>
        <v>0.27548035567218038</v>
      </c>
      <c r="AV38" s="94">
        <f t="shared" si="6"/>
        <v>0.26849278845857982</v>
      </c>
      <c r="AW38" s="93">
        <v>4.3523639880787418E-2</v>
      </c>
      <c r="AX38" s="94">
        <f t="shared" si="7"/>
        <v>3.6677899264518747E-2</v>
      </c>
      <c r="AY38" s="94">
        <f t="shared" si="8"/>
        <v>1.1607289488068497E-2</v>
      </c>
      <c r="AZ38" s="105">
        <v>0</v>
      </c>
      <c r="BA38" s="93">
        <v>0.44808124536012683</v>
      </c>
      <c r="BB38" s="93">
        <v>0.57305465629698227</v>
      </c>
      <c r="BC38" s="93">
        <v>0.12497341093685539</v>
      </c>
      <c r="BD38" s="93">
        <v>0.4756009650197332</v>
      </c>
      <c r="BE38" s="93">
        <v>1.2049064203921571</v>
      </c>
      <c r="BF38" s="108">
        <v>0</v>
      </c>
      <c r="BG38" s="93">
        <v>0.54523806093122296</v>
      </c>
      <c r="BH38" s="93">
        <v>0.65499070425135586</v>
      </c>
      <c r="BI38" s="93">
        <v>0.10975264332013296</v>
      </c>
      <c r="BJ38" s="93">
        <v>0.57811862712934259</v>
      </c>
      <c r="BK38" s="93">
        <v>1.1329693829512515</v>
      </c>
      <c r="BL38" s="108">
        <v>0</v>
      </c>
      <c r="BM38" s="93">
        <v>0.54666153795701922</v>
      </c>
      <c r="BN38" s="93">
        <v>0.65805477551463176</v>
      </c>
      <c r="BO38" s="93">
        <v>0.11139323755761252</v>
      </c>
      <c r="BP38" s="93">
        <v>0.4794868487891264</v>
      </c>
      <c r="BQ38" s="93">
        <v>1.3724146494871599</v>
      </c>
      <c r="BR38" s="93">
        <v>0</v>
      </c>
      <c r="BS38" s="93">
        <v>0.75319046004835533</v>
      </c>
      <c r="BT38" s="93">
        <v>0.70800823725512241</v>
      </c>
      <c r="BU38" s="93">
        <v>-4.5182222793232911E-2</v>
      </c>
      <c r="BV38" s="93">
        <v>0.61101597126781271</v>
      </c>
      <c r="BW38" s="93">
        <v>1.1587393301455902</v>
      </c>
    </row>
    <row r="39" spans="1:75" s="85" customFormat="1" x14ac:dyDescent="0.2">
      <c r="A39" s="85" t="s">
        <v>682</v>
      </c>
      <c r="B39" s="85">
        <v>137</v>
      </c>
      <c r="C39" s="85">
        <v>25</v>
      </c>
      <c r="D39" s="85">
        <v>9125</v>
      </c>
      <c r="E39" s="111">
        <v>43406</v>
      </c>
      <c r="F39" s="85" t="s">
        <v>683</v>
      </c>
      <c r="G39" s="85">
        <v>2</v>
      </c>
      <c r="H39" s="85">
        <v>7</v>
      </c>
      <c r="I39" s="85">
        <v>20</v>
      </c>
      <c r="J39" s="87"/>
      <c r="K39" s="87"/>
      <c r="L39" s="87"/>
      <c r="M39" s="87"/>
      <c r="N39" s="87"/>
      <c r="O39" s="87"/>
      <c r="P39" s="87"/>
      <c r="Q39" s="87"/>
      <c r="R39" s="88">
        <v>6.3187933896820779E-3</v>
      </c>
      <c r="S39" s="87">
        <v>6.1434105390334018E-2</v>
      </c>
      <c r="T39" s="87">
        <v>0.90582851188841906</v>
      </c>
      <c r="U39" s="87">
        <v>0.35043283582089552</v>
      </c>
      <c r="V39" s="87">
        <v>0.32089443879773488</v>
      </c>
      <c r="W39" s="87">
        <v>2.8083296217216967E-2</v>
      </c>
      <c r="X39" s="87">
        <v>6.3933901597729246E-3</v>
      </c>
      <c r="Y39" s="87">
        <v>6.054623084262814E-3</v>
      </c>
      <c r="Z39" s="90">
        <v>46958</v>
      </c>
      <c r="AA39" s="90">
        <v>221000</v>
      </c>
      <c r="AB39" s="87">
        <v>0.15735781503616794</v>
      </c>
      <c r="AC39" s="87">
        <v>7.2702810551018071E-2</v>
      </c>
      <c r="AD39" s="89">
        <v>7.8119547863086239E-2</v>
      </c>
      <c r="AE39" s="100">
        <v>0</v>
      </c>
      <c r="AF39" s="93">
        <v>0.60408905281839709</v>
      </c>
      <c r="AG39" s="93">
        <v>0.7168845469637416</v>
      </c>
      <c r="AH39" s="93">
        <f t="shared" si="0"/>
        <v>0.71056575357405949</v>
      </c>
      <c r="AI39" s="93">
        <f t="shared" si="9"/>
        <v>0.55952673192757363</v>
      </c>
      <c r="AJ39" s="93">
        <f t="shared" si="10"/>
        <v>0.64418173641272358</v>
      </c>
      <c r="AK39" s="115">
        <f t="shared" si="11"/>
        <v>0.71082992387947874</v>
      </c>
      <c r="AL39" s="94">
        <f t="shared" si="12"/>
        <v>0.68880125074652465</v>
      </c>
      <c r="AM39" s="94">
        <f t="shared" si="13"/>
        <v>0.71049115680396868</v>
      </c>
      <c r="AN39" s="94">
        <f t="shared" si="1"/>
        <v>0.63876499910065532</v>
      </c>
      <c r="AO39" s="93">
        <v>0.1127954941453445</v>
      </c>
      <c r="AP39" s="93">
        <f t="shared" si="14"/>
        <v>0.1064767007556624</v>
      </c>
      <c r="AQ39" s="94">
        <f t="shared" si="2"/>
        <v>0.10674087106108165</v>
      </c>
      <c r="AR39" s="94">
        <f t="shared" si="3"/>
        <v>3.467594628225823E-2</v>
      </c>
      <c r="AS39" s="93">
        <v>0.2912167315380581</v>
      </c>
      <c r="AT39" s="93">
        <f t="shared" si="4"/>
        <v>0.28489793814837605</v>
      </c>
      <c r="AU39" s="94">
        <f t="shared" si="5"/>
        <v>0.2851621084537953</v>
      </c>
      <c r="AV39" s="94">
        <f t="shared" si="6"/>
        <v>0.21309718367497188</v>
      </c>
      <c r="AW39" s="93">
        <v>2.4616873597115227</v>
      </c>
      <c r="AX39" s="94">
        <f t="shared" si="7"/>
        <v>2.4927222194201661</v>
      </c>
      <c r="AY39" s="94">
        <f t="shared" si="8"/>
        <v>2.9975290526360805</v>
      </c>
      <c r="AZ39" s="105">
        <v>0</v>
      </c>
      <c r="BA39" s="93">
        <v>0.21826471289366678</v>
      </c>
      <c r="BB39" s="93">
        <v>0.38341098501431325</v>
      </c>
      <c r="BC39" s="93">
        <v>0.16514627212064648</v>
      </c>
      <c r="BD39" s="93">
        <v>0.23998265657986248</v>
      </c>
      <c r="BE39" s="93">
        <v>1.5976612246840431</v>
      </c>
      <c r="BF39" s="108">
        <v>0</v>
      </c>
      <c r="BG39" s="93">
        <v>0.24545917650898474</v>
      </c>
      <c r="BH39" s="93">
        <v>0.30039924052461786</v>
      </c>
      <c r="BI39" s="93">
        <v>5.4940064015633117E-2</v>
      </c>
      <c r="BJ39" s="93">
        <v>0.34248946603286812</v>
      </c>
      <c r="BK39" s="93">
        <v>0.87710505086246671</v>
      </c>
      <c r="BL39" s="108">
        <v>0</v>
      </c>
      <c r="BM39" s="93">
        <v>0.16534110812620337</v>
      </c>
      <c r="BN39" s="93">
        <v>0.25592726124372278</v>
      </c>
      <c r="BO39" s="93">
        <v>9.0586153117519427E-2</v>
      </c>
      <c r="BP39" s="93">
        <v>0.13627331765152764</v>
      </c>
      <c r="BQ39" s="93">
        <v>1.8780438141101776</v>
      </c>
      <c r="BR39" s="93">
        <v>0</v>
      </c>
      <c r="BS39" s="93">
        <v>0.37128722312914281</v>
      </c>
      <c r="BT39" s="93">
        <v>0.47569034283064177</v>
      </c>
      <c r="BU39" s="93">
        <v>0.10440311970149897</v>
      </c>
      <c r="BV39" s="93">
        <v>0.41344803395342072</v>
      </c>
      <c r="BW39" s="93">
        <v>1.1505444548424997</v>
      </c>
    </row>
    <row r="40" spans="1:75" s="85" customFormat="1" x14ac:dyDescent="0.2">
      <c r="A40" s="85" t="s">
        <v>682</v>
      </c>
      <c r="B40" s="85">
        <v>137</v>
      </c>
      <c r="C40" s="85">
        <v>25</v>
      </c>
      <c r="D40" s="85">
        <v>9125</v>
      </c>
      <c r="E40" s="111">
        <v>43406</v>
      </c>
      <c r="F40" s="85" t="s">
        <v>683</v>
      </c>
      <c r="G40" s="85">
        <v>2</v>
      </c>
      <c r="H40" s="85">
        <v>7</v>
      </c>
      <c r="I40" s="85">
        <v>30</v>
      </c>
      <c r="J40" s="87"/>
      <c r="K40" s="87"/>
      <c r="L40" s="87"/>
      <c r="M40" s="87"/>
      <c r="N40" s="87"/>
      <c r="O40" s="87"/>
      <c r="P40" s="87"/>
      <c r="Q40" s="87"/>
      <c r="R40" s="88">
        <v>1.082448984531232E-2</v>
      </c>
      <c r="S40" s="87">
        <v>6.1878551367915785E-2</v>
      </c>
      <c r="T40" s="87">
        <v>0.90467067234728016</v>
      </c>
      <c r="U40" s="87">
        <v>0.37565947242206232</v>
      </c>
      <c r="V40" s="87">
        <v>0.33388604160385893</v>
      </c>
      <c r="W40" s="87">
        <v>5.1774744822929562E-2</v>
      </c>
      <c r="X40" s="87">
        <v>0.1024345658820985</v>
      </c>
      <c r="Y40" s="87">
        <v>9.6911432826139843E-2</v>
      </c>
      <c r="Z40" s="90">
        <v>46995</v>
      </c>
      <c r="AA40" s="90">
        <v>221500</v>
      </c>
      <c r="AB40" s="87">
        <v>0.1628890810812488</v>
      </c>
      <c r="AC40" s="87">
        <v>5.9056074687864391E-2</v>
      </c>
      <c r="AD40" s="89">
        <v>6.7263566587700996E-2</v>
      </c>
      <c r="AE40" s="100">
        <v>0</v>
      </c>
      <c r="AF40" s="93">
        <v>0.40963555803300217</v>
      </c>
      <c r="AG40" s="93">
        <v>0.54109869759346574</v>
      </c>
      <c r="AH40" s="93">
        <f t="shared" si="0"/>
        <v>0.53027420774815337</v>
      </c>
      <c r="AI40" s="93">
        <f t="shared" si="9"/>
        <v>0.37820961651221696</v>
      </c>
      <c r="AJ40" s="93">
        <f t="shared" si="10"/>
        <v>0.48204262290560135</v>
      </c>
      <c r="AK40" s="115">
        <f t="shared" si="11"/>
        <v>0.4441872647673259</v>
      </c>
      <c r="AL40" s="94">
        <f t="shared" si="12"/>
        <v>0.4893239527705362</v>
      </c>
      <c r="AM40" s="94">
        <f t="shared" si="13"/>
        <v>0.43866413171136726</v>
      </c>
      <c r="AN40" s="94">
        <f t="shared" si="1"/>
        <v>0.47383513100576474</v>
      </c>
      <c r="AO40" s="93">
        <v>0.13146313956046357</v>
      </c>
      <c r="AP40" s="93">
        <f t="shared" si="14"/>
        <v>0.1206386497151512</v>
      </c>
      <c r="AQ40" s="94">
        <f t="shared" si="2"/>
        <v>3.4551706734323728E-2</v>
      </c>
      <c r="AR40" s="94">
        <f t="shared" si="3"/>
        <v>6.4199572972762575E-2</v>
      </c>
      <c r="AS40" s="93">
        <v>0.16772190403680184</v>
      </c>
      <c r="AT40" s="93">
        <f t="shared" si="4"/>
        <v>0.15689741419148953</v>
      </c>
      <c r="AU40" s="94">
        <f t="shared" si="5"/>
        <v>7.0810471210662002E-2</v>
      </c>
      <c r="AV40" s="94">
        <f t="shared" si="6"/>
        <v>0.10045833744910085</v>
      </c>
      <c r="AW40" s="93">
        <v>3.2261659602596504</v>
      </c>
      <c r="AX40" s="94">
        <f t="shared" si="7"/>
        <v>6.2729036705018313</v>
      </c>
      <c r="AY40" s="94">
        <f t="shared" si="8"/>
        <v>4.7167327574562181</v>
      </c>
      <c r="AZ40" s="105">
        <v>0</v>
      </c>
      <c r="BA40" s="93">
        <v>0.42376243065690117</v>
      </c>
      <c r="BB40" s="93">
        <v>0.57108635271451957</v>
      </c>
      <c r="BC40" s="93">
        <v>0.14732392205761838</v>
      </c>
      <c r="BD40" s="93">
        <v>0.39347800209668532</v>
      </c>
      <c r="BE40" s="93">
        <v>1.4513806354394174</v>
      </c>
      <c r="BF40" s="108">
        <v>0</v>
      </c>
      <c r="BG40" s="93">
        <v>0.34970854406892521</v>
      </c>
      <c r="BH40" s="93">
        <v>0.43842903562861424</v>
      </c>
      <c r="BI40" s="93">
        <v>8.8720491559689044E-2</v>
      </c>
      <c r="BJ40" s="93">
        <v>0.39890654643228524</v>
      </c>
      <c r="BK40" s="93">
        <v>1.0990770634119889</v>
      </c>
      <c r="BL40" s="108">
        <v>0</v>
      </c>
      <c r="BM40" s="93">
        <v>0.52289410091683919</v>
      </c>
      <c r="BN40" s="93">
        <v>0.65078461365127604</v>
      </c>
      <c r="BO40" s="93">
        <v>0.1278905127344368</v>
      </c>
      <c r="BP40" s="93">
        <v>0.41911962841464773</v>
      </c>
      <c r="BQ40" s="93">
        <v>1.5527419131213658</v>
      </c>
      <c r="BR40" s="93">
        <v>0</v>
      </c>
      <c r="BS40" s="93">
        <v>0.56430341926400629</v>
      </c>
      <c r="BT40" s="93">
        <v>0.7114035410945978</v>
      </c>
      <c r="BU40" s="93">
        <v>0.14710012183059148</v>
      </c>
      <c r="BV40" s="93">
        <v>0.5805639401357866</v>
      </c>
      <c r="BW40" s="93">
        <v>1.2253663927666769</v>
      </c>
    </row>
    <row r="41" spans="1:75" s="85" customFormat="1" x14ac:dyDescent="0.2">
      <c r="A41" s="85" t="s">
        <v>682</v>
      </c>
      <c r="B41" s="85">
        <v>137</v>
      </c>
      <c r="C41" s="85">
        <v>25</v>
      </c>
      <c r="D41" s="85">
        <v>9125</v>
      </c>
      <c r="E41" s="111">
        <v>43406</v>
      </c>
      <c r="F41" s="85" t="s">
        <v>683</v>
      </c>
      <c r="G41" s="85">
        <v>2</v>
      </c>
      <c r="H41" s="85">
        <v>7</v>
      </c>
      <c r="I41" s="85">
        <v>40</v>
      </c>
      <c r="J41" s="87"/>
      <c r="K41" s="87"/>
      <c r="L41" s="87"/>
      <c r="M41" s="87"/>
      <c r="N41" s="87"/>
      <c r="O41" s="87"/>
      <c r="P41" s="87"/>
      <c r="Q41" s="87"/>
      <c r="R41" s="88">
        <v>9.4616049527566342E-3</v>
      </c>
      <c r="S41" s="87">
        <v>9.3427940529712816E-2</v>
      </c>
      <c r="T41" s="87">
        <v>0.86080787434579387</v>
      </c>
      <c r="U41" s="87">
        <v>0.57482433590402737</v>
      </c>
      <c r="V41" s="87">
        <v>0.47566199376947038</v>
      </c>
      <c r="W41" s="87">
        <v>-5.8513146703696145E-2</v>
      </c>
      <c r="X41" s="87">
        <v>-5.1919551320982263E-2</v>
      </c>
      <c r="Y41" s="87">
        <v>-5.5537818014124503E-2</v>
      </c>
      <c r="Z41" s="90">
        <v>67082</v>
      </c>
      <c r="AA41" s="90">
        <v>244300</v>
      </c>
      <c r="AB41" s="87">
        <v>0.20431479391368434</v>
      </c>
      <c r="AC41" s="87">
        <v>8.9584000704051994E-2</v>
      </c>
      <c r="AD41" s="89">
        <v>0.10462035615902858</v>
      </c>
      <c r="AE41" s="100">
        <v>0</v>
      </c>
      <c r="AF41" s="93">
        <v>0.21303191650882661</v>
      </c>
      <c r="AG41" s="93">
        <v>7.1381399445799937E-2</v>
      </c>
      <c r="AH41" s="93">
        <f t="shared" si="0"/>
        <v>6.1919794493043301E-2</v>
      </c>
      <c r="AI41" s="93">
        <f t="shared" si="9"/>
        <v>-0.13293339446788441</v>
      </c>
      <c r="AJ41" s="93">
        <f t="shared" si="10"/>
        <v>-1.8202601258252057E-2</v>
      </c>
      <c r="AK41" s="115">
        <f t="shared" si="11"/>
        <v>0.12691921745992443</v>
      </c>
      <c r="AL41" s="94">
        <f t="shared" si="12"/>
        <v>0.12989454614949608</v>
      </c>
      <c r="AM41" s="94">
        <f t="shared" si="13"/>
        <v>0.1233009507667822</v>
      </c>
      <c r="AN41" s="94">
        <f t="shared" si="1"/>
        <v>-3.3238956713228643E-2</v>
      </c>
      <c r="AO41" s="93">
        <v>-0.14165051706302667</v>
      </c>
      <c r="AP41" s="93">
        <f t="shared" si="14"/>
        <v>-0.15111212201578331</v>
      </c>
      <c r="AQ41" s="94">
        <f t="shared" si="2"/>
        <v>-8.6112699048902175E-2</v>
      </c>
      <c r="AR41" s="94">
        <f t="shared" si="3"/>
        <v>-0.24627087322205526</v>
      </c>
      <c r="AS41" s="93">
        <v>-0.11967383731690936</v>
      </c>
      <c r="AT41" s="93">
        <f t="shared" si="4"/>
        <v>-0.129135442269666</v>
      </c>
      <c r="AU41" s="94">
        <f t="shared" si="5"/>
        <v>-6.4136019302784869E-2</v>
      </c>
      <c r="AV41" s="94">
        <f t="shared" si="6"/>
        <v>-0.22429419347593793</v>
      </c>
      <c r="AW41" s="93">
        <v>-0.59646620386019888</v>
      </c>
      <c r="AX41" s="94">
        <f t="shared" si="7"/>
        <v>-1.9789069985890664</v>
      </c>
      <c r="AY41" s="94">
        <f t="shared" si="8"/>
        <v>0.1481935675557044</v>
      </c>
      <c r="AZ41" s="105">
        <v>0</v>
      </c>
      <c r="BA41" s="93">
        <v>0.236362296561441</v>
      </c>
      <c r="BB41" s="93">
        <v>0.24135834667802289</v>
      </c>
      <c r="BC41" s="93">
        <v>4.9960501165818866E-3</v>
      </c>
      <c r="BD41" s="93">
        <v>0.29369036237773299</v>
      </c>
      <c r="BE41" s="93">
        <v>0.82181228122016914</v>
      </c>
      <c r="BF41" s="108">
        <v>0</v>
      </c>
      <c r="BG41" s="93">
        <v>0.21321704248177506</v>
      </c>
      <c r="BH41" s="93">
        <v>0.22775570418754137</v>
      </c>
      <c r="BI41" s="93">
        <v>1.4538661705766315E-2</v>
      </c>
      <c r="BJ41" s="93">
        <v>0.33129835491409992</v>
      </c>
      <c r="BK41" s="93">
        <v>0.68746403599436701</v>
      </c>
      <c r="BL41" s="108">
        <v>0</v>
      </c>
      <c r="BM41" s="93">
        <v>0.23552500783636435</v>
      </c>
      <c r="BN41" s="93">
        <v>-0.13576042315975487</v>
      </c>
      <c r="BO41" s="93">
        <v>-0.37128543099611921</v>
      </c>
      <c r="BP41" s="93">
        <v>-0.18747825586826458</v>
      </c>
      <c r="BQ41" s="93">
        <v>0.7241395677115201</v>
      </c>
      <c r="BR41" s="93">
        <v>0</v>
      </c>
      <c r="BS41" s="93">
        <v>0.60775865900503889</v>
      </c>
      <c r="BT41" s="93">
        <v>0.31092739189967</v>
      </c>
      <c r="BU41" s="93">
        <v>-0.29683126710536889</v>
      </c>
      <c r="BV41" s="93">
        <v>0.35409956376487867</v>
      </c>
      <c r="BW41" s="93">
        <v>0.87807900296122676</v>
      </c>
    </row>
    <row r="42" spans="1:75" s="85" customFormat="1" x14ac:dyDescent="0.2">
      <c r="A42" s="85" t="s">
        <v>682</v>
      </c>
      <c r="B42" s="85">
        <v>137</v>
      </c>
      <c r="C42" s="85">
        <v>25</v>
      </c>
      <c r="D42" s="85">
        <v>9125</v>
      </c>
      <c r="E42" s="111">
        <v>43406</v>
      </c>
      <c r="F42" s="85" t="s">
        <v>683</v>
      </c>
      <c r="G42" s="85">
        <v>2</v>
      </c>
      <c r="H42" s="85">
        <v>7</v>
      </c>
      <c r="I42" s="85">
        <v>60</v>
      </c>
      <c r="J42" s="87"/>
      <c r="K42" s="87"/>
      <c r="L42" s="87"/>
      <c r="M42" s="87"/>
      <c r="N42" s="87"/>
      <c r="O42" s="87"/>
      <c r="P42" s="87"/>
      <c r="Q42" s="87"/>
      <c r="R42" s="88">
        <v>2.2560678582494567E-2</v>
      </c>
      <c r="S42" s="87">
        <v>0.11957171820354455</v>
      </c>
      <c r="T42" s="87">
        <v>0.81952418979723396</v>
      </c>
      <c r="U42" s="87">
        <v>0.87345879299156393</v>
      </c>
      <c r="V42" s="87">
        <v>0.57337220602526728</v>
      </c>
      <c r="W42" s="87">
        <v>-5.6707724622892669E-2</v>
      </c>
      <c r="X42" s="87">
        <v>2.6245211843926699E-3</v>
      </c>
      <c r="Y42" s="87">
        <v>-5.6883077045825573E-3</v>
      </c>
      <c r="Z42" s="90">
        <v>134600</v>
      </c>
      <c r="AA42" s="90">
        <v>295000</v>
      </c>
      <c r="AB42" s="87">
        <v>-4.1926493765769665E-2</v>
      </c>
      <c r="AC42" s="87">
        <v>-1.6450416777303301E-3</v>
      </c>
      <c r="AD42" s="89">
        <v>-6.8177232234046623E-3</v>
      </c>
      <c r="AE42" s="100">
        <v>0</v>
      </c>
      <c r="AF42" s="93">
        <v>1.0709562263019593E-2</v>
      </c>
      <c r="AG42" s="93">
        <v>-0.11273462882810244</v>
      </c>
      <c r="AH42" s="93">
        <f t="shared" si="0"/>
        <v>-0.135295307410597</v>
      </c>
      <c r="AI42" s="93">
        <f t="shared" si="9"/>
        <v>-7.0808135062332772E-2</v>
      </c>
      <c r="AJ42" s="93">
        <f t="shared" si="10"/>
        <v>-0.11108958715037211</v>
      </c>
      <c r="AK42" s="115">
        <f t="shared" si="11"/>
        <v>-0.10704632112351987</v>
      </c>
      <c r="AL42" s="94">
        <f t="shared" si="12"/>
        <v>-5.6026904205209768E-2</v>
      </c>
      <c r="AM42" s="94">
        <f t="shared" si="13"/>
        <v>-0.11535915001249511</v>
      </c>
      <c r="AN42" s="94">
        <f t="shared" si="1"/>
        <v>-0.10591690560469777</v>
      </c>
      <c r="AO42" s="93">
        <v>-0.12344419109112204</v>
      </c>
      <c r="AP42" s="93">
        <f t="shared" si="14"/>
        <v>-0.14600486967361659</v>
      </c>
      <c r="AQ42" s="94">
        <f t="shared" si="2"/>
        <v>-0.11775588338653947</v>
      </c>
      <c r="AR42" s="94">
        <f t="shared" si="3"/>
        <v>-0.11662646786771737</v>
      </c>
      <c r="AS42" s="93">
        <v>-0.2124339890511904</v>
      </c>
      <c r="AT42" s="93">
        <f t="shared" si="4"/>
        <v>-0.23499466763368498</v>
      </c>
      <c r="AU42" s="94">
        <f t="shared" si="5"/>
        <v>-0.20674568134660784</v>
      </c>
      <c r="AV42" s="94">
        <f t="shared" si="6"/>
        <v>-0.20561626582778575</v>
      </c>
      <c r="AW42" s="93">
        <v>0.53068075090816413</v>
      </c>
      <c r="AX42" s="94">
        <f t="shared" si="7"/>
        <v>0.51776811213801066</v>
      </c>
      <c r="AY42" s="94">
        <f t="shared" si="8"/>
        <v>0.51511929359425612</v>
      </c>
      <c r="AZ42" s="105">
        <v>0</v>
      </c>
      <c r="BA42" s="93">
        <v>0.56506408712902034</v>
      </c>
      <c r="BB42" s="93">
        <v>0.61321364077941654</v>
      </c>
      <c r="BC42" s="93">
        <v>4.8149553650396214E-2</v>
      </c>
      <c r="BD42" s="93">
        <v>0.61180940913133264</v>
      </c>
      <c r="BE42" s="93">
        <v>1.0022952109384484</v>
      </c>
      <c r="BF42" s="108">
        <v>0</v>
      </c>
      <c r="BG42" s="93">
        <v>0.48706419421481689</v>
      </c>
      <c r="BH42" s="93">
        <v>0.64093722737343983</v>
      </c>
      <c r="BI42" s="93">
        <v>0.15387303315862297</v>
      </c>
      <c r="BJ42" s="93">
        <v>0.62971150841689583</v>
      </c>
      <c r="BK42" s="93">
        <v>1.0178267648065789</v>
      </c>
      <c r="BL42" s="108">
        <v>0</v>
      </c>
      <c r="BM42" s="93">
        <v>0.44642153350164443</v>
      </c>
      <c r="BN42" s="93">
        <v>0.40915013870441275</v>
      </c>
      <c r="BO42" s="93">
        <v>-3.7271394797231655E-2</v>
      </c>
      <c r="BP42" s="93">
        <v>0.34376737944156111</v>
      </c>
      <c r="BQ42" s="93">
        <v>1.190194774644016</v>
      </c>
      <c r="BR42" s="93">
        <v>0</v>
      </c>
      <c r="BS42" s="93">
        <v>0.37328003514382746</v>
      </c>
      <c r="BT42" s="93">
        <v>0.42771524169884462</v>
      </c>
      <c r="BU42" s="93">
        <v>5.443520655501715E-2</v>
      </c>
      <c r="BV42" s="93">
        <v>0.27796985533950258</v>
      </c>
      <c r="BW42" s="93">
        <v>1.5387108835109056</v>
      </c>
    </row>
    <row r="43" spans="1:75" x14ac:dyDescent="0.2">
      <c r="A43" s="11" t="s">
        <v>682</v>
      </c>
      <c r="B43" s="11">
        <v>159</v>
      </c>
      <c r="C43" s="11">
        <v>30</v>
      </c>
      <c r="D43" s="11">
        <v>9130</v>
      </c>
      <c r="E43" s="112">
        <v>43408</v>
      </c>
      <c r="F43" s="11" t="s">
        <v>683</v>
      </c>
      <c r="G43" s="11">
        <v>2</v>
      </c>
      <c r="H43" s="11">
        <v>8</v>
      </c>
      <c r="I43" s="11" t="s">
        <v>513</v>
      </c>
      <c r="R43" s="21" t="s">
        <v>503</v>
      </c>
      <c r="S43" s="10"/>
      <c r="T43" s="10"/>
      <c r="W43" s="10"/>
      <c r="X43" s="10"/>
      <c r="Y43" s="65"/>
      <c r="Z43" s="10"/>
      <c r="AA43" s="10"/>
      <c r="AB43" s="10"/>
      <c r="AC43" s="10"/>
      <c r="AD43" s="10"/>
      <c r="AE43" s="101"/>
      <c r="AF43" s="120">
        <v>0.4498680617692663</v>
      </c>
      <c r="AG43" s="120">
        <v>0.45215698072383226</v>
      </c>
      <c r="AH43" s="120">
        <v>0.45215698072383226</v>
      </c>
      <c r="AI43" s="120"/>
      <c r="AJ43" s="120"/>
      <c r="AK43" s="121">
        <v>0.45215698072383226</v>
      </c>
      <c r="AL43" s="120"/>
      <c r="AM43" s="120"/>
      <c r="AN43" s="120">
        <v>2.2889189545659775E-3</v>
      </c>
      <c r="AO43" s="120">
        <v>2.288918954565955E-3</v>
      </c>
      <c r="AP43" s="120">
        <v>2.288918954565955E-3</v>
      </c>
      <c r="AQ43" s="120">
        <v>0.27907599227591684</v>
      </c>
      <c r="AR43" s="120">
        <v>-0.17308098844791542</v>
      </c>
      <c r="AS43" s="120">
        <v>0.27907599227591684</v>
      </c>
      <c r="AT43" s="120">
        <v>1.6201930414594521</v>
      </c>
      <c r="AU43" s="120">
        <v>-2.6124011930975195</v>
      </c>
      <c r="AV43" s="120">
        <v>1.6201930414594521</v>
      </c>
      <c r="BF43" s="102"/>
      <c r="BL43" s="102"/>
    </row>
    <row r="44" spans="1:75" s="85" customFormat="1" x14ac:dyDescent="0.2">
      <c r="A44" s="85" t="s">
        <v>682</v>
      </c>
      <c r="B44" s="85">
        <v>188</v>
      </c>
      <c r="C44" s="85">
        <v>36</v>
      </c>
      <c r="D44" s="85">
        <v>9136</v>
      </c>
      <c r="E44" s="111">
        <v>43410</v>
      </c>
      <c r="F44" s="85" t="s">
        <v>683</v>
      </c>
      <c r="G44" s="85">
        <v>2</v>
      </c>
      <c r="H44" s="85">
        <v>9</v>
      </c>
      <c r="I44" s="85">
        <v>5</v>
      </c>
      <c r="J44" s="87">
        <v>6.0147526953950675E-2</v>
      </c>
      <c r="K44" s="87">
        <v>1.8005192763224848E-2</v>
      </c>
      <c r="L44" s="87">
        <v>0.10477166577104674</v>
      </c>
      <c r="M44" s="87">
        <v>0.81707561451177779</v>
      </c>
      <c r="N44" s="87">
        <v>0.11740122231568691</v>
      </c>
      <c r="O44" s="87">
        <v>8.0478672950448651E-2</v>
      </c>
      <c r="P44" s="87">
        <v>9.5558035225900353E-3</v>
      </c>
      <c r="Q44" s="87">
        <v>-1.6275990527913439E-2</v>
      </c>
      <c r="R44" s="88">
        <v>-3.7871103060792624E-3</v>
      </c>
      <c r="S44" s="87">
        <v>0.1466497268147558</v>
      </c>
      <c r="T44" s="87">
        <v>0.85335027318524415</v>
      </c>
      <c r="U44" s="87">
        <v>0.40577117166712545</v>
      </c>
      <c r="V44" s="87">
        <v>0.33459102546826575</v>
      </c>
      <c r="W44" s="87">
        <v>-9.2317778326715144E-2</v>
      </c>
      <c r="X44" s="87">
        <v>-1.6726931610874317E-2</v>
      </c>
      <c r="Y44" s="89">
        <v>-2.7812308631448457E-2</v>
      </c>
      <c r="Z44" s="90">
        <v>35380</v>
      </c>
      <c r="AA44" s="90">
        <v>248300</v>
      </c>
      <c r="AB44" s="87">
        <v>8.0478672950448651E-2</v>
      </c>
      <c r="AC44" s="87">
        <v>1.0143852970134037E-2</v>
      </c>
      <c r="AD44" s="87">
        <v>2.0458435105812203E-2</v>
      </c>
      <c r="AE44" s="100">
        <v>0</v>
      </c>
      <c r="AF44" s="93">
        <v>0.36652615515554038</v>
      </c>
      <c r="AG44" s="93">
        <v>0.33307822108799989</v>
      </c>
      <c r="AH44" s="93">
        <f t="shared" ref="AH44:AH75" si="15">AG44-R44</f>
        <v>0.33686533139407915</v>
      </c>
      <c r="AI44" s="93">
        <f t="shared" ref="AI44:AI103" si="16">AG44-AB44</f>
        <v>0.25259954813755126</v>
      </c>
      <c r="AJ44" s="93">
        <f t="shared" ref="AJ44:AJ103" si="17">AG44-AC44</f>
        <v>0.32293436811786586</v>
      </c>
      <c r="AK44" s="115">
        <f t="shared" ref="AK44:AK75" si="18">AG44-Y44</f>
        <v>0.36089052971944835</v>
      </c>
      <c r="AL44" s="94">
        <f t="shared" ref="AL44:AL103" si="19">AG44-W44</f>
        <v>0.42539599941471506</v>
      </c>
      <c r="AM44" s="94">
        <f t="shared" ref="AM44:AM103" si="20">AG44-X44</f>
        <v>0.34980515269887419</v>
      </c>
      <c r="AN44" s="94">
        <f t="shared" ref="AN44:AN75" si="21">AG44-AD44</f>
        <v>0.3126197859821877</v>
      </c>
      <c r="AO44" s="93">
        <v>-3.3447934067540479E-2</v>
      </c>
      <c r="AP44" s="93">
        <f t="shared" si="14"/>
        <v>-2.966082376146123E-2</v>
      </c>
      <c r="AQ44" s="94">
        <f t="shared" ref="AQ44:AQ75" si="22">AK44-AF44</f>
        <v>-5.6356254360920288E-3</v>
      </c>
      <c r="AR44" s="94">
        <f t="shared" ref="AR44:AR75" si="23">AN44-AF44</f>
        <v>-5.3906369173352675E-2</v>
      </c>
      <c r="AS44" s="93">
        <v>0.54665232138605901</v>
      </c>
      <c r="AT44" s="93">
        <f t="shared" ref="AT44:AT75" si="24">AS44-R44</f>
        <v>0.55043943169213827</v>
      </c>
      <c r="AU44" s="94">
        <f t="shared" ref="AU44:AU75" si="25">AS44-Y44</f>
        <v>0.57446463001750747</v>
      </c>
      <c r="AV44" s="94">
        <f t="shared" ref="AV44:AV75" si="26">AS44-AD44</f>
        <v>0.52619388628024677</v>
      </c>
      <c r="AW44" s="93">
        <v>0.6093054178265751</v>
      </c>
      <c r="AX44" s="94">
        <f t="shared" ref="AX44:AX75" si="27">AK44/AU44</f>
        <v>0.62822062640906162</v>
      </c>
      <c r="AY44" s="94">
        <f t="shared" ref="AY44:AY75" si="28">AN44/AV44</f>
        <v>0.59411519999243934</v>
      </c>
      <c r="AZ44" s="105">
        <v>0</v>
      </c>
      <c r="BA44" s="93">
        <v>0.48752678420114376</v>
      </c>
      <c r="BB44" s="93">
        <v>0.54942779578596934</v>
      </c>
      <c r="BC44" s="93">
        <v>6.1901011584825617E-2</v>
      </c>
      <c r="BD44" s="93">
        <v>0.40844619107529279</v>
      </c>
      <c r="BE44" s="93">
        <v>1.3451656736950401</v>
      </c>
      <c r="BF44" s="108">
        <v>0</v>
      </c>
      <c r="BG44" s="93">
        <v>0.551869653549385</v>
      </c>
      <c r="BH44" s="93">
        <v>0.64881248677759529</v>
      </c>
      <c r="BI44" s="93">
        <v>9.6942833228210248E-2</v>
      </c>
      <c r="BJ44" s="93">
        <v>0.60469771728811272</v>
      </c>
      <c r="BK44" s="93">
        <v>1.0729534248737105</v>
      </c>
      <c r="BL44" s="108">
        <v>0</v>
      </c>
      <c r="BM44" s="93">
        <v>0.58618956119896082</v>
      </c>
      <c r="BN44" s="93">
        <v>0.6470286878318513</v>
      </c>
      <c r="BO44" s="93">
        <v>6.0839126632890525E-2</v>
      </c>
      <c r="BP44" s="93">
        <v>0.58618956119896082</v>
      </c>
      <c r="BQ44" s="93">
        <v>1.1037874617017289</v>
      </c>
      <c r="BR44" s="93">
        <v>0</v>
      </c>
      <c r="BS44" s="93">
        <v>0.88468717727143231</v>
      </c>
      <c r="BT44" s="93">
        <v>0.86893882030329317</v>
      </c>
      <c r="BU44" s="93">
        <v>-1.5748356968139168E-2</v>
      </c>
      <c r="BV44" s="93">
        <v>0.72949428786573023</v>
      </c>
      <c r="BW44" s="93">
        <v>1.1911523294384301</v>
      </c>
    </row>
    <row r="45" spans="1:75" s="85" customFormat="1" x14ac:dyDescent="0.2">
      <c r="A45" s="85" t="s">
        <v>682</v>
      </c>
      <c r="B45" s="85">
        <v>188</v>
      </c>
      <c r="C45" s="85">
        <v>36</v>
      </c>
      <c r="D45" s="85">
        <v>9136</v>
      </c>
      <c r="E45" s="111">
        <v>43410</v>
      </c>
      <c r="F45" s="85" t="s">
        <v>683</v>
      </c>
      <c r="G45" s="85">
        <v>2</v>
      </c>
      <c r="H45" s="85">
        <v>9</v>
      </c>
      <c r="I45" s="85">
        <v>12</v>
      </c>
      <c r="J45" s="87">
        <v>0.10603842104295486</v>
      </c>
      <c r="K45" s="87">
        <v>2.2993564300685471E-2</v>
      </c>
      <c r="L45" s="87">
        <v>0.10333832086361747</v>
      </c>
      <c r="M45" s="87">
        <v>0.76762969379274215</v>
      </c>
      <c r="N45" s="87">
        <v>0.12221102446729361</v>
      </c>
      <c r="O45" s="87">
        <v>8.8353447269261101E-2</v>
      </c>
      <c r="P45" s="87">
        <v>2.400826030796838E-2</v>
      </c>
      <c r="Q45" s="87">
        <v>2.613108327608743E-2</v>
      </c>
      <c r="R45" s="88">
        <v>3.7530593500304445E-2</v>
      </c>
      <c r="S45" s="87">
        <v>0.18200919166828566</v>
      </c>
      <c r="T45" s="87">
        <v>0.81799080833171423</v>
      </c>
      <c r="U45" s="87">
        <v>0.42147209941450592</v>
      </c>
      <c r="V45" s="87">
        <v>0.35442296426479203</v>
      </c>
      <c r="W45" s="87">
        <v>-5.9452664606357848E-2</v>
      </c>
      <c r="X45" s="87">
        <v>5.6018781474990904E-2</v>
      </c>
      <c r="Y45" s="89">
        <v>3.5001916912956579E-2</v>
      </c>
      <c r="Z45" s="90">
        <v>35273</v>
      </c>
      <c r="AA45" s="90">
        <v>242000</v>
      </c>
      <c r="AB45" s="87">
        <v>8.8353447269261101E-2</v>
      </c>
      <c r="AC45" s="87">
        <v>2.5485691711535665E-2</v>
      </c>
      <c r="AD45" s="87">
        <v>3.6928201082596646E-2</v>
      </c>
      <c r="AE45" s="100">
        <v>0</v>
      </c>
      <c r="AF45" s="93">
        <v>0.35737217940051669</v>
      </c>
      <c r="AG45" s="93">
        <v>0.42191070053808805</v>
      </c>
      <c r="AH45" s="93">
        <f t="shared" si="15"/>
        <v>0.38438010703778358</v>
      </c>
      <c r="AI45" s="93">
        <f t="shared" si="16"/>
        <v>0.33355725326882696</v>
      </c>
      <c r="AJ45" s="93">
        <f t="shared" si="17"/>
        <v>0.39642500882655241</v>
      </c>
      <c r="AK45" s="115">
        <f t="shared" si="18"/>
        <v>0.38690878362513148</v>
      </c>
      <c r="AL45" s="94">
        <f t="shared" si="19"/>
        <v>0.48136336514444589</v>
      </c>
      <c r="AM45" s="94">
        <f t="shared" si="20"/>
        <v>0.36589191906309715</v>
      </c>
      <c r="AN45" s="94">
        <f t="shared" si="21"/>
        <v>0.3849824994554914</v>
      </c>
      <c r="AO45" s="93">
        <v>6.4538521137571372E-2</v>
      </c>
      <c r="AP45" s="93">
        <f t="shared" si="14"/>
        <v>2.7007927637266893E-2</v>
      </c>
      <c r="AQ45" s="94">
        <f t="shared" si="22"/>
        <v>2.9536604224614793E-2</v>
      </c>
      <c r="AR45" s="94">
        <f t="shared" si="23"/>
        <v>2.7610320054974713E-2</v>
      </c>
      <c r="AS45" s="93">
        <v>0.57009121337884228</v>
      </c>
      <c r="AT45" s="93">
        <f t="shared" si="24"/>
        <v>0.53256061987853787</v>
      </c>
      <c r="AU45" s="94">
        <f t="shared" si="25"/>
        <v>0.53508929646588566</v>
      </c>
      <c r="AV45" s="94">
        <f t="shared" si="26"/>
        <v>0.53316301229624563</v>
      </c>
      <c r="AW45" s="93">
        <v>0.74007578197441193</v>
      </c>
      <c r="AX45" s="94">
        <f t="shared" si="27"/>
        <v>0.72307330043892715</v>
      </c>
      <c r="AY45" s="94">
        <f t="shared" si="28"/>
        <v>0.72207278182602153</v>
      </c>
      <c r="AZ45" s="105">
        <v>0</v>
      </c>
      <c r="BA45" s="93">
        <v>0.77809836229631435</v>
      </c>
      <c r="BB45" s="93">
        <v>0.82977508098156649</v>
      </c>
      <c r="BC45" s="93">
        <v>5.1676718685252199E-2</v>
      </c>
      <c r="BD45" s="93">
        <v>0.68356011556840102</v>
      </c>
      <c r="BE45" s="93">
        <v>1.2139021310387357</v>
      </c>
      <c r="BF45" s="108">
        <v>0</v>
      </c>
      <c r="BG45" s="93">
        <v>0.66455042289785438</v>
      </c>
      <c r="BH45" s="93">
        <v>0.76874651723164722</v>
      </c>
      <c r="BI45" s="93">
        <v>0.10419609433379284</v>
      </c>
      <c r="BJ45" s="93">
        <v>0.67693044744190112</v>
      </c>
      <c r="BK45" s="93">
        <v>1.1356358989859536</v>
      </c>
      <c r="BL45" s="108">
        <v>0</v>
      </c>
      <c r="BM45" s="93">
        <v>0.69389564689174321</v>
      </c>
      <c r="BN45" s="93">
        <v>0.75019271471203031</v>
      </c>
      <c r="BO45" s="93">
        <v>5.6297067820287067E-2</v>
      </c>
      <c r="BP45" s="93">
        <v>0.74167543519315127</v>
      </c>
      <c r="BQ45" s="93">
        <v>1.011483836614679</v>
      </c>
      <c r="BR45" s="93">
        <v>0</v>
      </c>
      <c r="BS45" s="93">
        <v>0.5912488024813517</v>
      </c>
      <c r="BT45" s="93">
        <v>0.47559660078697785</v>
      </c>
      <c r="BU45" s="93">
        <v>-0.11565220169437385</v>
      </c>
      <c r="BV45" s="93">
        <v>0.4983248518645339</v>
      </c>
      <c r="BW45" s="93">
        <v>0.95439069315424274</v>
      </c>
    </row>
    <row r="46" spans="1:75" s="85" customFormat="1" x14ac:dyDescent="0.2">
      <c r="A46" s="85" t="s">
        <v>682</v>
      </c>
      <c r="B46" s="85">
        <v>188</v>
      </c>
      <c r="C46" s="85">
        <v>36</v>
      </c>
      <c r="D46" s="85">
        <v>9136</v>
      </c>
      <c r="E46" s="111">
        <v>43410</v>
      </c>
      <c r="F46" s="85" t="s">
        <v>683</v>
      </c>
      <c r="G46" s="85">
        <v>2</v>
      </c>
      <c r="H46" s="85">
        <v>9</v>
      </c>
      <c r="I46" s="85">
        <v>20</v>
      </c>
      <c r="J46" s="87">
        <v>0.10094959330863429</v>
      </c>
      <c r="K46" s="87">
        <v>1.8710004079006359E-2</v>
      </c>
      <c r="L46" s="87">
        <v>8.5108026611416421E-2</v>
      </c>
      <c r="M46" s="87">
        <v>0.79523237600094299</v>
      </c>
      <c r="N46" s="87">
        <v>0.13810765773014166</v>
      </c>
      <c r="O46" s="87">
        <v>9.5659710033565465E-2</v>
      </c>
      <c r="P46" s="87">
        <v>8.038590972350412E-3</v>
      </c>
      <c r="Q46" s="87">
        <v>1.8344283346270491E-2</v>
      </c>
      <c r="R46" s="88">
        <v>3.1003822091472739E-2</v>
      </c>
      <c r="S46" s="87">
        <v>0.1802192158200161</v>
      </c>
      <c r="T46" s="87">
        <v>0.8197807841799839</v>
      </c>
      <c r="U46" s="87">
        <v>0.41680884896177905</v>
      </c>
      <c r="V46" s="87">
        <v>0.35191786681876513</v>
      </c>
      <c r="W46" s="87">
        <v>-1.5786526864162761E-2</v>
      </c>
      <c r="X46" s="87">
        <v>3.1359500041254155E-3</v>
      </c>
      <c r="Y46" s="89">
        <v>-2.7424393844987377E-4</v>
      </c>
      <c r="Z46" s="90">
        <v>35911</v>
      </c>
      <c r="AA46" s="90">
        <v>246800</v>
      </c>
      <c r="AB46" s="87">
        <v>9.5659710033565465E-2</v>
      </c>
      <c r="AC46" s="87">
        <v>8.5332734937258233E-3</v>
      </c>
      <c r="AD46" s="87">
        <v>2.4235131564128123E-2</v>
      </c>
      <c r="AE46" s="100">
        <v>0</v>
      </c>
      <c r="AF46" s="93">
        <v>8.9281843631053404E-2</v>
      </c>
      <c r="AG46" s="93">
        <v>0.10288749568683231</v>
      </c>
      <c r="AH46" s="93">
        <f t="shared" si="15"/>
        <v>7.1883673595359576E-2</v>
      </c>
      <c r="AI46" s="93">
        <f t="shared" si="16"/>
        <v>7.2277856532668439E-3</v>
      </c>
      <c r="AJ46" s="93">
        <f t="shared" si="17"/>
        <v>9.4354222193106491E-2</v>
      </c>
      <c r="AK46" s="115">
        <f t="shared" si="18"/>
        <v>0.10316173962528219</v>
      </c>
      <c r="AL46" s="94">
        <f t="shared" si="19"/>
        <v>0.11867402255099507</v>
      </c>
      <c r="AM46" s="94">
        <f t="shared" si="20"/>
        <v>9.9751545682706888E-2</v>
      </c>
      <c r="AN46" s="94">
        <f t="shared" si="21"/>
        <v>7.8652364122704183E-2</v>
      </c>
      <c r="AO46" s="93">
        <v>1.3605652055778898E-2</v>
      </c>
      <c r="AP46" s="93">
        <f t="shared" si="14"/>
        <v>-1.7398170035693827E-2</v>
      </c>
      <c r="AQ46" s="94">
        <f t="shared" si="22"/>
        <v>1.3879895994228786E-2</v>
      </c>
      <c r="AR46" s="94">
        <f t="shared" si="23"/>
        <v>-1.0629479508349221E-2</v>
      </c>
      <c r="AS46" s="93">
        <v>0.49474695173921807</v>
      </c>
      <c r="AT46" s="93">
        <f t="shared" si="24"/>
        <v>0.46374312964774533</v>
      </c>
      <c r="AU46" s="94">
        <f t="shared" si="25"/>
        <v>0.49502119567766795</v>
      </c>
      <c r="AV46" s="94">
        <f t="shared" si="26"/>
        <v>0.47051182017508997</v>
      </c>
      <c r="AW46" s="93">
        <v>0.20795983749903826</v>
      </c>
      <c r="AX46" s="94">
        <f t="shared" si="27"/>
        <v>0.20839863126276262</v>
      </c>
      <c r="AY46" s="94">
        <f t="shared" si="28"/>
        <v>0.16716341811229216</v>
      </c>
      <c r="AZ46" s="105">
        <v>0</v>
      </c>
      <c r="BA46" s="93">
        <v>0.53288507626660453</v>
      </c>
      <c r="BB46" s="93">
        <v>0.61172636915513179</v>
      </c>
      <c r="BC46" s="93">
        <v>7.8841292888527217E-2</v>
      </c>
      <c r="BD46" s="93">
        <v>0.45347396251448407</v>
      </c>
      <c r="BE46" s="93">
        <v>1.3489779341754227</v>
      </c>
      <c r="BF46" s="108">
        <v>0</v>
      </c>
      <c r="BG46" s="93">
        <v>0.43620409539133381</v>
      </c>
      <c r="BH46" s="93">
        <v>0.57587913540124513</v>
      </c>
      <c r="BI46" s="93">
        <v>0.13967504000991132</v>
      </c>
      <c r="BJ46" s="93">
        <v>0.53190787466786704</v>
      </c>
      <c r="BK46" s="93">
        <v>1.0826670610222391</v>
      </c>
      <c r="BL46" s="108">
        <v>0</v>
      </c>
      <c r="BM46" s="93">
        <v>0.60085784261492536</v>
      </c>
      <c r="BN46" s="93">
        <v>0.74146760191242356</v>
      </c>
      <c r="BO46" s="93">
        <v>0.14060975929749814</v>
      </c>
      <c r="BP46" s="93">
        <v>0.74073041057789535</v>
      </c>
      <c r="BQ46" s="93">
        <v>1.0009952221807028</v>
      </c>
      <c r="BR46" s="93">
        <v>0</v>
      </c>
      <c r="BS46" s="93">
        <v>0.84574224071601567</v>
      </c>
      <c r="BT46" s="93">
        <v>0.68644133491244153</v>
      </c>
      <c r="BU46" s="93">
        <v>-0.15930090580357417</v>
      </c>
      <c r="BV46" s="93">
        <v>0.80377804161698352</v>
      </c>
      <c r="BW46" s="93">
        <v>0.85401852174451998</v>
      </c>
    </row>
    <row r="47" spans="1:75" s="85" customFormat="1" x14ac:dyDescent="0.2">
      <c r="A47" s="85" t="s">
        <v>682</v>
      </c>
      <c r="B47" s="85">
        <v>188</v>
      </c>
      <c r="C47" s="85">
        <v>36</v>
      </c>
      <c r="D47" s="85">
        <v>9136</v>
      </c>
      <c r="E47" s="111">
        <v>43410</v>
      </c>
      <c r="F47" s="85" t="s">
        <v>683</v>
      </c>
      <c r="G47" s="85">
        <v>2</v>
      </c>
      <c r="H47" s="85">
        <v>9</v>
      </c>
      <c r="I47" s="85">
        <v>30</v>
      </c>
      <c r="J47" s="87">
        <v>0.11863737971482954</v>
      </c>
      <c r="K47" s="87">
        <v>2.8591994889371794E-2</v>
      </c>
      <c r="L47" s="87">
        <v>0.12842690961090231</v>
      </c>
      <c r="M47" s="87">
        <v>0.72434371578489631</v>
      </c>
      <c r="N47" s="87">
        <v>0.19867662773907374</v>
      </c>
      <c r="O47" s="87">
        <v>0.14835483974681524</v>
      </c>
      <c r="P47" s="87">
        <v>1.6046011307808159E-3</v>
      </c>
      <c r="Q47" s="87">
        <v>-3.0118832935423752E-3</v>
      </c>
      <c r="R47" s="88">
        <v>2.5836670573426247E-2</v>
      </c>
      <c r="S47" s="87">
        <v>0.18209269119771426</v>
      </c>
      <c r="T47" s="87">
        <v>0.81790730880228579</v>
      </c>
      <c r="U47" s="87">
        <v>0.41965982516153555</v>
      </c>
      <c r="V47" s="87">
        <v>0.34750462107208874</v>
      </c>
      <c r="W47" s="87">
        <v>0.10036986659267803</v>
      </c>
      <c r="X47" s="87">
        <v>0.20614793553996799</v>
      </c>
      <c r="Y47" s="89">
        <v>0.18688652229565861</v>
      </c>
      <c r="Z47" s="90">
        <v>35332</v>
      </c>
      <c r="AA47" s="90">
        <v>244400</v>
      </c>
      <c r="AB47" s="87">
        <v>0.15748436834661927</v>
      </c>
      <c r="AC47" s="87">
        <v>1.7033458157519432E-3</v>
      </c>
      <c r="AD47" s="87">
        <v>3.0069931445929336E-2</v>
      </c>
      <c r="AE47" s="100">
        <v>0</v>
      </c>
      <c r="AF47" s="93">
        <v>0.44975292887225488</v>
      </c>
      <c r="AG47" s="93">
        <v>0.69896872049623948</v>
      </c>
      <c r="AH47" s="93">
        <f t="shared" si="15"/>
        <v>0.67313204992281328</v>
      </c>
      <c r="AI47" s="93">
        <f t="shared" si="16"/>
        <v>0.54148435214962021</v>
      </c>
      <c r="AJ47" s="93">
        <f t="shared" si="17"/>
        <v>0.69726537468048755</v>
      </c>
      <c r="AK47" s="115">
        <f t="shared" si="18"/>
        <v>0.51208219820058087</v>
      </c>
      <c r="AL47" s="94">
        <f t="shared" si="19"/>
        <v>0.59859885390356149</v>
      </c>
      <c r="AM47" s="94">
        <f t="shared" si="20"/>
        <v>0.49282078495627146</v>
      </c>
      <c r="AN47" s="94">
        <f t="shared" si="21"/>
        <v>0.66889878905031019</v>
      </c>
      <c r="AO47" s="93">
        <v>0.24921579162398463</v>
      </c>
      <c r="AP47" s="93">
        <f t="shared" si="14"/>
        <v>0.2233791210505584</v>
      </c>
      <c r="AQ47" s="94">
        <f t="shared" si="22"/>
        <v>6.2329269328325998E-2</v>
      </c>
      <c r="AR47" s="94">
        <f t="shared" si="23"/>
        <v>0.21914586017805532</v>
      </c>
      <c r="AS47" s="93">
        <v>0.80138372592430884</v>
      </c>
      <c r="AT47" s="93">
        <f t="shared" si="24"/>
        <v>0.77554705535088264</v>
      </c>
      <c r="AU47" s="94">
        <f t="shared" si="25"/>
        <v>0.61449720362865023</v>
      </c>
      <c r="AV47" s="94">
        <f t="shared" si="26"/>
        <v>0.77131379447837956</v>
      </c>
      <c r="AW47" s="93">
        <v>0.87220228947132061</v>
      </c>
      <c r="AX47" s="94">
        <f t="shared" si="27"/>
        <v>0.83333527830020804</v>
      </c>
      <c r="AY47" s="94">
        <f t="shared" si="28"/>
        <v>0.86722005212245667</v>
      </c>
      <c r="AZ47" s="105">
        <v>0</v>
      </c>
      <c r="BA47" s="93">
        <v>0.75298273643903413</v>
      </c>
      <c r="BB47" s="93">
        <v>0.77862350158234539</v>
      </c>
      <c r="BC47" s="93">
        <v>2.5640765143311241E-2</v>
      </c>
      <c r="BD47" s="93">
        <v>0.64335017504454517</v>
      </c>
      <c r="BE47" s="93">
        <v>1.2102639150264225</v>
      </c>
      <c r="BF47" s="108">
        <v>0</v>
      </c>
      <c r="BG47" s="93">
        <v>0.91240301568174464</v>
      </c>
      <c r="BH47" s="93">
        <v>0.94242341290465081</v>
      </c>
      <c r="BI47" s="93">
        <v>3.0020397222906135E-2</v>
      </c>
      <c r="BJ47" s="93">
        <v>0.86192019405558007</v>
      </c>
      <c r="BK47" s="93">
        <v>1.0933998523346811</v>
      </c>
      <c r="BL47" s="108">
        <v>0</v>
      </c>
      <c r="BM47" s="93">
        <v>0.86492722398548194</v>
      </c>
      <c r="BN47" s="93">
        <v>0.87549070249505123</v>
      </c>
      <c r="BO47" s="93">
        <v>1.0563478509569246E-2</v>
      </c>
      <c r="BP47" s="93">
        <v>0.84164953911613627</v>
      </c>
      <c r="BQ47" s="93">
        <v>1.0402081410446129</v>
      </c>
      <c r="BR47" s="93">
        <v>0</v>
      </c>
      <c r="BS47" s="93">
        <v>1.1337770187764769</v>
      </c>
      <c r="BT47" s="93">
        <v>1.2828125979369649</v>
      </c>
      <c r="BU47" s="93">
        <v>0.14903557916048796</v>
      </c>
      <c r="BV47" s="93">
        <v>0.95857292975138619</v>
      </c>
      <c r="BW47" s="93">
        <v>1.3382524773255102</v>
      </c>
    </row>
    <row r="48" spans="1:75" s="85" customFormat="1" x14ac:dyDescent="0.2">
      <c r="A48" s="85" t="s">
        <v>682</v>
      </c>
      <c r="B48" s="85">
        <v>188</v>
      </c>
      <c r="C48" s="85">
        <v>36</v>
      </c>
      <c r="D48" s="85">
        <v>9136</v>
      </c>
      <c r="E48" s="111">
        <v>43410</v>
      </c>
      <c r="F48" s="85" t="s">
        <v>683</v>
      </c>
      <c r="G48" s="85">
        <v>2</v>
      </c>
      <c r="H48" s="85">
        <v>9</v>
      </c>
      <c r="I48" s="85">
        <v>40</v>
      </c>
      <c r="J48" s="87">
        <v>0.15673125598574794</v>
      </c>
      <c r="K48" s="87">
        <v>3.9117193273548796E-2</v>
      </c>
      <c r="L48" s="87">
        <v>0.13716243718357091</v>
      </c>
      <c r="M48" s="87">
        <v>0.66698911355713231</v>
      </c>
      <c r="N48" s="87">
        <v>0.16208232441470172</v>
      </c>
      <c r="O48" s="87">
        <v>0.12082269876707355</v>
      </c>
      <c r="P48" s="87">
        <v>-3.8584338858260892E-3</v>
      </c>
      <c r="Q48" s="87">
        <v>3.0843822372820808E-3</v>
      </c>
      <c r="R48" s="88">
        <v>3.1657628316933598E-2</v>
      </c>
      <c r="S48" s="87">
        <v>0.22190421645491315</v>
      </c>
      <c r="T48" s="87">
        <v>0.77809578354508679</v>
      </c>
      <c r="U48" s="87">
        <v>0.4586903003446578</v>
      </c>
      <c r="V48" s="87">
        <v>0.38121373686686527</v>
      </c>
      <c r="W48" s="87">
        <v>0.10787199078243205</v>
      </c>
      <c r="X48" s="87">
        <v>0.20322445284073654</v>
      </c>
      <c r="Y48" s="89">
        <v>0.18206533946064163</v>
      </c>
      <c r="Z48" s="90">
        <v>37264</v>
      </c>
      <c r="AA48" s="90">
        <v>243100</v>
      </c>
      <c r="AB48" s="87">
        <v>0.12825794176812425</v>
      </c>
      <c r="AC48" s="87">
        <v>-4.0958759711076948E-3</v>
      </c>
      <c r="AD48" s="87">
        <v>2.5273994249132955E-2</v>
      </c>
      <c r="AE48" s="100">
        <v>2</v>
      </c>
      <c r="AF48" s="93">
        <v>-0.29119681769035233</v>
      </c>
      <c r="AG48" s="93">
        <v>-0.20754678840342741</v>
      </c>
      <c r="AH48" s="93">
        <f t="shared" si="15"/>
        <v>-0.23920441672036102</v>
      </c>
      <c r="AI48" s="93">
        <f t="shared" si="16"/>
        <v>-0.33580473017155166</v>
      </c>
      <c r="AJ48" s="93">
        <f t="shared" si="17"/>
        <v>-0.20345091243231972</v>
      </c>
      <c r="AK48" s="115">
        <f t="shared" si="18"/>
        <v>-0.38961212786406907</v>
      </c>
      <c r="AL48" s="94">
        <f t="shared" si="19"/>
        <v>-0.31541877918585948</v>
      </c>
      <c r="AM48" s="94">
        <f t="shared" si="20"/>
        <v>-0.41077124124416398</v>
      </c>
      <c r="AN48" s="94">
        <f t="shared" si="21"/>
        <v>-0.23282078265256037</v>
      </c>
      <c r="AO48" s="93">
        <v>8.3650029286924915E-2</v>
      </c>
      <c r="AP48" s="93">
        <f t="shared" si="14"/>
        <v>5.1992400969991304E-2</v>
      </c>
      <c r="AQ48" s="94">
        <f t="shared" si="22"/>
        <v>-9.8415310173716741E-2</v>
      </c>
      <c r="AR48" s="94">
        <f t="shared" si="23"/>
        <v>5.8376035037791957E-2</v>
      </c>
      <c r="AS48" s="93">
        <v>0.24219114338272518</v>
      </c>
      <c r="AT48" s="93">
        <f t="shared" si="24"/>
        <v>0.2105335150657916</v>
      </c>
      <c r="AU48" s="94">
        <f t="shared" si="25"/>
        <v>6.0125803922083554E-2</v>
      </c>
      <c r="AV48" s="94">
        <f t="shared" si="26"/>
        <v>0.21691714913359222</v>
      </c>
      <c r="AW48" s="93">
        <v>-0.8569544926564443</v>
      </c>
      <c r="AX48" s="94">
        <f t="shared" si="27"/>
        <v>-6.4799487482772564</v>
      </c>
      <c r="AY48" s="94">
        <f t="shared" si="28"/>
        <v>-1.0733166261058207</v>
      </c>
      <c r="AZ48" s="105">
        <v>0</v>
      </c>
      <c r="BA48" s="93">
        <v>0.93497557290242783</v>
      </c>
      <c r="BB48" s="93">
        <v>0.99260881817538327</v>
      </c>
      <c r="BC48" s="93">
        <v>5.7633245272955443E-2</v>
      </c>
      <c r="BD48" s="93">
        <v>0.91801872980355737</v>
      </c>
      <c r="BE48" s="93">
        <v>1.0812511618230132</v>
      </c>
      <c r="BF48" s="108">
        <v>0</v>
      </c>
      <c r="BG48" s="93">
        <v>1.0986572205541207</v>
      </c>
      <c r="BH48" s="93">
        <v>1.2264635280983209</v>
      </c>
      <c r="BI48" s="93">
        <v>0.12780630754420028</v>
      </c>
      <c r="BJ48" s="93">
        <v>1.138450269111563</v>
      </c>
      <c r="BK48" s="93">
        <v>1.077309708974326</v>
      </c>
      <c r="BL48" s="108">
        <v>0</v>
      </c>
      <c r="BM48" s="93">
        <v>0.89921248194255377</v>
      </c>
      <c r="BN48" s="93">
        <v>1.084072916647415</v>
      </c>
      <c r="BO48" s="93">
        <v>0.1848604347048613</v>
      </c>
      <c r="BP48" s="93">
        <v>1.0656797551753989</v>
      </c>
      <c r="BQ48" s="93">
        <v>1.0172595579325694</v>
      </c>
      <c r="BR48" s="93">
        <v>0</v>
      </c>
      <c r="BS48" s="93">
        <v>1.8833901162597693</v>
      </c>
      <c r="BT48" s="93">
        <v>2.2356107098491216</v>
      </c>
      <c r="BU48" s="93">
        <v>0.35222059358935215</v>
      </c>
      <c r="BV48" s="93">
        <v>2.2145573006512889</v>
      </c>
      <c r="BW48" s="93">
        <v>1.0095068252203909</v>
      </c>
    </row>
    <row r="49" spans="1:75" s="85" customFormat="1" x14ac:dyDescent="0.2">
      <c r="A49" s="85" t="s">
        <v>682</v>
      </c>
      <c r="B49" s="85">
        <v>188</v>
      </c>
      <c r="C49" s="85">
        <v>36</v>
      </c>
      <c r="D49" s="85">
        <v>9136</v>
      </c>
      <c r="E49" s="111">
        <v>43410</v>
      </c>
      <c r="F49" s="85" t="s">
        <v>683</v>
      </c>
      <c r="G49" s="85">
        <v>2</v>
      </c>
      <c r="H49" s="85">
        <v>9</v>
      </c>
      <c r="I49" s="85">
        <v>60</v>
      </c>
      <c r="J49" s="87">
        <v>0.2433951379050103</v>
      </c>
      <c r="K49" s="87">
        <v>6.7807485152482083E-2</v>
      </c>
      <c r="L49" s="87">
        <v>0.15941082292672362</v>
      </c>
      <c r="M49" s="87">
        <v>0.52938655401578394</v>
      </c>
      <c r="N49" s="87">
        <v>8.3128954944620637E-2</v>
      </c>
      <c r="O49" s="87">
        <v>8.0758934836389143E-2</v>
      </c>
      <c r="P49" s="87">
        <v>-1.7203029904785165E-2</v>
      </c>
      <c r="Q49" s="87">
        <v>-7.6762925642864417E-3</v>
      </c>
      <c r="R49" s="88">
        <v>1.8903168505314628E-2</v>
      </c>
      <c r="S49" s="87">
        <v>0.29842439073547355</v>
      </c>
      <c r="T49" s="87">
        <v>0.70157560926452645</v>
      </c>
      <c r="U49" s="87">
        <v>0.67518161090195661</v>
      </c>
      <c r="V49" s="87">
        <v>0.48107074569789676</v>
      </c>
      <c r="W49" s="87">
        <v>5.4316534779923917E-2</v>
      </c>
      <c r="X49" s="87">
        <v>0.26961951809772655</v>
      </c>
      <c r="Y49" s="89">
        <v>0.20536785647758149</v>
      </c>
      <c r="Z49" s="90">
        <v>50933</v>
      </c>
      <c r="AA49" s="90">
        <v>251600</v>
      </c>
      <c r="AB49" s="87">
        <v>8.5728715441705405E-2</v>
      </c>
      <c r="AC49" s="87">
        <v>-1.8261677898925792E-2</v>
      </c>
      <c r="AD49" s="87">
        <v>1.2771591876094319E-2</v>
      </c>
      <c r="AE49" s="100">
        <v>0</v>
      </c>
      <c r="AF49" s="93">
        <v>0.35618016079432518</v>
      </c>
      <c r="AG49" s="93">
        <v>0.49172565279054892</v>
      </c>
      <c r="AH49" s="93">
        <f t="shared" si="15"/>
        <v>0.47282248428523427</v>
      </c>
      <c r="AI49" s="93">
        <f t="shared" si="16"/>
        <v>0.40599693734884351</v>
      </c>
      <c r="AJ49" s="93">
        <f t="shared" si="17"/>
        <v>0.50998733068947466</v>
      </c>
      <c r="AK49" s="115">
        <f t="shared" si="18"/>
        <v>0.28635779631296743</v>
      </c>
      <c r="AL49" s="94">
        <f t="shared" si="19"/>
        <v>0.43740911801062499</v>
      </c>
      <c r="AM49" s="94">
        <f t="shared" si="20"/>
        <v>0.22210613469282237</v>
      </c>
      <c r="AN49" s="94">
        <f t="shared" si="21"/>
        <v>0.47895406091445458</v>
      </c>
      <c r="AO49" s="93">
        <v>0.13554549199622376</v>
      </c>
      <c r="AP49" s="93">
        <f t="shared" si="14"/>
        <v>0.11664232349090908</v>
      </c>
      <c r="AQ49" s="94">
        <f t="shared" si="22"/>
        <v>-6.9822364481357757E-2</v>
      </c>
      <c r="AR49" s="94">
        <f t="shared" si="23"/>
        <v>0.1227739001201294</v>
      </c>
      <c r="AS49" s="93">
        <v>0.37218050214076609</v>
      </c>
      <c r="AT49" s="93">
        <f t="shared" si="24"/>
        <v>0.35327733363545144</v>
      </c>
      <c r="AU49" s="94">
        <f t="shared" si="25"/>
        <v>0.1668126456631846</v>
      </c>
      <c r="AV49" s="94">
        <f t="shared" si="26"/>
        <v>0.35940891026467175</v>
      </c>
      <c r="AW49" s="93">
        <v>1.3212020779223101</v>
      </c>
      <c r="AX49" s="94">
        <f t="shared" si="27"/>
        <v>1.7166432147545894</v>
      </c>
      <c r="AY49" s="94">
        <f t="shared" si="28"/>
        <v>1.3326159904097781</v>
      </c>
      <c r="AZ49" s="105">
        <v>0</v>
      </c>
      <c r="BA49" s="93">
        <v>0.50262792491976627</v>
      </c>
      <c r="BB49" s="93">
        <v>0.55977220742021916</v>
      </c>
      <c r="BC49" s="93">
        <v>5.7144282500452843E-2</v>
      </c>
      <c r="BD49" s="93">
        <v>0.52317141966298486</v>
      </c>
      <c r="BE49" s="93">
        <v>1.0699594556996475</v>
      </c>
      <c r="BF49" s="108">
        <v>0</v>
      </c>
      <c r="BG49" s="93">
        <v>0.61745374935339503</v>
      </c>
      <c r="BH49" s="93">
        <v>0.70147485852023328</v>
      </c>
      <c r="BI49" s="93">
        <v>8.4021109166838207E-2</v>
      </c>
      <c r="BJ49" s="93">
        <v>0.66534282446283421</v>
      </c>
      <c r="BK49" s="93">
        <v>1.0543058897292088</v>
      </c>
      <c r="BL49" s="108">
        <v>0</v>
      </c>
      <c r="BM49" s="93">
        <v>0.54419956463844454</v>
      </c>
      <c r="BN49" s="93">
        <v>0.49974780206761071</v>
      </c>
      <c r="BO49" s="93">
        <v>-4.445176257083381E-2</v>
      </c>
      <c r="BP49" s="93">
        <v>0.4372274450862767</v>
      </c>
      <c r="BQ49" s="93">
        <v>1.1429927551071206</v>
      </c>
      <c r="BR49" s="93">
        <v>0</v>
      </c>
      <c r="BS49" s="93">
        <v>0.5726100464685141</v>
      </c>
      <c r="BT49" s="93">
        <v>0.50501675533598589</v>
      </c>
      <c r="BU49" s="93">
        <v>-6.7593291132528169E-2</v>
      </c>
      <c r="BV49" s="93">
        <v>0.55945196189100299</v>
      </c>
      <c r="BW49" s="93">
        <v>0.90269905145918028</v>
      </c>
    </row>
    <row r="50" spans="1:75" x14ac:dyDescent="0.2">
      <c r="A50" s="11" t="s">
        <v>682</v>
      </c>
      <c r="B50" s="11">
        <v>193</v>
      </c>
      <c r="C50" s="11">
        <v>38</v>
      </c>
      <c r="D50" s="11">
        <v>9138</v>
      </c>
      <c r="E50" s="112">
        <v>43411</v>
      </c>
      <c r="F50" s="11" t="s">
        <v>683</v>
      </c>
      <c r="G50" s="11">
        <v>3</v>
      </c>
      <c r="H50" s="11">
        <v>10</v>
      </c>
      <c r="I50" s="11">
        <v>5</v>
      </c>
      <c r="J50" s="8">
        <v>4.1823457192619658E-2</v>
      </c>
      <c r="K50" s="8">
        <v>1.9319446091751149E-2</v>
      </c>
      <c r="L50" s="8">
        <v>0.10792635037399521</v>
      </c>
      <c r="M50" s="8">
        <v>0.830930746341634</v>
      </c>
      <c r="N50" s="8">
        <v>4.0306717510785225E-2</v>
      </c>
      <c r="O50" s="8">
        <v>1.914532689704139E-2</v>
      </c>
      <c r="P50" s="8">
        <v>3.2233214055852506E-3</v>
      </c>
      <c r="Q50" s="8">
        <v>-1.4615496127296474E-2</v>
      </c>
      <c r="R50" s="21">
        <v>-9.740940404536845E-3</v>
      </c>
      <c r="S50" s="8">
        <v>0.1518277744990327</v>
      </c>
      <c r="T50" s="8">
        <v>0.84817222550096738</v>
      </c>
      <c r="U50" s="8">
        <v>0.45524338675023607</v>
      </c>
      <c r="V50" s="8">
        <v>0.28213740458015268</v>
      </c>
      <c r="W50" s="8">
        <v>4.3584987598696036E-2</v>
      </c>
      <c r="X50" s="8">
        <v>2.5165648734487331E-2</v>
      </c>
      <c r="Y50" s="15">
        <v>2.7962215961983679E-2</v>
      </c>
      <c r="Z50" s="5">
        <v>33266</v>
      </c>
      <c r="AA50" s="5">
        <v>277200</v>
      </c>
      <c r="AB50" s="8">
        <v>1.8661509971845396E-2</v>
      </c>
      <c r="AC50" s="8">
        <v>3.1418656299928432E-3</v>
      </c>
      <c r="AD50" s="8">
        <v>5.4981786914328219E-3</v>
      </c>
      <c r="AE50" s="12">
        <v>0</v>
      </c>
      <c r="AF50" s="74">
        <v>0.44930492528401084</v>
      </c>
      <c r="AG50" s="74">
        <v>0.60836961991369831</v>
      </c>
      <c r="AH50" s="74">
        <f t="shared" si="15"/>
        <v>0.61811056031823519</v>
      </c>
      <c r="AI50" s="74">
        <f t="shared" si="16"/>
        <v>0.58970810994185296</v>
      </c>
      <c r="AJ50" s="74">
        <f t="shared" si="17"/>
        <v>0.60522775428370545</v>
      </c>
      <c r="AK50" s="116">
        <f t="shared" si="18"/>
        <v>0.58040740395171464</v>
      </c>
      <c r="AL50" s="83">
        <f t="shared" si="19"/>
        <v>0.56478463231500231</v>
      </c>
      <c r="AM50" s="83">
        <f t="shared" si="20"/>
        <v>0.58320397117921097</v>
      </c>
      <c r="AN50" s="83">
        <f t="shared" si="21"/>
        <v>0.60287144122226544</v>
      </c>
      <c r="AO50" s="74">
        <v>0.15906469462968748</v>
      </c>
      <c r="AP50" s="74">
        <f t="shared" si="14"/>
        <v>0.16880563503422436</v>
      </c>
      <c r="AQ50" s="83">
        <f t="shared" si="22"/>
        <v>0.1311024786677038</v>
      </c>
      <c r="AR50" s="83">
        <f t="shared" si="23"/>
        <v>0.1535665159382546</v>
      </c>
      <c r="AS50" s="74">
        <v>0.70901314569338558</v>
      </c>
      <c r="AT50" s="74">
        <f t="shared" si="24"/>
        <v>0.71875408609792246</v>
      </c>
      <c r="AU50" s="83">
        <f t="shared" si="25"/>
        <v>0.68105092973140191</v>
      </c>
      <c r="AV50" s="83">
        <f t="shared" si="26"/>
        <v>0.70351496700195271</v>
      </c>
      <c r="AW50" s="74">
        <v>0.85805125562056817</v>
      </c>
      <c r="AX50" s="83">
        <f t="shared" si="27"/>
        <v>0.85222320183986855</v>
      </c>
      <c r="AY50" s="83">
        <f t="shared" si="28"/>
        <v>0.85694188396789583</v>
      </c>
      <c r="AZ50" s="102">
        <v>0</v>
      </c>
      <c r="BA50" s="74">
        <v>0.33858299774081463</v>
      </c>
      <c r="BB50" s="74">
        <v>0.91695911570633282</v>
      </c>
      <c r="BC50" s="74">
        <v>0.57837611796551813</v>
      </c>
      <c r="BD50" s="74">
        <v>0.68879915410410764</v>
      </c>
      <c r="BE50" s="74">
        <v>1.3312430920432581</v>
      </c>
      <c r="BF50" s="109">
        <v>0</v>
      </c>
      <c r="BG50" s="74">
        <v>0.26883769727899942</v>
      </c>
      <c r="BH50" s="74">
        <v>0.81556259296930889</v>
      </c>
      <c r="BI50" s="74">
        <v>0.54672489569030946</v>
      </c>
      <c r="BJ50" s="74">
        <v>0.86108441867156993</v>
      </c>
      <c r="BK50" s="74">
        <v>0.94713430563232182</v>
      </c>
      <c r="BL50" s="109">
        <v>0</v>
      </c>
      <c r="BM50" s="74">
        <v>0.32275364809204748</v>
      </c>
      <c r="BN50" s="74">
        <v>0.68089949452842791</v>
      </c>
      <c r="BO50" s="74">
        <v>0.35814584643638042</v>
      </c>
      <c r="BP50" s="74">
        <v>0.729167973167544</v>
      </c>
      <c r="BQ50" s="74">
        <v>0.93380334790427599</v>
      </c>
      <c r="BR50" s="74">
        <v>0</v>
      </c>
      <c r="BS50" s="74">
        <v>0.34692675495992759</v>
      </c>
      <c r="BT50" s="74">
        <v>0.28813365784991202</v>
      </c>
      <c r="BU50" s="74">
        <v>-5.8793097110015548E-2</v>
      </c>
      <c r="BV50" s="74">
        <v>0.45189611082399272</v>
      </c>
      <c r="BW50" s="74">
        <v>0.63761039528427388</v>
      </c>
    </row>
    <row r="51" spans="1:75" x14ac:dyDescent="0.2">
      <c r="A51" s="11" t="s">
        <v>682</v>
      </c>
      <c r="B51" s="11">
        <v>193</v>
      </c>
      <c r="C51" s="11">
        <v>38</v>
      </c>
      <c r="D51" s="11">
        <v>9138</v>
      </c>
      <c r="E51" s="112">
        <v>43411</v>
      </c>
      <c r="F51" s="11" t="s">
        <v>683</v>
      </c>
      <c r="G51" s="11">
        <v>3</v>
      </c>
      <c r="H51" s="11">
        <v>10</v>
      </c>
      <c r="I51" s="11">
        <v>12</v>
      </c>
      <c r="J51" s="8">
        <v>4.1569749318055002E-2</v>
      </c>
      <c r="K51" s="8">
        <v>1.9721574747679601E-2</v>
      </c>
      <c r="L51" s="8">
        <v>0.10620313517180542</v>
      </c>
      <c r="M51" s="8">
        <v>0.83250554076245986</v>
      </c>
      <c r="N51" s="8">
        <v>0.25995407637796586</v>
      </c>
      <c r="O51" s="8">
        <v>0.14751235584906838</v>
      </c>
      <c r="P51" s="8">
        <v>5.4456581827636063E-3</v>
      </c>
      <c r="Q51" s="8">
        <v>-1.7360512523816946E-2</v>
      </c>
      <c r="R51" s="21">
        <v>-1.5897515314791492E-4</v>
      </c>
      <c r="S51" s="8">
        <v>0.15661401769588648</v>
      </c>
      <c r="T51" s="8">
        <v>0.84338598230411344</v>
      </c>
      <c r="U51" s="8">
        <v>0.46184163870932549</v>
      </c>
      <c r="V51" s="8">
        <v>0.27986658580958157</v>
      </c>
      <c r="W51" s="8">
        <v>0.20619012835549158</v>
      </c>
      <c r="X51" s="8">
        <v>0.10738733588749892</v>
      </c>
      <c r="Y51" s="15">
        <v>0.12286123817548411</v>
      </c>
      <c r="Z51" s="5">
        <v>33865</v>
      </c>
      <c r="AA51" s="5">
        <v>276900</v>
      </c>
      <c r="AB51" s="8">
        <v>0.14378460678429048</v>
      </c>
      <c r="AC51" s="8">
        <v>5.3080422720078475E-3</v>
      </c>
      <c r="AD51" s="8">
        <v>2.6995413397000043E-2</v>
      </c>
      <c r="AE51" s="12">
        <v>0</v>
      </c>
      <c r="AF51" s="74">
        <v>0.44343652314622956</v>
      </c>
      <c r="AG51" s="74">
        <v>0.72123848699830329</v>
      </c>
      <c r="AH51" s="74">
        <f t="shared" si="15"/>
        <v>0.72139746215145117</v>
      </c>
      <c r="AI51" s="74">
        <f t="shared" si="16"/>
        <v>0.57745388021401278</v>
      </c>
      <c r="AJ51" s="74">
        <f t="shared" si="17"/>
        <v>0.71593044472629541</v>
      </c>
      <c r="AK51" s="116">
        <f t="shared" si="18"/>
        <v>0.59837724882281917</v>
      </c>
      <c r="AL51" s="83">
        <f t="shared" si="19"/>
        <v>0.51504835864281173</v>
      </c>
      <c r="AM51" s="83">
        <f t="shared" si="20"/>
        <v>0.61385115111080435</v>
      </c>
      <c r="AN51" s="83">
        <f t="shared" si="21"/>
        <v>0.69424307360130322</v>
      </c>
      <c r="AO51" s="74">
        <v>0.27780196385207367</v>
      </c>
      <c r="AP51" s="74">
        <f t="shared" si="14"/>
        <v>0.27796093900522162</v>
      </c>
      <c r="AQ51" s="83">
        <f t="shared" si="22"/>
        <v>0.15494072567658962</v>
      </c>
      <c r="AR51" s="83">
        <f t="shared" si="23"/>
        <v>0.25080655045507366</v>
      </c>
      <c r="AS51" s="74">
        <v>0.76291118339887132</v>
      </c>
      <c r="AT51" s="74">
        <f t="shared" si="24"/>
        <v>0.76307015855201921</v>
      </c>
      <c r="AU51" s="83">
        <f t="shared" si="25"/>
        <v>0.64004994522338721</v>
      </c>
      <c r="AV51" s="83">
        <f t="shared" si="26"/>
        <v>0.73591577000187125</v>
      </c>
      <c r="AW51" s="74">
        <v>0.94537673938018496</v>
      </c>
      <c r="AX51" s="83">
        <f t="shared" si="27"/>
        <v>0.93489149290369267</v>
      </c>
      <c r="AY51" s="83">
        <f t="shared" si="28"/>
        <v>0.94337300802717938</v>
      </c>
      <c r="AZ51" s="102">
        <v>0</v>
      </c>
      <c r="BA51" s="74">
        <v>0.51863968405735028</v>
      </c>
      <c r="BB51" s="74">
        <v>0.92591474741075419</v>
      </c>
      <c r="BC51" s="74">
        <v>0.40727506335340391</v>
      </c>
      <c r="BD51" s="74">
        <v>0.76896479462241196</v>
      </c>
      <c r="BE51" s="74">
        <v>1.2041055115734005</v>
      </c>
      <c r="BF51" s="109">
        <v>0</v>
      </c>
      <c r="BG51" s="74">
        <v>0.45660882349534848</v>
      </c>
      <c r="BH51" s="74">
        <v>0.73869268505826691</v>
      </c>
      <c r="BI51" s="74">
        <v>0.28208386156291848</v>
      </c>
      <c r="BJ51" s="74">
        <v>0.8332095031533</v>
      </c>
      <c r="BK51" s="74">
        <v>0.88656296197135043</v>
      </c>
      <c r="BL51" s="109">
        <v>0</v>
      </c>
      <c r="BM51" s="74">
        <v>0.31255827966092342</v>
      </c>
      <c r="BN51" s="74">
        <v>0.68790776386446428</v>
      </c>
      <c r="BO51" s="74">
        <v>0.37534948420354086</v>
      </c>
      <c r="BP51" s="74">
        <v>0.81817033637402659</v>
      </c>
      <c r="BQ51" s="74">
        <v>0.84078795488130142</v>
      </c>
      <c r="BR51" s="74">
        <v>0</v>
      </c>
      <c r="BS51" s="74">
        <v>0.35032416547270523</v>
      </c>
      <c r="BT51" s="74">
        <v>0.18920785016726474</v>
      </c>
      <c r="BU51" s="74">
        <v>-0.16111631530544049</v>
      </c>
      <c r="BV51" s="74">
        <v>0.31858946188211418</v>
      </c>
      <c r="BW51" s="74">
        <v>0.59389236872271756</v>
      </c>
    </row>
    <row r="52" spans="1:75" x14ac:dyDescent="0.2">
      <c r="A52" s="11" t="s">
        <v>682</v>
      </c>
      <c r="B52" s="11">
        <v>193</v>
      </c>
      <c r="C52" s="11">
        <v>38</v>
      </c>
      <c r="D52" s="11">
        <v>9138</v>
      </c>
      <c r="E52" s="112">
        <v>43411</v>
      </c>
      <c r="F52" s="11" t="s">
        <v>683</v>
      </c>
      <c r="G52" s="11">
        <v>3</v>
      </c>
      <c r="H52" s="11">
        <v>10</v>
      </c>
      <c r="I52" s="11">
        <v>20</v>
      </c>
      <c r="J52" s="8">
        <v>6.5051153969257383E-2</v>
      </c>
      <c r="K52" s="8">
        <v>2.3671845025252897E-2</v>
      </c>
      <c r="L52" s="8">
        <v>9.0060058008452917E-2</v>
      </c>
      <c r="M52" s="8">
        <v>0.82121694299703685</v>
      </c>
      <c r="N52" s="8">
        <v>0.49095520981541174</v>
      </c>
      <c r="O52" s="8">
        <v>0.27773592058987273</v>
      </c>
      <c r="P52" s="8">
        <v>-6.6552798713444524E-3</v>
      </c>
      <c r="Q52" s="8">
        <v>1.9062815885451223E-2</v>
      </c>
      <c r="R52" s="21">
        <v>5.3567057110950667E-2</v>
      </c>
      <c r="S52" s="8">
        <v>0.2081372455206123</v>
      </c>
      <c r="T52" s="8">
        <v>0.7918627544793877</v>
      </c>
      <c r="U52" s="8">
        <v>0.49295630121523959</v>
      </c>
      <c r="V52" s="8">
        <v>0.29670448406266881</v>
      </c>
      <c r="W52" s="8">
        <v>0.37102218529868414</v>
      </c>
      <c r="X52" s="8">
        <v>0.20441089985605718</v>
      </c>
      <c r="Y52" s="15">
        <v>0.23908891388073406</v>
      </c>
      <c r="Z52" s="5">
        <v>33628</v>
      </c>
      <c r="AA52" s="5">
        <v>274600</v>
      </c>
      <c r="AB52" s="8">
        <v>0.27071732331864851</v>
      </c>
      <c r="AC52" s="8">
        <v>-6.4870959034765419E-3</v>
      </c>
      <c r="AD52" s="8">
        <v>5.1209468359557642E-2</v>
      </c>
      <c r="AE52" s="12">
        <v>0</v>
      </c>
      <c r="AF52" s="74">
        <v>0.3895152304015484</v>
      </c>
      <c r="AG52" s="74">
        <v>0.64082965868245456</v>
      </c>
      <c r="AH52" s="74">
        <f t="shared" si="15"/>
        <v>0.58726260157150389</v>
      </c>
      <c r="AI52" s="74">
        <f t="shared" si="16"/>
        <v>0.37011233536380606</v>
      </c>
      <c r="AJ52" s="74">
        <f t="shared" si="17"/>
        <v>0.64731675458593108</v>
      </c>
      <c r="AK52" s="116">
        <f t="shared" si="18"/>
        <v>0.40174074480172051</v>
      </c>
      <c r="AL52" s="83">
        <f t="shared" si="19"/>
        <v>0.26980747338377042</v>
      </c>
      <c r="AM52" s="83">
        <f t="shared" si="20"/>
        <v>0.43641875882639736</v>
      </c>
      <c r="AN52" s="83">
        <f t="shared" si="21"/>
        <v>0.58962019032289692</v>
      </c>
      <c r="AO52" s="74">
        <v>0.25131442828090617</v>
      </c>
      <c r="AP52" s="74">
        <f t="shared" si="14"/>
        <v>0.1977473711699555</v>
      </c>
      <c r="AQ52" s="83">
        <f t="shared" si="22"/>
        <v>1.2225514400172111E-2</v>
      </c>
      <c r="AR52" s="83">
        <f t="shared" si="23"/>
        <v>0.20010495992134852</v>
      </c>
      <c r="AS52" s="74">
        <v>0.67719730285332924</v>
      </c>
      <c r="AT52" s="74">
        <f t="shared" si="24"/>
        <v>0.62363024574237858</v>
      </c>
      <c r="AU52" s="83">
        <f t="shared" si="25"/>
        <v>0.43810838897259519</v>
      </c>
      <c r="AV52" s="83">
        <f t="shared" si="26"/>
        <v>0.6259878344937716</v>
      </c>
      <c r="AW52" s="74">
        <v>0.94629682661516545</v>
      </c>
      <c r="AX52" s="83">
        <f t="shared" si="27"/>
        <v>0.91698939101312305</v>
      </c>
      <c r="AY52" s="83">
        <f t="shared" si="28"/>
        <v>0.94190359274268531</v>
      </c>
      <c r="AZ52" s="102">
        <v>0</v>
      </c>
      <c r="BA52" s="74">
        <v>0.43816317525305282</v>
      </c>
      <c r="BB52" s="74">
        <v>0.68180636395993144</v>
      </c>
      <c r="BC52" s="74">
        <v>0.24364318870687868</v>
      </c>
      <c r="BD52" s="74">
        <v>0.51357133146859779</v>
      </c>
      <c r="BE52" s="74">
        <v>1.3275787065649718</v>
      </c>
      <c r="BF52" s="109">
        <v>0</v>
      </c>
      <c r="BG52" s="74">
        <v>0.4001192424824051</v>
      </c>
      <c r="BH52" s="74">
        <v>0.51018814514649014</v>
      </c>
      <c r="BI52" s="74">
        <v>0.11006890266408499</v>
      </c>
      <c r="BJ52" s="74">
        <v>0.53053287596496046</v>
      </c>
      <c r="BK52" s="74">
        <v>0.96165227125375352</v>
      </c>
      <c r="BL52" s="109">
        <v>0</v>
      </c>
      <c r="BM52" s="74">
        <v>0.4528373831635612</v>
      </c>
      <c r="BN52" s="74">
        <v>1.0887151559326143</v>
      </c>
      <c r="BO52" s="74">
        <v>0.635877772769053</v>
      </c>
      <c r="BP52" s="74">
        <v>1.0032464989730807</v>
      </c>
      <c r="BQ52" s="74">
        <v>1.0851920809561946</v>
      </c>
      <c r="BR52" s="74">
        <v>0</v>
      </c>
      <c r="BS52" s="74">
        <v>0.42843251849335423</v>
      </c>
      <c r="BT52" s="74">
        <v>0.77720911210332067</v>
      </c>
      <c r="BU52" s="74">
        <v>0.34877659360996649</v>
      </c>
      <c r="BV52" s="74">
        <v>0.59869642418004554</v>
      </c>
      <c r="BW52" s="74">
        <v>1.2981689562748935</v>
      </c>
    </row>
    <row r="53" spans="1:75" x14ac:dyDescent="0.2">
      <c r="A53" s="11" t="s">
        <v>682</v>
      </c>
      <c r="B53" s="11">
        <v>193</v>
      </c>
      <c r="C53" s="11">
        <v>38</v>
      </c>
      <c r="D53" s="11">
        <v>9138</v>
      </c>
      <c r="E53" s="112">
        <v>43411</v>
      </c>
      <c r="F53" s="11" t="s">
        <v>683</v>
      </c>
      <c r="G53" s="11">
        <v>3</v>
      </c>
      <c r="H53" s="11">
        <v>10</v>
      </c>
      <c r="I53" s="11">
        <v>25</v>
      </c>
      <c r="J53" s="8">
        <v>0.16112606428739626</v>
      </c>
      <c r="K53" s="8">
        <v>3.6402665129461442E-2</v>
      </c>
      <c r="L53" s="8">
        <v>8.6910214917459275E-2</v>
      </c>
      <c r="M53" s="8">
        <v>0.71556105566568295</v>
      </c>
      <c r="N53" s="8">
        <v>0.37948001350245486</v>
      </c>
      <c r="O53" s="8">
        <v>0.14638624943015857</v>
      </c>
      <c r="P53" s="8">
        <v>1.8578731978232458E-2</v>
      </c>
      <c r="Q53" s="8">
        <v>4.9156841536481539E-2</v>
      </c>
      <c r="R53" s="21">
        <v>0.10326237368109989</v>
      </c>
      <c r="S53" s="8">
        <v>0.29520570045570405</v>
      </c>
      <c r="T53" s="8">
        <v>0.70479429954429595</v>
      </c>
      <c r="U53" s="8">
        <v>0.73701133556169163</v>
      </c>
      <c r="V53" s="8">
        <v>0.39615209816694441</v>
      </c>
      <c r="W53" s="8">
        <v>0.11787544575868017</v>
      </c>
      <c r="X53" s="8">
        <v>0.11670704916844933</v>
      </c>
      <c r="Y53" s="15">
        <v>0.11705196650227848</v>
      </c>
      <c r="Z53" s="5">
        <v>40571</v>
      </c>
      <c r="AA53" s="5">
        <v>261500</v>
      </c>
      <c r="AB53" s="8">
        <v>0.1426869579283134</v>
      </c>
      <c r="AC53" s="8">
        <v>1.8109233336183264E-2</v>
      </c>
      <c r="AD53" s="8">
        <v>5.4885287785580827E-2</v>
      </c>
      <c r="AE53" s="12">
        <v>0</v>
      </c>
      <c r="AF53" s="74">
        <v>0.24286354516212869</v>
      </c>
      <c r="AG53" s="74">
        <v>0.40328383800298223</v>
      </c>
      <c r="AH53" s="74">
        <f t="shared" si="15"/>
        <v>0.30002146432188237</v>
      </c>
      <c r="AI53" s="74">
        <f t="shared" si="16"/>
        <v>0.26059688007466886</v>
      </c>
      <c r="AJ53" s="74">
        <f t="shared" si="17"/>
        <v>0.38517460466679898</v>
      </c>
      <c r="AK53" s="116">
        <f t="shared" si="18"/>
        <v>0.28623187150070373</v>
      </c>
      <c r="AL53" s="83">
        <f t="shared" si="19"/>
        <v>0.28540839224430203</v>
      </c>
      <c r="AM53" s="83">
        <f t="shared" si="20"/>
        <v>0.28657678883453291</v>
      </c>
      <c r="AN53" s="83">
        <f t="shared" si="21"/>
        <v>0.3483985502174014</v>
      </c>
      <c r="AO53" s="74">
        <v>0.16042029284085355</v>
      </c>
      <c r="AP53" s="74">
        <f t="shared" si="14"/>
        <v>5.7157919159753684E-2</v>
      </c>
      <c r="AQ53" s="83">
        <f t="shared" si="22"/>
        <v>4.3368326338575042E-2</v>
      </c>
      <c r="AR53" s="83">
        <f t="shared" si="23"/>
        <v>0.10553500505527272</v>
      </c>
      <c r="AS53" s="74">
        <v>0.53525150865132243</v>
      </c>
      <c r="AT53" s="74">
        <f t="shared" si="24"/>
        <v>0.43198913497022251</v>
      </c>
      <c r="AU53" s="83">
        <f t="shared" si="25"/>
        <v>0.41819954214904398</v>
      </c>
      <c r="AV53" s="83">
        <f t="shared" si="26"/>
        <v>0.4803662208657416</v>
      </c>
      <c r="AW53" s="74">
        <v>0.75344736350045938</v>
      </c>
      <c r="AX53" s="83">
        <f t="shared" si="27"/>
        <v>0.6844385099749638</v>
      </c>
      <c r="AY53" s="83">
        <f t="shared" si="28"/>
        <v>0.72527695554757987</v>
      </c>
      <c r="AZ53" s="102">
        <v>0</v>
      </c>
      <c r="BA53" s="74">
        <v>0.51195635542583273</v>
      </c>
      <c r="BB53" s="74">
        <v>0.37951673218251591</v>
      </c>
      <c r="BC53" s="74">
        <v>-0.13243962324331679</v>
      </c>
      <c r="BD53" s="74">
        <v>0.45244623551592311</v>
      </c>
      <c r="BE53" s="74">
        <v>0.8388106749297054</v>
      </c>
      <c r="BF53" s="109">
        <v>0</v>
      </c>
      <c r="BG53" s="74">
        <v>0.47335999922050437</v>
      </c>
      <c r="BH53" s="74">
        <v>0.32961207498311562</v>
      </c>
      <c r="BI53" s="74">
        <v>-0.14374792423738877</v>
      </c>
      <c r="BJ53" s="74">
        <v>0.52854458236941892</v>
      </c>
      <c r="BK53" s="74">
        <v>0.62362208596575464</v>
      </c>
      <c r="BL53" s="109">
        <v>0</v>
      </c>
      <c r="BM53" s="74">
        <v>0.42741424884554968</v>
      </c>
      <c r="BN53" s="74">
        <v>0.70305943222328215</v>
      </c>
      <c r="BO53" s="74">
        <v>0.27564518337773247</v>
      </c>
      <c r="BP53" s="74">
        <v>0.89828337246058831</v>
      </c>
      <c r="BQ53" s="74">
        <v>0.78266998341230953</v>
      </c>
      <c r="BR53" s="74">
        <v>0</v>
      </c>
      <c r="BS53" s="74">
        <v>0.27754723237021123</v>
      </c>
      <c r="BT53" s="74">
        <v>0.368519010575938</v>
      </c>
      <c r="BU53" s="74">
        <v>9.0971778205726786E-2</v>
      </c>
      <c r="BV53" s="74">
        <v>0.63352749062626512</v>
      </c>
      <c r="BW53" s="74">
        <v>0.58169379549992928</v>
      </c>
    </row>
    <row r="54" spans="1:75" x14ac:dyDescent="0.2">
      <c r="A54" s="11" t="s">
        <v>682</v>
      </c>
      <c r="B54" s="11">
        <v>193</v>
      </c>
      <c r="C54" s="11">
        <v>38</v>
      </c>
      <c r="D54" s="11">
        <v>9138</v>
      </c>
      <c r="E54" s="112">
        <v>43411</v>
      </c>
      <c r="F54" s="11" t="s">
        <v>683</v>
      </c>
      <c r="G54" s="11">
        <v>3</v>
      </c>
      <c r="H54" s="11">
        <v>10</v>
      </c>
      <c r="I54" s="11">
        <v>30</v>
      </c>
      <c r="J54" s="8">
        <v>0.22803327281095095</v>
      </c>
      <c r="K54" s="8">
        <v>4.4816691968368315E-2</v>
      </c>
      <c r="L54" s="8">
        <v>7.3639734131202825E-2</v>
      </c>
      <c r="M54" s="8">
        <v>0.65351030108947783</v>
      </c>
      <c r="N54" s="8">
        <v>0.32064786213538515</v>
      </c>
      <c r="O54" s="8">
        <v>0.1561469602782444</v>
      </c>
      <c r="P54" s="8">
        <v>1.2136442635892364E-2</v>
      </c>
      <c r="Q54" s="8">
        <v>1.1424504617569312E-2</v>
      </c>
      <c r="R54" s="21">
        <v>8.8476127504585153E-2</v>
      </c>
      <c r="S54" s="8">
        <v>0.37833905212281743</v>
      </c>
      <c r="T54" s="8">
        <v>0.62166094787718262</v>
      </c>
      <c r="U54" s="8">
        <v>0.92850778342680429</v>
      </c>
      <c r="V54" s="8">
        <v>0.54355621176966884</v>
      </c>
      <c r="W54" s="8">
        <v>-1.8257118917915111E-2</v>
      </c>
      <c r="X54" s="8">
        <v>3.9601324285887141E-2</v>
      </c>
      <c r="Y54" s="15">
        <v>1.7711215726858728E-2</v>
      </c>
      <c r="Z54" s="5">
        <v>53145</v>
      </c>
      <c r="AA54" s="5">
        <v>257700</v>
      </c>
      <c r="AB54" s="8">
        <v>0.15220100821345123</v>
      </c>
      <c r="AC54" s="8">
        <v>1.1829745529570173E-2</v>
      </c>
      <c r="AD54" s="8">
        <v>6.4937675998672742E-2</v>
      </c>
      <c r="AE54" s="12">
        <v>0</v>
      </c>
      <c r="AF54" s="74">
        <v>0.25600120527780784</v>
      </c>
      <c r="AG54" s="74">
        <v>0.36136172093563457</v>
      </c>
      <c r="AH54" s="74">
        <f t="shared" si="15"/>
        <v>0.2728855934310494</v>
      </c>
      <c r="AI54" s="74">
        <f t="shared" si="16"/>
        <v>0.20916071272218334</v>
      </c>
      <c r="AJ54" s="74">
        <f t="shared" si="17"/>
        <v>0.3495319754060644</v>
      </c>
      <c r="AK54" s="116">
        <f t="shared" si="18"/>
        <v>0.34365050520877582</v>
      </c>
      <c r="AL54" s="83">
        <f t="shared" si="19"/>
        <v>0.37961883985354966</v>
      </c>
      <c r="AM54" s="83">
        <f t="shared" si="20"/>
        <v>0.32176039664974743</v>
      </c>
      <c r="AN54" s="83">
        <f t="shared" si="21"/>
        <v>0.29642404493696184</v>
      </c>
      <c r="AO54" s="74">
        <v>0.10536051565782674</v>
      </c>
      <c r="AP54" s="74">
        <f t="shared" si="14"/>
        <v>1.6884388153241559E-2</v>
      </c>
      <c r="AQ54" s="83">
        <f t="shared" si="22"/>
        <v>8.7649299930967983E-2</v>
      </c>
      <c r="AR54" s="83">
        <f t="shared" si="23"/>
        <v>4.0422839659153997E-2</v>
      </c>
      <c r="AS54" s="74">
        <v>0.3524990336777889</v>
      </c>
      <c r="AT54" s="74">
        <f t="shared" si="24"/>
        <v>0.26402290617320373</v>
      </c>
      <c r="AU54" s="83">
        <f t="shared" si="25"/>
        <v>0.33478781795093016</v>
      </c>
      <c r="AV54" s="83">
        <f t="shared" si="26"/>
        <v>0.28756135767911617</v>
      </c>
      <c r="AW54" s="74">
        <v>1.0251424441235399</v>
      </c>
      <c r="AX54" s="83">
        <f t="shared" si="27"/>
        <v>1.0264725500231453</v>
      </c>
      <c r="AY54" s="83">
        <f t="shared" si="28"/>
        <v>1.0308201607106591</v>
      </c>
      <c r="AZ54" s="102">
        <v>0</v>
      </c>
      <c r="BA54" s="74">
        <v>0.6453158076424651</v>
      </c>
      <c r="BB54" s="74">
        <v>0.14971757183048623</v>
      </c>
      <c r="BC54" s="74">
        <v>-0.49559823581197887</v>
      </c>
      <c r="BD54" s="74">
        <v>0.19856356709226813</v>
      </c>
      <c r="BE54" s="74">
        <v>0.7540032344448957</v>
      </c>
      <c r="BF54" s="109">
        <v>0</v>
      </c>
      <c r="BG54" s="74">
        <v>0.5361779488761681</v>
      </c>
      <c r="BH54" s="74">
        <v>0.22613342478988185</v>
      </c>
      <c r="BI54" s="74">
        <v>-0.31004452408628624</v>
      </c>
      <c r="BJ54" s="74">
        <v>0.17930779622616932</v>
      </c>
      <c r="BK54" s="74">
        <v>1.2611466402980558</v>
      </c>
      <c r="BL54" s="109">
        <v>0</v>
      </c>
      <c r="BM54" s="74">
        <v>0.44981220618592105</v>
      </c>
      <c r="BN54" s="74">
        <v>0.55106593989109398</v>
      </c>
      <c r="BO54" s="74">
        <v>0.10125373370517289</v>
      </c>
      <c r="BP54" s="74">
        <v>0.46483126196963642</v>
      </c>
      <c r="BQ54" s="74">
        <v>1.1855182406537248</v>
      </c>
      <c r="BR54" s="74">
        <v>0</v>
      </c>
      <c r="BS54" s="74">
        <v>0.26788585316076069</v>
      </c>
      <c r="BT54" s="74">
        <v>0.3335888092631405</v>
      </c>
      <c r="BU54" s="74">
        <v>6.5702956102379792E-2</v>
      </c>
      <c r="BV54" s="74">
        <v>0.26120580160038676</v>
      </c>
      <c r="BW54" s="74">
        <v>1.2771110259391978</v>
      </c>
    </row>
    <row r="55" spans="1:75" x14ac:dyDescent="0.2">
      <c r="A55" s="11" t="s">
        <v>682</v>
      </c>
      <c r="B55" s="11">
        <v>193</v>
      </c>
      <c r="C55" s="11">
        <v>38</v>
      </c>
      <c r="D55" s="11">
        <v>9138</v>
      </c>
      <c r="E55" s="112">
        <v>43411</v>
      </c>
      <c r="F55" s="11" t="s">
        <v>683</v>
      </c>
      <c r="G55" s="11">
        <v>3</v>
      </c>
      <c r="H55" s="11">
        <v>10</v>
      </c>
      <c r="I55" s="11">
        <v>40</v>
      </c>
      <c r="J55" s="8">
        <v>0.18641794515980747</v>
      </c>
      <c r="K55" s="8">
        <v>3.1349367095308292E-2</v>
      </c>
      <c r="L55" s="8">
        <v>5.4743062282085496E-2</v>
      </c>
      <c r="M55" s="8">
        <v>0.72748962546279872</v>
      </c>
      <c r="N55" s="8">
        <v>0.14932556602087085</v>
      </c>
      <c r="O55" s="8">
        <v>5.1987881408254007E-2</v>
      </c>
      <c r="P55" s="8">
        <v>-1.9257533023647232E-3</v>
      </c>
      <c r="Q55" s="8">
        <v>-7.8739985082675133E-4</v>
      </c>
      <c r="R55" s="21">
        <v>2.878850550067192E-2</v>
      </c>
      <c r="S55" s="8">
        <v>0.36413616530537851</v>
      </c>
      <c r="T55" s="8">
        <v>0.63586383469462138</v>
      </c>
      <c r="U55" s="8">
        <v>0.88398860545090596</v>
      </c>
      <c r="V55" s="8">
        <v>0.6971754481260185</v>
      </c>
      <c r="W55" s="8">
        <v>-4.124250856344075E-3</v>
      </c>
      <c r="X55" s="8">
        <v>-3.910337262025123E-2</v>
      </c>
      <c r="Y55" s="15">
        <v>-2.6366209355392165E-2</v>
      </c>
      <c r="Z55" s="5">
        <v>68891</v>
      </c>
      <c r="AA55" s="5">
        <v>256700</v>
      </c>
      <c r="AB55" s="8">
        <v>5.0674108231872135E-2</v>
      </c>
      <c r="AC55" s="8">
        <v>-1.8770880564565895E-3</v>
      </c>
      <c r="AD55" s="8">
        <v>1.7258703042185675E-2</v>
      </c>
      <c r="AE55" s="12">
        <v>0</v>
      </c>
      <c r="AF55" s="74">
        <v>0.5650856623684809</v>
      </c>
      <c r="AG55" s="74">
        <v>0.51411921877645372</v>
      </c>
      <c r="AH55" s="74">
        <f t="shared" si="15"/>
        <v>0.48533071327578181</v>
      </c>
      <c r="AI55" s="74">
        <f t="shared" si="16"/>
        <v>0.4634451105445816</v>
      </c>
      <c r="AJ55" s="74">
        <f t="shared" si="17"/>
        <v>0.51599630683291031</v>
      </c>
      <c r="AK55" s="116">
        <f t="shared" si="18"/>
        <v>0.54048542813184586</v>
      </c>
      <c r="AL55" s="83">
        <f t="shared" si="19"/>
        <v>0.51824346963279777</v>
      </c>
      <c r="AM55" s="83">
        <f t="shared" si="20"/>
        <v>0.55322259139670493</v>
      </c>
      <c r="AN55" s="83">
        <f t="shared" si="21"/>
        <v>0.49686051573426804</v>
      </c>
      <c r="AO55" s="74">
        <v>-5.0966443592027164E-2</v>
      </c>
      <c r="AP55" s="74">
        <f t="shared" si="14"/>
        <v>-7.975494909269909E-2</v>
      </c>
      <c r="AQ55" s="83">
        <f t="shared" si="22"/>
        <v>-2.4600234236635043E-2</v>
      </c>
      <c r="AR55" s="83">
        <f t="shared" si="23"/>
        <v>-6.8225146634212863E-2</v>
      </c>
      <c r="AS55" s="74">
        <v>0.34349370174569011</v>
      </c>
      <c r="AT55" s="74">
        <f t="shared" si="24"/>
        <v>0.31470519624501819</v>
      </c>
      <c r="AU55" s="83">
        <f t="shared" si="25"/>
        <v>0.36985991110108229</v>
      </c>
      <c r="AV55" s="83">
        <f t="shared" si="26"/>
        <v>0.32623499870350442</v>
      </c>
      <c r="AW55" s="74">
        <v>1.4967355039222476</v>
      </c>
      <c r="AX55" s="83">
        <f t="shared" si="27"/>
        <v>1.4613247121668502</v>
      </c>
      <c r="AY55" s="83">
        <f t="shared" si="28"/>
        <v>1.5230141392212642</v>
      </c>
      <c r="AZ55" s="102">
        <v>0</v>
      </c>
      <c r="BA55" s="74">
        <v>0.5153376650171495</v>
      </c>
      <c r="BB55" s="74">
        <v>0.11665374306270032</v>
      </c>
      <c r="BC55" s="74">
        <v>-0.39868392195444918</v>
      </c>
      <c r="BD55" s="74">
        <v>0.18335696574818539</v>
      </c>
      <c r="BE55" s="74">
        <v>0.63621113376683813</v>
      </c>
      <c r="BF55" s="109">
        <v>0</v>
      </c>
      <c r="BG55" s="74">
        <v>0.44706257873091043</v>
      </c>
      <c r="BH55" s="74">
        <v>0.23814566666935635</v>
      </c>
      <c r="BI55" s="74">
        <v>-0.20891691206155408</v>
      </c>
      <c r="BJ55" s="74">
        <v>0.35787985323652616</v>
      </c>
      <c r="BK55" s="74">
        <v>0.66543468294082386</v>
      </c>
      <c r="BL55" s="109">
        <v>0</v>
      </c>
      <c r="BM55" s="74">
        <v>0.3019617885425126</v>
      </c>
      <c r="BN55" s="74">
        <v>0.26096813493677889</v>
      </c>
      <c r="BO55" s="74">
        <v>-4.0993653605733725E-2</v>
      </c>
      <c r="BP55" s="74">
        <v>0.29056860471306967</v>
      </c>
      <c r="BQ55" s="74">
        <v>0.89812915333533505</v>
      </c>
      <c r="BR55" s="74">
        <v>0</v>
      </c>
      <c r="BS55" s="74">
        <v>0.48521258378622018</v>
      </c>
      <c r="BT55" s="74">
        <v>0.33331771362297358</v>
      </c>
      <c r="BU55" s="74">
        <v>-0.15189487016324657</v>
      </c>
      <c r="BV55" s="74">
        <v>0.28814874525506218</v>
      </c>
      <c r="BW55" s="74">
        <v>1.1567557350559654</v>
      </c>
    </row>
    <row r="56" spans="1:75" s="85" customFormat="1" x14ac:dyDescent="0.2">
      <c r="A56" s="85" t="s">
        <v>682</v>
      </c>
      <c r="B56" s="85">
        <v>207</v>
      </c>
      <c r="C56" s="85">
        <v>41</v>
      </c>
      <c r="D56" s="85">
        <v>9141</v>
      </c>
      <c r="E56" s="111">
        <v>43412</v>
      </c>
      <c r="F56" s="85" t="s">
        <v>683</v>
      </c>
      <c r="G56" s="85">
        <v>3</v>
      </c>
      <c r="H56" s="85">
        <v>11</v>
      </c>
      <c r="I56" s="85">
        <v>5</v>
      </c>
      <c r="J56" s="87">
        <v>2.8278640118151857E-2</v>
      </c>
      <c r="K56" s="87">
        <v>1.7944247998535549E-2</v>
      </c>
      <c r="L56" s="87">
        <v>0.10348965494863833</v>
      </c>
      <c r="M56" s="87">
        <v>0.85028745693467411</v>
      </c>
      <c r="N56" s="87">
        <v>3.4197516601212556E-2</v>
      </c>
      <c r="O56" s="87">
        <v>-6.3260535838485414E-3</v>
      </c>
      <c r="P56" s="87">
        <v>2.2340336907891679E-3</v>
      </c>
      <c r="Q56" s="87">
        <v>-1.4035809432551821E-2</v>
      </c>
      <c r="R56" s="88">
        <v>-1.0849730342081185E-2</v>
      </c>
      <c r="S56" s="87">
        <v>0.14776967192054796</v>
      </c>
      <c r="T56" s="87">
        <v>0.85223032807945198</v>
      </c>
      <c r="U56" s="87">
        <v>0.52286767573824533</v>
      </c>
      <c r="V56" s="87">
        <v>0.30418250950570341</v>
      </c>
      <c r="W56" s="87">
        <v>-3.0538158159904308E-2</v>
      </c>
      <c r="X56" s="87">
        <v>-1.6603025092102142E-2</v>
      </c>
      <c r="Y56" s="89">
        <v>-1.8662215133700446E-2</v>
      </c>
      <c r="Z56" s="90">
        <v>41557</v>
      </c>
      <c r="AA56" s="90">
        <v>288000</v>
      </c>
      <c r="AB56" s="87">
        <v>-6.3260535838485414E-3</v>
      </c>
      <c r="AC56" s="87">
        <v>2.2340336907891679E-3</v>
      </c>
      <c r="AD56" s="87">
        <v>9.6911240260469584E-4</v>
      </c>
      <c r="AE56" s="100">
        <v>0</v>
      </c>
      <c r="AF56" s="93">
        <v>0.45177060041822953</v>
      </c>
      <c r="AG56" s="93">
        <v>0.6547114444149198</v>
      </c>
      <c r="AH56" s="93">
        <f t="shared" si="15"/>
        <v>0.66556117475700094</v>
      </c>
      <c r="AI56" s="93">
        <f t="shared" si="16"/>
        <v>0.66103749799876832</v>
      </c>
      <c r="AJ56" s="93">
        <f t="shared" si="17"/>
        <v>0.65247741072413068</v>
      </c>
      <c r="AK56" s="115">
        <f t="shared" si="18"/>
        <v>0.67337365954862027</v>
      </c>
      <c r="AL56" s="94">
        <f t="shared" si="19"/>
        <v>0.68524960257482415</v>
      </c>
      <c r="AM56" s="94">
        <f t="shared" si="20"/>
        <v>0.67131446950702189</v>
      </c>
      <c r="AN56" s="94">
        <f t="shared" si="21"/>
        <v>0.65374233201231513</v>
      </c>
      <c r="AO56" s="93">
        <v>0.20294084399669021</v>
      </c>
      <c r="AP56" s="93">
        <f t="shared" si="14"/>
        <v>0.21379057433877141</v>
      </c>
      <c r="AQ56" s="94">
        <f t="shared" si="22"/>
        <v>0.22160305913039074</v>
      </c>
      <c r="AR56" s="94">
        <f t="shared" si="23"/>
        <v>0.2019717315940856</v>
      </c>
      <c r="AS56" s="93">
        <v>0.73318305985641485</v>
      </c>
      <c r="AT56" s="93">
        <f t="shared" si="24"/>
        <v>0.744032790198496</v>
      </c>
      <c r="AU56" s="94">
        <f t="shared" si="25"/>
        <v>0.75184527499011533</v>
      </c>
      <c r="AV56" s="94">
        <f t="shared" si="26"/>
        <v>0.73221394745381019</v>
      </c>
      <c r="AW56" s="93">
        <v>0.89297131952712772</v>
      </c>
      <c r="AX56" s="94">
        <f t="shared" si="27"/>
        <v>0.89562797286645612</v>
      </c>
      <c r="AY56" s="94">
        <f t="shared" si="28"/>
        <v>0.89282966308635459</v>
      </c>
      <c r="AZ56" s="105">
        <v>0</v>
      </c>
      <c r="BA56" s="93">
        <v>0.33553526959167573</v>
      </c>
      <c r="BB56" s="93">
        <v>0.86132287073168179</v>
      </c>
      <c r="BC56" s="93">
        <v>0.525787601140006</v>
      </c>
      <c r="BD56" s="93">
        <v>0.66973796212690961</v>
      </c>
      <c r="BE56" s="93">
        <v>1.286059503027646</v>
      </c>
      <c r="BF56" s="108">
        <v>0</v>
      </c>
      <c r="BG56" s="93">
        <v>0.22418080073940741</v>
      </c>
      <c r="BH56" s="93">
        <v>0.59773652287293622</v>
      </c>
      <c r="BI56" s="93">
        <v>0.37355572213352883</v>
      </c>
      <c r="BJ56" s="93">
        <v>0.78296454957646311</v>
      </c>
      <c r="BK56" s="93">
        <v>0.76342731378614248</v>
      </c>
      <c r="BL56" s="108">
        <v>0</v>
      </c>
      <c r="BM56" s="93">
        <v>0.39337605905401807</v>
      </c>
      <c r="BN56" s="93">
        <v>0.68847950445858519</v>
      </c>
      <c r="BO56" s="93">
        <v>0.29510344540456718</v>
      </c>
      <c r="BP56" s="93">
        <v>0.7947511819106573</v>
      </c>
      <c r="BQ56" s="93">
        <v>0.86628308347200578</v>
      </c>
      <c r="BR56" s="93">
        <v>0</v>
      </c>
      <c r="BS56" s="93">
        <v>0.38136235986051387</v>
      </c>
      <c r="BT56" s="93">
        <v>0.34367283843172325</v>
      </c>
      <c r="BU56" s="93">
        <v>-3.768952142879059E-2</v>
      </c>
      <c r="BV56" s="93">
        <v>0.37672812448961523</v>
      </c>
      <c r="BW56" s="93">
        <v>0.91225691975433287</v>
      </c>
    </row>
    <row r="57" spans="1:75" s="85" customFormat="1" x14ac:dyDescent="0.2">
      <c r="A57" s="85" t="s">
        <v>682</v>
      </c>
      <c r="B57" s="85">
        <v>207</v>
      </c>
      <c r="C57" s="85">
        <v>41</v>
      </c>
      <c r="D57" s="85">
        <v>9141</v>
      </c>
      <c r="E57" s="111">
        <v>43412</v>
      </c>
      <c r="F57" s="85" t="s">
        <v>683</v>
      </c>
      <c r="G57" s="85">
        <v>3</v>
      </c>
      <c r="H57" s="85">
        <v>11</v>
      </c>
      <c r="I57" s="85">
        <v>12</v>
      </c>
      <c r="J57" s="87">
        <v>6.502131727667336E-2</v>
      </c>
      <c r="K57" s="87">
        <v>2.7513024212269567E-2</v>
      </c>
      <c r="L57" s="87">
        <v>0.12154439854800264</v>
      </c>
      <c r="M57" s="87">
        <v>0.78592125996305451</v>
      </c>
      <c r="N57" s="87">
        <v>0.12417402921722424</v>
      </c>
      <c r="O57" s="87">
        <v>4.4790653708649611E-2</v>
      </c>
      <c r="P57" s="87">
        <v>2.9397801050350195E-4</v>
      </c>
      <c r="Q57" s="87">
        <v>-1.5029863124817563E-2</v>
      </c>
      <c r="R57" s="88">
        <v>-2.470272292430381E-3</v>
      </c>
      <c r="S57" s="87">
        <v>0.18458003434366724</v>
      </c>
      <c r="T57" s="87">
        <v>0.81541996565633279</v>
      </c>
      <c r="U57" s="87">
        <v>0.63141428531523225</v>
      </c>
      <c r="V57" s="87">
        <v>0.3341126958148235</v>
      </c>
      <c r="W57" s="87">
        <v>2.1502464463802377E-2</v>
      </c>
      <c r="X57" s="87">
        <v>3.2187800222176557E-2</v>
      </c>
      <c r="Y57" s="89">
        <v>3.0215500580922237E-2</v>
      </c>
      <c r="Z57" s="90">
        <v>45208</v>
      </c>
      <c r="AA57" s="90">
        <v>285800</v>
      </c>
      <c r="AB57" s="87">
        <v>4.4790653708649611E-2</v>
      </c>
      <c r="AC57" s="87">
        <v>2.9397801050350195E-4</v>
      </c>
      <c r="AD57" s="87">
        <v>8.5071759390463342E-3</v>
      </c>
      <c r="AE57" s="100">
        <v>0</v>
      </c>
      <c r="AF57" s="93">
        <v>0.28224281039360477</v>
      </c>
      <c r="AG57" s="93">
        <v>0.78248632482905855</v>
      </c>
      <c r="AH57" s="93">
        <f t="shared" si="15"/>
        <v>0.78495659712148891</v>
      </c>
      <c r="AI57" s="93">
        <f t="shared" si="16"/>
        <v>0.7376956711204089</v>
      </c>
      <c r="AJ57" s="93">
        <f t="shared" si="17"/>
        <v>0.7821923468185551</v>
      </c>
      <c r="AK57" s="115">
        <f t="shared" si="18"/>
        <v>0.75227082424813629</v>
      </c>
      <c r="AL57" s="94">
        <f t="shared" si="19"/>
        <v>0.76098386036525623</v>
      </c>
      <c r="AM57" s="94">
        <f t="shared" si="20"/>
        <v>0.75029852460688196</v>
      </c>
      <c r="AN57" s="94">
        <f t="shared" si="21"/>
        <v>0.77397914889001218</v>
      </c>
      <c r="AO57" s="93">
        <v>0.50024351443545378</v>
      </c>
      <c r="AP57" s="93">
        <f t="shared" si="14"/>
        <v>0.50271378672788414</v>
      </c>
      <c r="AQ57" s="94">
        <f t="shared" si="22"/>
        <v>0.47002801385453152</v>
      </c>
      <c r="AR57" s="94">
        <f t="shared" si="23"/>
        <v>0.49173633849640741</v>
      </c>
      <c r="AS57" s="93">
        <v>1.0013654773568106</v>
      </c>
      <c r="AT57" s="93">
        <f t="shared" si="24"/>
        <v>1.0038357496492409</v>
      </c>
      <c r="AU57" s="94">
        <f t="shared" si="25"/>
        <v>0.97114997677588832</v>
      </c>
      <c r="AV57" s="94">
        <f t="shared" si="26"/>
        <v>0.99285830141776421</v>
      </c>
      <c r="AW57" s="93">
        <v>0.78141931444900403</v>
      </c>
      <c r="AX57" s="94">
        <f t="shared" si="27"/>
        <v>0.77461858851667087</v>
      </c>
      <c r="AY57" s="94">
        <f t="shared" si="28"/>
        <v>0.7795464345564711</v>
      </c>
      <c r="AZ57" s="105">
        <v>0</v>
      </c>
      <c r="BA57" s="93">
        <v>0.42905246788292151</v>
      </c>
      <c r="BB57" s="93">
        <v>0.69028991646556248</v>
      </c>
      <c r="BC57" s="93">
        <v>0.26123744858264092</v>
      </c>
      <c r="BD57" s="93">
        <v>0.49554931560283838</v>
      </c>
      <c r="BE57" s="93">
        <v>1.392979255002746</v>
      </c>
      <c r="BF57" s="108">
        <v>0</v>
      </c>
      <c r="BG57" s="93">
        <v>0.45349358220701963</v>
      </c>
      <c r="BH57" s="93">
        <v>0.6292338080297637</v>
      </c>
      <c r="BI57" s="93">
        <v>0.17574022582274407</v>
      </c>
      <c r="BJ57" s="93">
        <v>0.74873653456567379</v>
      </c>
      <c r="BK57" s="93">
        <v>0.84039415599609935</v>
      </c>
      <c r="BL57" s="108">
        <v>0</v>
      </c>
      <c r="BM57" s="93">
        <v>0.49282420690276352</v>
      </c>
      <c r="BN57" s="93">
        <v>0.68190033780339887</v>
      </c>
      <c r="BO57" s="93">
        <v>0.18907613090063533</v>
      </c>
      <c r="BP57" s="93">
        <v>0.75178556045354761</v>
      </c>
      <c r="BQ57" s="93">
        <v>0.90704101498306589</v>
      </c>
      <c r="BR57" s="93">
        <v>0</v>
      </c>
      <c r="BS57" s="93">
        <v>0.48785203413441941</v>
      </c>
      <c r="BT57" s="93">
        <v>0.43472462470244599</v>
      </c>
      <c r="BU57" s="93">
        <v>-5.312740943197343E-2</v>
      </c>
      <c r="BV57" s="93">
        <v>0.5216085075885053</v>
      </c>
      <c r="BW57" s="93">
        <v>0.83343085547484663</v>
      </c>
    </row>
    <row r="58" spans="1:75" s="85" customFormat="1" x14ac:dyDescent="0.2">
      <c r="A58" s="85" t="s">
        <v>682</v>
      </c>
      <c r="B58" s="85">
        <v>207</v>
      </c>
      <c r="C58" s="85">
        <v>41</v>
      </c>
      <c r="D58" s="85">
        <v>9141</v>
      </c>
      <c r="E58" s="111">
        <v>43412</v>
      </c>
      <c r="F58" s="85" t="s">
        <v>683</v>
      </c>
      <c r="G58" s="85">
        <v>3</v>
      </c>
      <c r="H58" s="85">
        <v>11</v>
      </c>
      <c r="I58" s="85">
        <v>20</v>
      </c>
      <c r="J58" s="87">
        <v>0.18201215721691374</v>
      </c>
      <c r="K58" s="87">
        <v>5.3946271606385487E-2</v>
      </c>
      <c r="L58" s="87">
        <v>0.10074677414888743</v>
      </c>
      <c r="M58" s="87">
        <v>0.66329479702781324</v>
      </c>
      <c r="N58" s="87">
        <v>0.17164924515897192</v>
      </c>
      <c r="O58" s="87">
        <v>6.8327147043222763E-2</v>
      </c>
      <c r="P58" s="87">
        <v>9.493142254913621E-3</v>
      </c>
      <c r="Q58" s="87">
        <v>-3.0196114393353829E-3</v>
      </c>
      <c r="R58" s="88">
        <v>3.388175513048472E-2</v>
      </c>
      <c r="S58" s="87">
        <v>0.34873107154234606</v>
      </c>
      <c r="T58" s="87">
        <v>0.65126892845765405</v>
      </c>
      <c r="U58" s="87">
        <v>0.98235101675362024</v>
      </c>
      <c r="V58" s="87">
        <v>0.54355538037051632</v>
      </c>
      <c r="W58" s="87">
        <v>-6.1687668609283541E-2</v>
      </c>
      <c r="X58" s="87">
        <v>-4.5198806406572381E-2</v>
      </c>
      <c r="Y58" s="89">
        <v>-5.0948984991037935E-2</v>
      </c>
      <c r="Z58" s="90">
        <v>57052</v>
      </c>
      <c r="AA58" s="90">
        <v>275800</v>
      </c>
      <c r="AB58" s="87">
        <v>6.8327147043222763E-2</v>
      </c>
      <c r="AC58" s="87">
        <v>9.493142254913621E-3</v>
      </c>
      <c r="AD58" s="87">
        <v>3.001038778786819E-2</v>
      </c>
      <c r="AE58" s="100">
        <v>1</v>
      </c>
      <c r="AF58" s="93">
        <v>-0.21244271809234125</v>
      </c>
      <c r="AG58" s="93">
        <v>-2.1030189597134707E-2</v>
      </c>
      <c r="AH58" s="93">
        <f t="shared" si="15"/>
        <v>-5.4911944727619427E-2</v>
      </c>
      <c r="AI58" s="93">
        <f t="shared" si="16"/>
        <v>-8.9357336640357471E-2</v>
      </c>
      <c r="AJ58" s="93">
        <f t="shared" si="17"/>
        <v>-3.0523331852048328E-2</v>
      </c>
      <c r="AK58" s="115">
        <f t="shared" si="18"/>
        <v>2.9918795393903228E-2</v>
      </c>
      <c r="AL58" s="94">
        <f t="shared" si="19"/>
        <v>4.0657479012148834E-2</v>
      </c>
      <c r="AM58" s="94">
        <f t="shared" si="20"/>
        <v>2.4168616809437674E-2</v>
      </c>
      <c r="AN58" s="94">
        <f t="shared" si="21"/>
        <v>-5.1040577385002894E-2</v>
      </c>
      <c r="AO58" s="93">
        <v>0.19141252849520654</v>
      </c>
      <c r="AP58" s="93">
        <f t="shared" si="14"/>
        <v>0.15753077336472182</v>
      </c>
      <c r="AQ58" s="94">
        <f t="shared" si="22"/>
        <v>0.24236151348624446</v>
      </c>
      <c r="AR58" s="94">
        <f t="shared" si="23"/>
        <v>0.16140214070733835</v>
      </c>
      <c r="AS58" s="93">
        <v>0.35691024512093961</v>
      </c>
      <c r="AT58" s="93">
        <f t="shared" si="24"/>
        <v>0.32302848999045486</v>
      </c>
      <c r="AU58" s="94">
        <f t="shared" si="25"/>
        <v>0.40785923011197756</v>
      </c>
      <c r="AV58" s="94">
        <f t="shared" si="26"/>
        <v>0.32689985733307142</v>
      </c>
      <c r="AW58" s="93">
        <v>-5.8922908167033966E-2</v>
      </c>
      <c r="AX58" s="94">
        <f t="shared" si="27"/>
        <v>7.3355690358384282E-2</v>
      </c>
      <c r="AY58" s="94">
        <f t="shared" si="28"/>
        <v>-0.15613520850515</v>
      </c>
      <c r="AZ58" s="105">
        <v>0</v>
      </c>
      <c r="BA58" s="93">
        <v>0.66106071470695049</v>
      </c>
      <c r="BB58" s="93">
        <v>0.61976090902267267</v>
      </c>
      <c r="BC58" s="93">
        <v>-4.1299805684277824E-2</v>
      </c>
      <c r="BD58" s="93">
        <v>0.56302410511684642</v>
      </c>
      <c r="BE58" s="93">
        <v>1.1007715360500443</v>
      </c>
      <c r="BF58" s="108">
        <v>0</v>
      </c>
      <c r="BG58" s="93">
        <v>0.55717976387225732</v>
      </c>
      <c r="BH58" s="93">
        <v>0.58825299472488912</v>
      </c>
      <c r="BI58" s="93">
        <v>3.1073230852631771E-2</v>
      </c>
      <c r="BJ58" s="93">
        <v>0.66062336215241835</v>
      </c>
      <c r="BK58" s="93">
        <v>0.89045139549449959</v>
      </c>
      <c r="BL58" s="108">
        <v>0</v>
      </c>
      <c r="BM58" s="93">
        <v>0.34953622099985754</v>
      </c>
      <c r="BN58" s="93">
        <v>0.58182364317253465</v>
      </c>
      <c r="BO58" s="93">
        <v>0.23228742217267709</v>
      </c>
      <c r="BP58" s="93">
        <v>0.63106684417373016</v>
      </c>
      <c r="BQ58" s="93">
        <v>0.92196832798961148</v>
      </c>
      <c r="BR58" s="93">
        <v>0</v>
      </c>
      <c r="BS58" s="93">
        <v>0.16988688747611538</v>
      </c>
      <c r="BT58" s="93">
        <v>0.29505003043012135</v>
      </c>
      <c r="BU58" s="93">
        <v>0.12516314295400599</v>
      </c>
      <c r="BV58" s="93">
        <v>0.25911802120405802</v>
      </c>
      <c r="BW58" s="93">
        <v>1.138670436965735</v>
      </c>
    </row>
    <row r="59" spans="1:75" s="85" customFormat="1" x14ac:dyDescent="0.2">
      <c r="A59" s="85" t="s">
        <v>682</v>
      </c>
      <c r="B59" s="85">
        <v>207</v>
      </c>
      <c r="C59" s="85">
        <v>41</v>
      </c>
      <c r="D59" s="85">
        <v>9141</v>
      </c>
      <c r="E59" s="111">
        <v>43412</v>
      </c>
      <c r="F59" s="85" t="s">
        <v>683</v>
      </c>
      <c r="G59" s="85">
        <v>3</v>
      </c>
      <c r="H59" s="85">
        <v>11</v>
      </c>
      <c r="I59" s="85">
        <v>25</v>
      </c>
      <c r="J59" s="87">
        <v>0.20426941252285427</v>
      </c>
      <c r="K59" s="87">
        <v>6.1556780398074162E-2</v>
      </c>
      <c r="L59" s="87">
        <v>9.9105405989765416E-2</v>
      </c>
      <c r="M59" s="87">
        <v>0.63506840108930618</v>
      </c>
      <c r="N59" s="87">
        <v>0.14352835522813281</v>
      </c>
      <c r="O59" s="87">
        <v>7.378017033121298E-2</v>
      </c>
      <c r="P59" s="87">
        <v>9.1474357648677774E-3</v>
      </c>
      <c r="Q59" s="87">
        <v>1.0540797263051693E-2</v>
      </c>
      <c r="R59" s="88">
        <v>4.1460810144928507E-2</v>
      </c>
      <c r="S59" s="87">
        <v>0.3831441721418859</v>
      </c>
      <c r="T59" s="87">
        <v>0.6168558278581141</v>
      </c>
      <c r="U59" s="87">
        <v>1.055009389152767</v>
      </c>
      <c r="V59" s="87">
        <v>0.65215322388769925</v>
      </c>
      <c r="W59" s="87">
        <v>-6.2717981160166289E-2</v>
      </c>
      <c r="X59" s="87">
        <v>-7.6598975910996736E-2</v>
      </c>
      <c r="Y59" s="89">
        <v>-7.1280553668683938E-2</v>
      </c>
      <c r="Z59" s="90">
        <v>66857</v>
      </c>
      <c r="AA59" s="90">
        <v>274100</v>
      </c>
      <c r="AB59" s="87">
        <v>7.378017033121298E-2</v>
      </c>
      <c r="AC59" s="87">
        <v>9.1474357648677774E-3</v>
      </c>
      <c r="AD59" s="87">
        <v>3.3911091343556361E-2</v>
      </c>
      <c r="AE59" s="100">
        <v>0</v>
      </c>
      <c r="AF59" s="93">
        <v>0.18862069373325641</v>
      </c>
      <c r="AG59" s="93">
        <v>0.3008879956043376</v>
      </c>
      <c r="AH59" s="93">
        <f t="shared" si="15"/>
        <v>0.25942718545940907</v>
      </c>
      <c r="AI59" s="93">
        <f t="shared" si="16"/>
        <v>0.22710782527312462</v>
      </c>
      <c r="AJ59" s="93">
        <f t="shared" si="17"/>
        <v>0.29174055983946984</v>
      </c>
      <c r="AK59" s="115">
        <f t="shared" si="18"/>
        <v>0.37216854927302156</v>
      </c>
      <c r="AL59" s="94">
        <f t="shared" si="19"/>
        <v>0.3636059767645039</v>
      </c>
      <c r="AM59" s="94">
        <f t="shared" si="20"/>
        <v>0.37748697151533434</v>
      </c>
      <c r="AN59" s="94">
        <f t="shared" si="21"/>
        <v>0.26697690426078124</v>
      </c>
      <c r="AO59" s="93">
        <v>0.11226730187108121</v>
      </c>
      <c r="AP59" s="93">
        <f t="shared" si="14"/>
        <v>7.0806491726152665E-2</v>
      </c>
      <c r="AQ59" s="94">
        <f t="shared" si="22"/>
        <v>0.18354785553976516</v>
      </c>
      <c r="AR59" s="94">
        <f t="shared" si="23"/>
        <v>7.8356210527524839E-2</v>
      </c>
      <c r="AS59" s="93">
        <v>0.30383350583409435</v>
      </c>
      <c r="AT59" s="93">
        <f t="shared" si="24"/>
        <v>0.26237269568916582</v>
      </c>
      <c r="AU59" s="94">
        <f t="shared" si="25"/>
        <v>0.37511405950277832</v>
      </c>
      <c r="AV59" s="94">
        <f t="shared" si="26"/>
        <v>0.269922414490538</v>
      </c>
      <c r="AW59" s="93">
        <v>0.99030551215320828</v>
      </c>
      <c r="AX59" s="94">
        <f t="shared" si="27"/>
        <v>0.9921476944008415</v>
      </c>
      <c r="AY59" s="94">
        <f t="shared" si="28"/>
        <v>0.98908756712436707</v>
      </c>
      <c r="AZ59" s="105">
        <v>0</v>
      </c>
      <c r="BA59" s="93">
        <v>0.63058318110007006</v>
      </c>
      <c r="BB59" s="93">
        <v>0.48228830490121077</v>
      </c>
      <c r="BC59" s="93">
        <v>-0.14829487619885925</v>
      </c>
      <c r="BD59" s="93">
        <v>0.47098293146472336</v>
      </c>
      <c r="BE59" s="93">
        <v>1.0240037858725124</v>
      </c>
      <c r="BF59" s="108">
        <v>0</v>
      </c>
      <c r="BG59" s="93">
        <v>0.43777423643722324</v>
      </c>
      <c r="BH59" s="93">
        <v>0.3461110519073875</v>
      </c>
      <c r="BI59" s="93">
        <v>-9.1663184529835753E-2</v>
      </c>
      <c r="BJ59" s="93">
        <v>0.40728406967943598</v>
      </c>
      <c r="BK59" s="93">
        <v>0.84980257681034177</v>
      </c>
      <c r="BL59" s="108">
        <v>0</v>
      </c>
      <c r="BM59" s="93">
        <v>0.28263540321288633</v>
      </c>
      <c r="BN59" s="93">
        <v>0.30455923778713845</v>
      </c>
      <c r="BO59" s="93">
        <v>2.19238345742521E-2</v>
      </c>
      <c r="BP59" s="93">
        <v>0.40414100682038462</v>
      </c>
      <c r="BQ59" s="93">
        <v>0.75359647411997455</v>
      </c>
      <c r="BR59" s="93">
        <v>0</v>
      </c>
      <c r="BS59" s="93">
        <v>7.2089628360367849E-2</v>
      </c>
      <c r="BT59" s="93">
        <v>-3.4119423623297382E-2</v>
      </c>
      <c r="BU59" s="93">
        <v>-0.10620905198366523</v>
      </c>
      <c r="BV59" s="93">
        <v>0.26201578453954172</v>
      </c>
      <c r="BW59" s="93">
        <v>-0.13021896250738399</v>
      </c>
    </row>
    <row r="60" spans="1:75" s="85" customFormat="1" x14ac:dyDescent="0.2">
      <c r="A60" s="85" t="s">
        <v>682</v>
      </c>
      <c r="B60" s="85">
        <v>207</v>
      </c>
      <c r="C60" s="85">
        <v>41</v>
      </c>
      <c r="D60" s="85">
        <v>9141</v>
      </c>
      <c r="E60" s="111">
        <v>43412</v>
      </c>
      <c r="F60" s="85" t="s">
        <v>683</v>
      </c>
      <c r="G60" s="85">
        <v>3</v>
      </c>
      <c r="H60" s="85">
        <v>11</v>
      </c>
      <c r="I60" s="85">
        <v>30</v>
      </c>
      <c r="J60" s="87">
        <v>0.18831192914265499</v>
      </c>
      <c r="K60" s="87">
        <v>5.1107583978059465E-2</v>
      </c>
      <c r="L60" s="87">
        <v>8.1455270333340046E-2</v>
      </c>
      <c r="M60" s="87">
        <v>0.6791252165459456</v>
      </c>
      <c r="N60" s="87">
        <v>0.22404460797652015</v>
      </c>
      <c r="O60" s="87">
        <v>0.1090933936918568</v>
      </c>
      <c r="P60" s="87">
        <v>1.0972989006266125E-2</v>
      </c>
      <c r="Q60" s="87">
        <v>1.0814235712502722E-2</v>
      </c>
      <c r="R60" s="88">
        <v>5.6003800077528934E-2</v>
      </c>
      <c r="S60" s="87">
        <v>0.38553472798650024</v>
      </c>
      <c r="T60" s="87">
        <v>0.61446527201349976</v>
      </c>
      <c r="U60" s="87">
        <v>1.0461158866602993</v>
      </c>
      <c r="V60" s="87">
        <v>0.66143443612653952</v>
      </c>
      <c r="W60" s="87">
        <v>-4.8661551189486327E-2</v>
      </c>
      <c r="X60" s="87">
        <v>-3.5088765182174415E-2</v>
      </c>
      <c r="Y60" s="89">
        <v>-4.0321545543522387E-2</v>
      </c>
      <c r="Z60" s="90">
        <v>65717</v>
      </c>
      <c r="AA60" s="90">
        <v>273900</v>
      </c>
      <c r="AB60" s="87">
        <v>0.1090933936918568</v>
      </c>
      <c r="AC60" s="87">
        <v>1.0972989006266125E-2</v>
      </c>
      <c r="AD60" s="87">
        <v>4.8801812536650648E-2</v>
      </c>
      <c r="AE60" s="100">
        <v>2</v>
      </c>
      <c r="AF60" s="93">
        <v>-4.2422918826288646E-2</v>
      </c>
      <c r="AG60" s="93">
        <v>-0.20384635798262629</v>
      </c>
      <c r="AH60" s="93">
        <f t="shared" si="15"/>
        <v>-0.25985015806015521</v>
      </c>
      <c r="AI60" s="93">
        <f t="shared" si="16"/>
        <v>-0.31293975167448307</v>
      </c>
      <c r="AJ60" s="93">
        <f t="shared" si="17"/>
        <v>-0.21481934698889241</v>
      </c>
      <c r="AK60" s="115">
        <f t="shared" si="18"/>
        <v>-0.16352481243910391</v>
      </c>
      <c r="AL60" s="94">
        <f t="shared" si="19"/>
        <v>-0.15518480679313995</v>
      </c>
      <c r="AM60" s="94">
        <f t="shared" si="20"/>
        <v>-0.16875759280045188</v>
      </c>
      <c r="AN60" s="94">
        <f t="shared" si="21"/>
        <v>-0.25264817051927696</v>
      </c>
      <c r="AO60" s="93">
        <v>-0.16142343915633764</v>
      </c>
      <c r="AP60" s="93">
        <f t="shared" si="14"/>
        <v>-0.21742723923386656</v>
      </c>
      <c r="AQ60" s="94">
        <f t="shared" si="22"/>
        <v>-0.12110189361281526</v>
      </c>
      <c r="AR60" s="94">
        <f t="shared" si="23"/>
        <v>-0.21022525169298831</v>
      </c>
      <c r="AS60" s="93">
        <v>-6.7581478462443514E-2</v>
      </c>
      <c r="AT60" s="93">
        <f t="shared" si="24"/>
        <v>-0.12358527853997245</v>
      </c>
      <c r="AU60" s="94">
        <f t="shared" si="25"/>
        <v>-2.7259932918921127E-2</v>
      </c>
      <c r="AV60" s="94">
        <f t="shared" si="26"/>
        <v>-0.11638329099909417</v>
      </c>
      <c r="AW60" s="93">
        <v>3.0163050974966183</v>
      </c>
      <c r="AX60" s="94">
        <f t="shared" si="27"/>
        <v>5.9987239486419019</v>
      </c>
      <c r="AY60" s="94">
        <f t="shared" si="28"/>
        <v>2.1708285472116731</v>
      </c>
      <c r="AZ60" s="105">
        <v>0</v>
      </c>
      <c r="BA60" s="93">
        <v>0.42599334177472814</v>
      </c>
      <c r="BB60" s="93">
        <v>5.7143752844891704E-2</v>
      </c>
      <c r="BC60" s="93">
        <v>-0.36884958892983644</v>
      </c>
      <c r="BD60" s="93">
        <v>0.14023382131444123</v>
      </c>
      <c r="BE60" s="93">
        <v>0.40748909435164238</v>
      </c>
      <c r="BF60" s="108">
        <v>0</v>
      </c>
      <c r="BG60" s="93">
        <v>0.583906034438754</v>
      </c>
      <c r="BH60" s="93">
        <v>0.2952942853146609</v>
      </c>
      <c r="BI60" s="93">
        <v>-0.2886117491240931</v>
      </c>
      <c r="BJ60" s="93">
        <v>0.36023964634974059</v>
      </c>
      <c r="BK60" s="93">
        <v>0.81971623142215966</v>
      </c>
      <c r="BL60" s="108">
        <v>0</v>
      </c>
      <c r="BM60" s="93">
        <v>0.49565877085427806</v>
      </c>
      <c r="BN60" s="93">
        <v>0.49503629962347251</v>
      </c>
      <c r="BO60" s="93">
        <v>-6.2247123080556952E-4</v>
      </c>
      <c r="BP60" s="93">
        <v>0.44524937484323135</v>
      </c>
      <c r="BQ60" s="93">
        <v>1.1118180677912703</v>
      </c>
      <c r="BR60" s="93">
        <v>0</v>
      </c>
      <c r="BS60" s="93">
        <v>0.43869788347762978</v>
      </c>
      <c r="BT60" s="93">
        <v>0.16773645781292718</v>
      </c>
      <c r="BU60" s="93">
        <v>-0.2709614256647026</v>
      </c>
      <c r="BV60" s="93">
        <v>0.21425647344782012</v>
      </c>
      <c r="BW60" s="93">
        <v>0.78287696569306975</v>
      </c>
    </row>
    <row r="61" spans="1:75" s="85" customFormat="1" x14ac:dyDescent="0.2">
      <c r="A61" s="85" t="s">
        <v>682</v>
      </c>
      <c r="B61" s="85">
        <v>207</v>
      </c>
      <c r="C61" s="85">
        <v>41</v>
      </c>
      <c r="D61" s="85">
        <v>9141</v>
      </c>
      <c r="E61" s="111">
        <v>43412</v>
      </c>
      <c r="F61" s="85" t="s">
        <v>683</v>
      </c>
      <c r="G61" s="85">
        <v>3</v>
      </c>
      <c r="H61" s="85">
        <v>11</v>
      </c>
      <c r="I61" s="85">
        <v>35</v>
      </c>
      <c r="J61" s="87">
        <v>0.24317179888771359</v>
      </c>
      <c r="K61" s="87">
        <v>7.3272969076912997E-2</v>
      </c>
      <c r="L61" s="87">
        <v>0.10672123378410918</v>
      </c>
      <c r="M61" s="87">
        <v>0.57683399825126425</v>
      </c>
      <c r="N61" s="87">
        <v>0.13505006781900458</v>
      </c>
      <c r="O61" s="87">
        <v>7.1811685261814542E-2</v>
      </c>
      <c r="P61" s="87">
        <v>9.9774544015456407E-3</v>
      </c>
      <c r="Q61" s="87">
        <v>-1.3900381655379896E-2</v>
      </c>
      <c r="R61" s="88">
        <v>3.1148816841271333E-2</v>
      </c>
      <c r="S61" s="87">
        <v>0.40708516114537757</v>
      </c>
      <c r="T61" s="87">
        <v>0.59291483885462237</v>
      </c>
      <c r="U61" s="87">
        <v>1.049976500078333</v>
      </c>
      <c r="V61" s="87">
        <v>0.73128342245989308</v>
      </c>
      <c r="W61" s="87">
        <v>-7.6149791813656708E-3</v>
      </c>
      <c r="X61" s="87">
        <v>-5.865307551305169E-2</v>
      </c>
      <c r="Y61" s="89">
        <v>-3.7876223843313975E-2</v>
      </c>
      <c r="Z61" s="90">
        <v>73722</v>
      </c>
      <c r="AA61" s="90">
        <v>273500</v>
      </c>
      <c r="AB61" s="87">
        <v>7.1811685261814542E-2</v>
      </c>
      <c r="AC61" s="87">
        <v>9.9774544015456407E-3</v>
      </c>
      <c r="AD61" s="87">
        <v>3.5149252235598685E-2</v>
      </c>
      <c r="AE61" s="100">
        <v>0</v>
      </c>
      <c r="AF61" s="93">
        <v>0.45196715578577518</v>
      </c>
      <c r="AG61" s="93">
        <v>0.3241337842758899</v>
      </c>
      <c r="AH61" s="93">
        <f t="shared" si="15"/>
        <v>0.29298496743461855</v>
      </c>
      <c r="AI61" s="93">
        <f t="shared" si="16"/>
        <v>0.25232209901407537</v>
      </c>
      <c r="AJ61" s="93">
        <f t="shared" si="17"/>
        <v>0.31415632987434428</v>
      </c>
      <c r="AK61" s="115">
        <f t="shared" si="18"/>
        <v>0.36201000811920386</v>
      </c>
      <c r="AL61" s="94">
        <f t="shared" si="19"/>
        <v>0.33174876345725557</v>
      </c>
      <c r="AM61" s="94">
        <f t="shared" si="20"/>
        <v>0.38278685978894161</v>
      </c>
      <c r="AN61" s="94">
        <f t="shared" si="21"/>
        <v>0.28898453204029123</v>
      </c>
      <c r="AO61" s="93">
        <v>-0.12783337150988527</v>
      </c>
      <c r="AP61" s="93">
        <f t="shared" si="14"/>
        <v>-0.15898218835115663</v>
      </c>
      <c r="AQ61" s="94">
        <f t="shared" si="22"/>
        <v>-8.9957147666571313E-2</v>
      </c>
      <c r="AR61" s="94">
        <f t="shared" si="23"/>
        <v>-0.16298262374548395</v>
      </c>
      <c r="AS61" s="93">
        <v>0.17753031008401476</v>
      </c>
      <c r="AT61" s="93">
        <f t="shared" si="24"/>
        <v>0.14638149324274344</v>
      </c>
      <c r="AU61" s="94">
        <f t="shared" si="25"/>
        <v>0.21540653392732872</v>
      </c>
      <c r="AV61" s="94">
        <f t="shared" si="26"/>
        <v>0.14238105784841609</v>
      </c>
      <c r="AW61" s="93">
        <v>1.8257940524212246</v>
      </c>
      <c r="AX61" s="94">
        <f t="shared" si="27"/>
        <v>1.6805897273354506</v>
      </c>
      <c r="AY61" s="94">
        <f t="shared" si="28"/>
        <v>2.0296557449935118</v>
      </c>
      <c r="AZ61" s="105">
        <v>0</v>
      </c>
      <c r="BA61" s="93">
        <v>0.59413264070682714</v>
      </c>
      <c r="BB61" s="93">
        <v>0.3455178587446448</v>
      </c>
      <c r="BC61" s="93">
        <v>-0.24861478196218231</v>
      </c>
      <c r="BD61" s="93">
        <v>0.32113741865441142</v>
      </c>
      <c r="BE61" s="93">
        <v>1.0759190261676423</v>
      </c>
      <c r="BF61" s="108">
        <v>0</v>
      </c>
      <c r="BG61" s="93">
        <v>0.50771736124904721</v>
      </c>
      <c r="BH61" s="93">
        <v>0.3204346811997395</v>
      </c>
      <c r="BI61" s="93">
        <v>-0.18728268004930768</v>
      </c>
      <c r="BJ61" s="93">
        <v>0.28317748669190995</v>
      </c>
      <c r="BK61" s="93">
        <v>1.131568349387762</v>
      </c>
      <c r="BL61" s="108">
        <v>0</v>
      </c>
      <c r="BM61" s="93">
        <v>0.49799732271551606</v>
      </c>
      <c r="BN61" s="93">
        <v>0.44251158410333691</v>
      </c>
      <c r="BO61" s="93">
        <v>-5.5485738612179154E-2</v>
      </c>
      <c r="BP61" s="93">
        <v>0.30124435998226662</v>
      </c>
      <c r="BQ61" s="93">
        <v>1.4689456231790905</v>
      </c>
      <c r="BR61" s="93">
        <v>0</v>
      </c>
      <c r="BS61" s="93">
        <v>9.5579859714835323E-3</v>
      </c>
      <c r="BT61" s="93">
        <v>-0.41772616953132052</v>
      </c>
      <c r="BU61" s="93">
        <v>-0.42728415550280407</v>
      </c>
      <c r="BV61" s="93">
        <v>-0.39590712213668089</v>
      </c>
      <c r="BW61" s="93">
        <v>1.0551115303935021</v>
      </c>
    </row>
    <row r="62" spans="1:75" x14ac:dyDescent="0.2">
      <c r="A62" s="11" t="s">
        <v>682</v>
      </c>
      <c r="B62" s="11">
        <v>223</v>
      </c>
      <c r="C62" s="11">
        <v>44</v>
      </c>
      <c r="D62" s="11">
        <v>9144</v>
      </c>
      <c r="E62" s="112">
        <v>43413</v>
      </c>
      <c r="F62" s="11" t="s">
        <v>683</v>
      </c>
      <c r="G62" s="11">
        <v>3</v>
      </c>
      <c r="H62" s="11">
        <v>12</v>
      </c>
      <c r="I62" s="11">
        <v>5</v>
      </c>
      <c r="J62" s="8">
        <v>5.4966784258227305E-2</v>
      </c>
      <c r="K62" s="8">
        <v>2.250654448251202E-2</v>
      </c>
      <c r="L62" s="8">
        <v>0.10424052619147431</v>
      </c>
      <c r="M62" s="8">
        <v>0.81828614506778641</v>
      </c>
      <c r="N62" s="8">
        <v>6.9689066917790157E-2</v>
      </c>
      <c r="O62" s="8">
        <v>5.8851696851327066E-2</v>
      </c>
      <c r="P62" s="8">
        <v>2.240303974578065E-4</v>
      </c>
      <c r="Q62" s="8">
        <v>-1.3905113942304103E-3</v>
      </c>
      <c r="R62" s="21">
        <v>4.0406490775392939E-3</v>
      </c>
      <c r="S62" s="8">
        <v>0.17757052973951912</v>
      </c>
      <c r="T62" s="8">
        <v>0.82242947026048085</v>
      </c>
      <c r="U62" s="8">
        <v>0.69034307314198662</v>
      </c>
      <c r="V62" s="8">
        <v>0.34674584898800148</v>
      </c>
      <c r="W62" s="8">
        <v>-6.6227751756752634E-2</v>
      </c>
      <c r="X62" s="8">
        <v>4.5808720345026617E-3</v>
      </c>
      <c r="Y62" s="15">
        <v>-7.9926528022368579E-3</v>
      </c>
      <c r="Z62" s="5">
        <v>48032</v>
      </c>
      <c r="AA62" s="5">
        <v>286100</v>
      </c>
      <c r="AB62" s="8">
        <v>5.8851696851327066E-2</v>
      </c>
      <c r="AC62" s="8">
        <v>2.240303974578065E-4</v>
      </c>
      <c r="AD62" s="8">
        <v>1.0634576187063205E-2</v>
      </c>
      <c r="AE62" s="12">
        <v>2</v>
      </c>
      <c r="AF62" s="74">
        <v>-0.17100578069823844</v>
      </c>
      <c r="AG62" s="74">
        <v>-4.1656108670389658E-2</v>
      </c>
      <c r="AH62" s="74">
        <f t="shared" si="15"/>
        <v>-4.5696757747928952E-2</v>
      </c>
      <c r="AI62" s="74">
        <f t="shared" si="16"/>
        <v>-0.10050780552171673</v>
      </c>
      <c r="AJ62" s="74">
        <f t="shared" si="17"/>
        <v>-4.1880139067847467E-2</v>
      </c>
      <c r="AK62" s="116">
        <f t="shared" si="18"/>
        <v>-3.3663455868152801E-2</v>
      </c>
      <c r="AL62" s="83">
        <f t="shared" si="19"/>
        <v>2.4571643086362976E-2</v>
      </c>
      <c r="AM62" s="83">
        <f t="shared" si="20"/>
        <v>-4.6236980704892322E-2</v>
      </c>
      <c r="AN62" s="83">
        <f t="shared" si="21"/>
        <v>-5.2290684857452863E-2</v>
      </c>
      <c r="AO62" s="74">
        <v>0.12934967202784878</v>
      </c>
      <c r="AP62" s="74">
        <f t="shared" si="14"/>
        <v>0.12530902295030949</v>
      </c>
      <c r="AQ62" s="83">
        <f t="shared" si="22"/>
        <v>0.13734232483008563</v>
      </c>
      <c r="AR62" s="83">
        <f t="shared" si="23"/>
        <v>0.11871509584078557</v>
      </c>
      <c r="AS62" s="74">
        <v>3.5304932465738764E-2</v>
      </c>
      <c r="AT62" s="74">
        <f t="shared" si="24"/>
        <v>3.1264283388199469E-2</v>
      </c>
      <c r="AU62" s="83">
        <f t="shared" si="25"/>
        <v>4.329758526797562E-2</v>
      </c>
      <c r="AV62" s="83">
        <f t="shared" si="26"/>
        <v>2.4670356278675559E-2</v>
      </c>
      <c r="AW62" s="74">
        <v>-1.1798948691040356</v>
      </c>
      <c r="AX62" s="83">
        <f t="shared" si="27"/>
        <v>-0.77749037642178742</v>
      </c>
      <c r="AY62" s="83">
        <f t="shared" si="28"/>
        <v>-2.1195755856453369</v>
      </c>
      <c r="AZ62" s="102">
        <v>0</v>
      </c>
      <c r="BA62" s="74">
        <v>0.36100554949067232</v>
      </c>
      <c r="BB62" s="74">
        <v>0.65412382036680183</v>
      </c>
      <c r="BC62" s="74">
        <v>0.29311827087612946</v>
      </c>
      <c r="BD62" s="74">
        <v>0.54787076933450507</v>
      </c>
      <c r="BE62" s="74">
        <v>1.1939381638508688</v>
      </c>
      <c r="BF62" s="109">
        <v>0</v>
      </c>
      <c r="BG62" s="74">
        <v>0.1983799334352796</v>
      </c>
      <c r="BH62" s="74">
        <v>0.51295181793320144</v>
      </c>
      <c r="BI62" s="74">
        <v>0.31457188449792184</v>
      </c>
      <c r="BJ62" s="74">
        <v>0.55052856437214315</v>
      </c>
      <c r="BK62" s="74">
        <v>0.93174423840877985</v>
      </c>
      <c r="BL62" s="109">
        <v>0</v>
      </c>
      <c r="BM62" s="74">
        <v>6.5525333795966922E-2</v>
      </c>
      <c r="BN62" s="74">
        <v>0.58153679459432306</v>
      </c>
      <c r="BO62" s="74">
        <v>0.51601146079835614</v>
      </c>
      <c r="BP62" s="74">
        <v>0.40141970273279526</v>
      </c>
      <c r="BQ62" s="74">
        <v>1.4487001774833723</v>
      </c>
      <c r="BR62" s="74">
        <v>0</v>
      </c>
      <c r="BS62" s="74">
        <v>0.25360794709080464</v>
      </c>
      <c r="BT62" s="74">
        <v>0.25256356057289836</v>
      </c>
      <c r="BU62" s="74">
        <v>-1.0443865179062734E-3</v>
      </c>
      <c r="BV62" s="74">
        <v>0.24258710607652548</v>
      </c>
      <c r="BW62" s="74">
        <v>1.0411252463402805</v>
      </c>
    </row>
    <row r="63" spans="1:75" x14ac:dyDescent="0.2">
      <c r="A63" s="11" t="s">
        <v>682</v>
      </c>
      <c r="B63" s="11">
        <v>223</v>
      </c>
      <c r="C63" s="11">
        <v>44</v>
      </c>
      <c r="D63" s="11">
        <v>9144</v>
      </c>
      <c r="E63" s="112">
        <v>43413</v>
      </c>
      <c r="F63" s="11" t="s">
        <v>683</v>
      </c>
      <c r="G63" s="11">
        <v>3</v>
      </c>
      <c r="H63" s="11">
        <v>12</v>
      </c>
      <c r="I63" s="11">
        <v>12</v>
      </c>
      <c r="J63" s="8">
        <v>6.4415161952655134E-2</v>
      </c>
      <c r="K63" s="8">
        <v>2.5362755994992152E-2</v>
      </c>
      <c r="L63" s="8">
        <v>0.10440449653765733</v>
      </c>
      <c r="M63" s="8">
        <v>0.8058175855146954</v>
      </c>
      <c r="N63" s="8">
        <v>0.25031769809307081</v>
      </c>
      <c r="O63" s="8">
        <v>0.16320522800895323</v>
      </c>
      <c r="P63" s="8">
        <v>0</v>
      </c>
      <c r="Q63" s="8">
        <v>-3.5118317399377061E-3</v>
      </c>
      <c r="R63" s="21">
        <v>1.7433693663968658E-2</v>
      </c>
      <c r="S63" s="8">
        <v>0.19544804640609059</v>
      </c>
      <c r="T63" s="8">
        <v>0.80455195359390941</v>
      </c>
      <c r="U63" s="8">
        <v>0.71273015826365516</v>
      </c>
      <c r="V63" s="8">
        <v>0.36006567314978533</v>
      </c>
      <c r="W63" s="8">
        <v>6.1991681329137134E-2</v>
      </c>
      <c r="X63" s="8">
        <v>3.9443249270922472E-2</v>
      </c>
      <c r="Y63" s="15">
        <v>4.3850296266220987E-2</v>
      </c>
      <c r="Z63" s="5">
        <v>48502</v>
      </c>
      <c r="AA63" s="5">
        <v>285100</v>
      </c>
      <c r="AB63" s="8">
        <v>0.16320522800895323</v>
      </c>
      <c r="AC63" s="8">
        <v>0</v>
      </c>
      <c r="AD63" s="8">
        <v>3.189814297761049E-2</v>
      </c>
      <c r="AE63" s="12">
        <v>0</v>
      </c>
      <c r="AF63" s="74">
        <v>-4.1998222745827686E-2</v>
      </c>
      <c r="AG63" s="74">
        <v>5.1646677739436091E-2</v>
      </c>
      <c r="AH63" s="74">
        <f t="shared" si="15"/>
        <v>3.4212984075467433E-2</v>
      </c>
      <c r="AI63" s="74">
        <f t="shared" si="16"/>
        <v>-0.11155855026951714</v>
      </c>
      <c r="AJ63" s="74">
        <f t="shared" si="17"/>
        <v>5.1646677739436091E-2</v>
      </c>
      <c r="AK63" s="116">
        <f t="shared" si="18"/>
        <v>7.7963814732151041E-3</v>
      </c>
      <c r="AL63" s="83">
        <f t="shared" si="19"/>
        <v>-1.0345003589701043E-2</v>
      </c>
      <c r="AM63" s="83">
        <f t="shared" si="20"/>
        <v>1.2203428468513619E-2</v>
      </c>
      <c r="AN63" s="83">
        <f t="shared" si="21"/>
        <v>1.9748534761825601E-2</v>
      </c>
      <c r="AO63" s="74">
        <v>9.3644900485263777E-2</v>
      </c>
      <c r="AP63" s="74">
        <f t="shared" si="14"/>
        <v>7.6211206821295119E-2</v>
      </c>
      <c r="AQ63" s="83">
        <f t="shared" si="22"/>
        <v>4.979460421904279E-2</v>
      </c>
      <c r="AR63" s="83">
        <f t="shared" si="23"/>
        <v>6.1746757507653287E-2</v>
      </c>
      <c r="AS63" s="74">
        <v>0.210978716308692</v>
      </c>
      <c r="AT63" s="74">
        <f t="shared" si="24"/>
        <v>0.19354502264472334</v>
      </c>
      <c r="AU63" s="83">
        <f t="shared" si="25"/>
        <v>0.16712842004247103</v>
      </c>
      <c r="AV63" s="83">
        <f t="shared" si="26"/>
        <v>0.17908057333108152</v>
      </c>
      <c r="AW63" s="74">
        <v>0.24479567722779025</v>
      </c>
      <c r="AX63" s="83">
        <f t="shared" si="27"/>
        <v>4.6649046710510823E-2</v>
      </c>
      <c r="AY63" s="83">
        <f t="shared" si="28"/>
        <v>0.11027737065211871</v>
      </c>
      <c r="AZ63" s="102">
        <v>0</v>
      </c>
      <c r="BA63" s="74">
        <v>0.4650414872213256</v>
      </c>
      <c r="BB63" s="74">
        <v>0.50831702891912645</v>
      </c>
      <c r="BC63" s="74">
        <v>4.3275541697800804E-2</v>
      </c>
      <c r="BD63" s="74">
        <v>0.43362420148154573</v>
      </c>
      <c r="BE63" s="74">
        <v>1.1722524415897011</v>
      </c>
      <c r="BF63" s="109">
        <v>0</v>
      </c>
      <c r="BG63" s="74">
        <v>0.42745860771308658</v>
      </c>
      <c r="BH63" s="74">
        <v>0.43235635143938689</v>
      </c>
      <c r="BI63" s="74">
        <v>4.897743726300299E-3</v>
      </c>
      <c r="BJ63" s="74">
        <v>0.46824464280110967</v>
      </c>
      <c r="BK63" s="74">
        <v>0.92335568187810191</v>
      </c>
      <c r="BL63" s="109">
        <v>0</v>
      </c>
      <c r="BM63" s="74">
        <v>0.39273993565272386</v>
      </c>
      <c r="BN63" s="74">
        <v>0.53515492204584703</v>
      </c>
      <c r="BO63" s="74">
        <v>0.14241498639312319</v>
      </c>
      <c r="BP63" s="74">
        <v>0.66717678135448422</v>
      </c>
      <c r="BQ63" s="74">
        <v>0.80211862433130543</v>
      </c>
      <c r="BR63" s="74">
        <v>0</v>
      </c>
      <c r="BS63" s="74">
        <v>0.32476183200574377</v>
      </c>
      <c r="BT63" s="74">
        <v>0.23017822040969582</v>
      </c>
      <c r="BU63" s="74">
        <v>-9.4583611596047959E-2</v>
      </c>
      <c r="BV63" s="74">
        <v>0.29275910091956991</v>
      </c>
      <c r="BW63" s="74">
        <v>0.78623762570213995</v>
      </c>
    </row>
    <row r="64" spans="1:75" x14ac:dyDescent="0.2">
      <c r="A64" s="11" t="s">
        <v>682</v>
      </c>
      <c r="B64" s="11">
        <v>223</v>
      </c>
      <c r="C64" s="11">
        <v>44</v>
      </c>
      <c r="D64" s="11">
        <v>9144</v>
      </c>
      <c r="E64" s="112">
        <v>43413</v>
      </c>
      <c r="F64" s="11" t="s">
        <v>683</v>
      </c>
      <c r="G64" s="11">
        <v>3</v>
      </c>
      <c r="H64" s="11">
        <v>12</v>
      </c>
      <c r="I64" s="11">
        <v>20</v>
      </c>
      <c r="J64" s="8">
        <v>6.7261935881073376E-2</v>
      </c>
      <c r="K64" s="8">
        <v>2.709410087669965E-2</v>
      </c>
      <c r="L64" s="8">
        <v>0.11416539006234777</v>
      </c>
      <c r="M64" s="8">
        <v>0.79147857317987924</v>
      </c>
      <c r="N64" s="8">
        <v>0.29403523294565803</v>
      </c>
      <c r="O64" s="8">
        <v>0.15744700848934151</v>
      </c>
      <c r="P64" s="8">
        <v>-5.6167912195828032E-4</v>
      </c>
      <c r="Q64" s="8">
        <v>2.3469330395707672E-4</v>
      </c>
      <c r="R64" s="21">
        <v>2.4164894521214703E-2</v>
      </c>
      <c r="S64" s="8">
        <v>0.19180375560315863</v>
      </c>
      <c r="T64" s="8">
        <v>0.80819624439684146</v>
      </c>
      <c r="U64" s="8">
        <v>0.70968067760414411</v>
      </c>
      <c r="V64" s="8">
        <v>0.35912923115641121</v>
      </c>
      <c r="W64" s="8">
        <v>6.8415174854202371E-2</v>
      </c>
      <c r="X64" s="8">
        <v>8.188368502736347E-2</v>
      </c>
      <c r="Y64" s="15">
        <v>7.9300374193771825E-2</v>
      </c>
      <c r="Z64" s="5">
        <v>49183</v>
      </c>
      <c r="AA64" s="5">
        <v>285400</v>
      </c>
      <c r="AB64" s="8">
        <v>0.15744700848934151</v>
      </c>
      <c r="AC64" s="8">
        <v>-5.6167912195828032E-4</v>
      </c>
      <c r="AD64" s="8">
        <v>2.9744980579815304E-2</v>
      </c>
      <c r="AE64" s="12">
        <v>0</v>
      </c>
      <c r="AF64" s="74">
        <v>0.26192579327862625</v>
      </c>
      <c r="AG64" s="74">
        <v>0.26510544619600607</v>
      </c>
      <c r="AH64" s="74">
        <f t="shared" si="15"/>
        <v>0.24094055167479136</v>
      </c>
      <c r="AI64" s="74">
        <f t="shared" si="16"/>
        <v>0.10765843770666456</v>
      </c>
      <c r="AJ64" s="74">
        <f t="shared" si="17"/>
        <v>0.26566712531796433</v>
      </c>
      <c r="AK64" s="116">
        <f t="shared" si="18"/>
        <v>0.18580507200223423</v>
      </c>
      <c r="AL64" s="83">
        <f t="shared" si="19"/>
        <v>0.1966902713418037</v>
      </c>
      <c r="AM64" s="83">
        <f t="shared" si="20"/>
        <v>0.18322176116864258</v>
      </c>
      <c r="AN64" s="83">
        <f t="shared" si="21"/>
        <v>0.23536046561619076</v>
      </c>
      <c r="AO64" s="74">
        <v>3.1796529173798056E-3</v>
      </c>
      <c r="AP64" s="74">
        <f t="shared" si="14"/>
        <v>-2.0985241603834887E-2</v>
      </c>
      <c r="AQ64" s="83">
        <f t="shared" si="22"/>
        <v>-7.6120721276392023E-2</v>
      </c>
      <c r="AR64" s="83">
        <f t="shared" si="23"/>
        <v>-2.6565327662435495E-2</v>
      </c>
      <c r="AS64" s="74">
        <v>0.18585607454186553</v>
      </c>
      <c r="AT64" s="74">
        <f t="shared" si="24"/>
        <v>0.16169118002065083</v>
      </c>
      <c r="AU64" s="83">
        <f t="shared" si="25"/>
        <v>0.10655570034809371</v>
      </c>
      <c r="AV64" s="83">
        <f t="shared" si="26"/>
        <v>0.15611109396205022</v>
      </c>
      <c r="AW64" s="74">
        <v>1.4264018372791414</v>
      </c>
      <c r="AX64" s="83">
        <f t="shared" si="27"/>
        <v>1.7437365752864511</v>
      </c>
      <c r="AY64" s="83">
        <f t="shared" si="28"/>
        <v>1.5076472763262143</v>
      </c>
      <c r="AZ64" s="102">
        <v>0</v>
      </c>
      <c r="BA64" s="74">
        <v>0.34956939542087567</v>
      </c>
      <c r="BB64" s="74">
        <v>0.11613106006951626</v>
      </c>
      <c r="BC64" s="74">
        <v>-0.23343833535135941</v>
      </c>
      <c r="BD64" s="74">
        <v>0.13719572559762752</v>
      </c>
      <c r="BE64" s="74">
        <v>0.84646266903467204</v>
      </c>
      <c r="BF64" s="109">
        <v>0</v>
      </c>
      <c r="BG64" s="74">
        <v>0.3639066435192248</v>
      </c>
      <c r="BH64" s="74">
        <v>0.1393659561062853</v>
      </c>
      <c r="BI64" s="74">
        <v>-0.2245406874129395</v>
      </c>
      <c r="BJ64" s="74">
        <v>0.15368104027432034</v>
      </c>
      <c r="BK64" s="74">
        <v>0.90685198289598612</v>
      </c>
      <c r="BL64" s="109">
        <v>0</v>
      </c>
      <c r="BM64" s="74">
        <v>0.44592511781309346</v>
      </c>
      <c r="BN64" s="74">
        <v>0.59931156374759587</v>
      </c>
      <c r="BO64" s="74">
        <v>0.15338644593450237</v>
      </c>
      <c r="BP64" s="74">
        <v>0.45125846378845608</v>
      </c>
      <c r="BQ64" s="74">
        <v>1.3280893586265123</v>
      </c>
      <c r="BR64" s="74">
        <v>0</v>
      </c>
      <c r="BS64" s="74">
        <v>0.48025168431803866</v>
      </c>
      <c r="BT64" s="74">
        <v>0.42722721600981833</v>
      </c>
      <c r="BU64" s="74">
        <v>-5.3024468308220316E-2</v>
      </c>
      <c r="BV64" s="74">
        <v>0.30394819984964705</v>
      </c>
      <c r="BW64" s="74">
        <v>1.4055921904494031</v>
      </c>
    </row>
    <row r="65" spans="1:75" x14ac:dyDescent="0.2">
      <c r="A65" s="11" t="s">
        <v>682</v>
      </c>
      <c r="B65" s="11">
        <v>223</v>
      </c>
      <c r="C65" s="11">
        <v>44</v>
      </c>
      <c r="D65" s="11">
        <v>9144</v>
      </c>
      <c r="E65" s="112">
        <v>43413</v>
      </c>
      <c r="F65" s="11" t="s">
        <v>683</v>
      </c>
      <c r="G65" s="11">
        <v>3</v>
      </c>
      <c r="H65" s="11">
        <v>12</v>
      </c>
      <c r="I65" s="11">
        <v>30</v>
      </c>
      <c r="J65" s="8">
        <v>7.7295677155919965E-2</v>
      </c>
      <c r="K65" s="8">
        <v>2.3815006002055106E-2</v>
      </c>
      <c r="L65" s="8">
        <v>7.2554174096986293E-2</v>
      </c>
      <c r="M65" s="8">
        <v>0.82633514274503861</v>
      </c>
      <c r="N65" s="8">
        <v>0.12883084889751389</v>
      </c>
      <c r="O65" s="8">
        <v>6.4055294819671968E-2</v>
      </c>
      <c r="P65" s="8">
        <v>-6.7761698473058833E-4</v>
      </c>
      <c r="Q65" s="8">
        <v>1.2354496855724512E-2</v>
      </c>
      <c r="R65" s="21">
        <v>2.1643335916836266E-2</v>
      </c>
      <c r="S65" s="8">
        <v>0.24712263793859959</v>
      </c>
      <c r="T65" s="8">
        <v>0.75287736206140032</v>
      </c>
      <c r="U65" s="8">
        <v>0.6930115879644807</v>
      </c>
      <c r="V65" s="8">
        <v>0.39890403259800478</v>
      </c>
      <c r="W65" s="8">
        <v>5.9163992990400975E-2</v>
      </c>
      <c r="X65" s="8">
        <v>-2.9690070055908391E-2</v>
      </c>
      <c r="Y65" s="15">
        <v>-7.7322196043417765E-3</v>
      </c>
      <c r="Z65" s="5">
        <v>48621</v>
      </c>
      <c r="AA65" s="5">
        <v>283900</v>
      </c>
      <c r="AB65" s="8">
        <v>6.4055294819671968E-2</v>
      </c>
      <c r="AC65" s="8">
        <v>-6.7761698473058833E-4</v>
      </c>
      <c r="AD65" s="8">
        <v>1.5319350941820086E-2</v>
      </c>
      <c r="AE65" s="12">
        <v>0</v>
      </c>
      <c r="AF65" s="74">
        <v>0.21731950465928382</v>
      </c>
      <c r="AG65" s="74">
        <v>-8.318325622155856E-2</v>
      </c>
      <c r="AH65" s="74">
        <f t="shared" si="15"/>
        <v>-0.10482659213839482</v>
      </c>
      <c r="AI65" s="74">
        <f t="shared" si="16"/>
        <v>-0.14723855104123051</v>
      </c>
      <c r="AJ65" s="74">
        <f t="shared" si="17"/>
        <v>-8.2505639236827966E-2</v>
      </c>
      <c r="AK65" s="116">
        <f t="shared" si="18"/>
        <v>-7.5451036617216777E-2</v>
      </c>
      <c r="AL65" s="83">
        <f t="shared" si="19"/>
        <v>-0.14234724921195954</v>
      </c>
      <c r="AM65" s="83">
        <f t="shared" si="20"/>
        <v>-5.3493186165650172E-2</v>
      </c>
      <c r="AN65" s="83">
        <f t="shared" si="21"/>
        <v>-9.850260716337865E-2</v>
      </c>
      <c r="AO65" s="74">
        <v>-0.30050276088084238</v>
      </c>
      <c r="AP65" s="74">
        <f t="shared" si="14"/>
        <v>-0.32214609679767864</v>
      </c>
      <c r="AQ65" s="83">
        <f t="shared" si="22"/>
        <v>-0.2927705412765006</v>
      </c>
      <c r="AR65" s="83">
        <f t="shared" si="23"/>
        <v>-0.31582211182266245</v>
      </c>
      <c r="AS65" s="74">
        <v>4.9541359433023957E-2</v>
      </c>
      <c r="AT65" s="74">
        <f t="shared" si="24"/>
        <v>2.7898023516187691E-2</v>
      </c>
      <c r="AU65" s="83">
        <f t="shared" si="25"/>
        <v>5.7273579037365734E-2</v>
      </c>
      <c r="AV65" s="83">
        <f t="shared" si="26"/>
        <v>3.4222008491203867E-2</v>
      </c>
      <c r="AW65" s="74">
        <v>-1.6790668882232798</v>
      </c>
      <c r="AX65" s="83">
        <f t="shared" si="27"/>
        <v>-1.3173794598726216</v>
      </c>
      <c r="AY65" s="83">
        <f t="shared" si="28"/>
        <v>-2.8783409129448647</v>
      </c>
      <c r="AZ65" s="102">
        <v>0</v>
      </c>
      <c r="BA65" s="74">
        <v>0.42836560387634209</v>
      </c>
      <c r="BB65" s="74">
        <v>0.12848406271977159</v>
      </c>
      <c r="BC65" s="74">
        <v>-0.29988154115657051</v>
      </c>
      <c r="BD65" s="74">
        <v>0.13010904386304373</v>
      </c>
      <c r="BE65" s="74">
        <v>0.98751062112959154</v>
      </c>
      <c r="BF65" s="109">
        <v>0</v>
      </c>
      <c r="BG65" s="74">
        <v>0.50315471482557284</v>
      </c>
      <c r="BH65" s="74">
        <v>0.27623173966882586</v>
      </c>
      <c r="BI65" s="74">
        <v>-0.22692297515674698</v>
      </c>
      <c r="BJ65" s="74">
        <v>0.24905166231701659</v>
      </c>
      <c r="BK65" s="74">
        <v>1.1091342940614943</v>
      </c>
      <c r="BL65" s="109">
        <v>0</v>
      </c>
      <c r="BM65" s="74">
        <v>0.79231283945335684</v>
      </c>
      <c r="BN65" s="74">
        <v>0.66432944168859598</v>
      </c>
      <c r="BO65" s="74">
        <v>-0.12798339776476089</v>
      </c>
      <c r="BP65" s="74">
        <v>0.53219028489805975</v>
      </c>
      <c r="BQ65" s="74">
        <v>1.2482930646053549</v>
      </c>
      <c r="BR65" s="74">
        <v>0</v>
      </c>
      <c r="BS65" s="74">
        <v>0.54508393583713122</v>
      </c>
      <c r="BT65" s="74">
        <v>0.13026026885959863</v>
      </c>
      <c r="BU65" s="74">
        <v>-0.41482366697753259</v>
      </c>
      <c r="BV65" s="74">
        <v>2.984152111255145E-2</v>
      </c>
      <c r="BW65" s="74">
        <v>4.3650679993256336</v>
      </c>
    </row>
    <row r="66" spans="1:75" x14ac:dyDescent="0.2">
      <c r="A66" s="11" t="s">
        <v>682</v>
      </c>
      <c r="B66" s="11">
        <v>223</v>
      </c>
      <c r="C66" s="11">
        <v>44</v>
      </c>
      <c r="D66" s="11">
        <v>9144</v>
      </c>
      <c r="E66" s="112">
        <v>43413</v>
      </c>
      <c r="F66" s="11" t="s">
        <v>683</v>
      </c>
      <c r="G66" s="11">
        <v>3</v>
      </c>
      <c r="H66" s="11">
        <v>12</v>
      </c>
      <c r="I66" s="11">
        <v>40</v>
      </c>
      <c r="J66" s="8">
        <v>9.7531001760511785E-2</v>
      </c>
      <c r="K66" s="8">
        <v>3.715667285660209E-2</v>
      </c>
      <c r="L66" s="8">
        <v>0.11376693660045607</v>
      </c>
      <c r="M66" s="8">
        <v>0.75154538878242994</v>
      </c>
      <c r="N66" s="8">
        <v>7.4140745613128264E-2</v>
      </c>
      <c r="O66" s="8">
        <v>2.5589872596279324E-2</v>
      </c>
      <c r="P66" s="8">
        <v>-6.3185106322975419E-3</v>
      </c>
      <c r="Q66" s="8">
        <v>-1.3243504349813747E-3</v>
      </c>
      <c r="R66" s="21">
        <v>6.4677086543655869E-3</v>
      </c>
      <c r="S66" s="8">
        <v>0.24619523075462996</v>
      </c>
      <c r="T66" s="8">
        <v>0.75380476924536999</v>
      </c>
      <c r="U66" s="8">
        <v>0.73050663121960058</v>
      </c>
      <c r="V66" s="8">
        <v>0.39332045266353849</v>
      </c>
      <c r="W66" s="8">
        <v>-2.2551689220494761E-2</v>
      </c>
      <c r="X66" s="8">
        <v>3.3662089179657052E-2</v>
      </c>
      <c r="Y66" s="15">
        <v>1.982252503484204E-2</v>
      </c>
      <c r="Z66" s="5">
        <v>48361</v>
      </c>
      <c r="AA66" s="5">
        <v>285000</v>
      </c>
      <c r="AB66" s="8">
        <v>2.5589872596279324E-2</v>
      </c>
      <c r="AC66" s="8">
        <v>-6.3185106322975419E-3</v>
      </c>
      <c r="AD66" s="8">
        <v>1.5371811396691047E-3</v>
      </c>
      <c r="AE66" s="12">
        <v>0</v>
      </c>
      <c r="AF66" s="74">
        <v>-5.4284334325049387E-2</v>
      </c>
      <c r="AG66" s="74">
        <v>-0.11928916463404526</v>
      </c>
      <c r="AH66" s="74">
        <f t="shared" si="15"/>
        <v>-0.12575687328841084</v>
      </c>
      <c r="AI66" s="74">
        <f t="shared" si="16"/>
        <v>-0.14487903723032458</v>
      </c>
      <c r="AJ66" s="74">
        <f t="shared" si="17"/>
        <v>-0.11297065400174772</v>
      </c>
      <c r="AK66" s="116">
        <f t="shared" si="18"/>
        <v>-0.13911168966888732</v>
      </c>
      <c r="AL66" s="83">
        <f t="shared" si="19"/>
        <v>-9.6737475413550503E-2</v>
      </c>
      <c r="AM66" s="83">
        <f t="shared" si="20"/>
        <v>-0.15295125381370231</v>
      </c>
      <c r="AN66" s="83">
        <f t="shared" si="21"/>
        <v>-0.12082634577371437</v>
      </c>
      <c r="AO66" s="74">
        <v>-6.5004830308995884E-2</v>
      </c>
      <c r="AP66" s="74">
        <f t="shared" si="14"/>
        <v>-7.1472538963361448E-2</v>
      </c>
      <c r="AQ66" s="83">
        <f t="shared" si="22"/>
        <v>-8.4827355343837924E-2</v>
      </c>
      <c r="AR66" s="83">
        <f t="shared" si="23"/>
        <v>-6.6542011448664978E-2</v>
      </c>
      <c r="AS66" s="74">
        <v>-0.30086473109127848</v>
      </c>
      <c r="AT66" s="74">
        <f t="shared" si="24"/>
        <v>-0.30733243974564406</v>
      </c>
      <c r="AU66" s="83">
        <f t="shared" si="25"/>
        <v>-0.32068725612612053</v>
      </c>
      <c r="AV66" s="83">
        <f t="shared" si="26"/>
        <v>-0.30240191223094759</v>
      </c>
      <c r="AW66" s="74">
        <v>0.39648769798097228</v>
      </c>
      <c r="AX66" s="83">
        <f t="shared" si="27"/>
        <v>0.43379238498388345</v>
      </c>
      <c r="AY66" s="83">
        <f t="shared" si="28"/>
        <v>0.39955549514329125</v>
      </c>
      <c r="AZ66" s="102">
        <v>0</v>
      </c>
      <c r="BA66" s="74">
        <v>0.32496360882234859</v>
      </c>
      <c r="BB66" s="74">
        <v>3.9419802256803582E-2</v>
      </c>
      <c r="BC66" s="74">
        <v>-0.28554380656554501</v>
      </c>
      <c r="BD66" s="74">
        <v>5.0494658760010802E-2</v>
      </c>
      <c r="BE66" s="74">
        <v>0.78067271321025455</v>
      </c>
      <c r="BF66" s="109">
        <v>0</v>
      </c>
      <c r="BG66" s="74">
        <v>0.3474681517988138</v>
      </c>
      <c r="BH66" s="74">
        <v>7.8529698632650913E-2</v>
      </c>
      <c r="BI66" s="74">
        <v>-0.26893845316616288</v>
      </c>
      <c r="BJ66" s="74">
        <v>7.2126855805284051E-2</v>
      </c>
      <c r="BK66" s="74">
        <v>1.0887719665009685</v>
      </c>
      <c r="BL66" s="109">
        <v>0</v>
      </c>
      <c r="BM66" s="74">
        <v>0.15322688680894178</v>
      </c>
      <c r="BN66" s="74">
        <v>6.6966110213738383E-3</v>
      </c>
      <c r="BO66" s="74">
        <v>-0.14653027578756794</v>
      </c>
      <c r="BP66" s="74">
        <v>-5.6447284561612521E-2</v>
      </c>
      <c r="BQ66" s="74">
        <v>-0.11863477709126026</v>
      </c>
      <c r="BR66" s="74">
        <v>0</v>
      </c>
      <c r="BS66" s="74">
        <v>3.830542458781383E-2</v>
      </c>
      <c r="BT66" s="74">
        <v>-6.2302069051200212E-2</v>
      </c>
      <c r="BU66" s="74">
        <v>-0.10060749363901404</v>
      </c>
      <c r="BV66" s="74">
        <v>-0.23367614808996978</v>
      </c>
      <c r="BW66" s="74">
        <v>0.26661715181650769</v>
      </c>
    </row>
    <row r="67" spans="1:75" x14ac:dyDescent="0.2">
      <c r="A67" s="11" t="s">
        <v>682</v>
      </c>
      <c r="B67" s="11">
        <v>223</v>
      </c>
      <c r="C67" s="11">
        <v>44</v>
      </c>
      <c r="D67" s="11">
        <v>9144</v>
      </c>
      <c r="E67" s="112">
        <v>43413</v>
      </c>
      <c r="F67" s="11" t="s">
        <v>683</v>
      </c>
      <c r="G67" s="11">
        <v>3</v>
      </c>
      <c r="H67" s="11">
        <v>12</v>
      </c>
      <c r="I67" s="11">
        <v>50</v>
      </c>
      <c r="J67" s="8">
        <v>0.11437518693125318</v>
      </c>
      <c r="K67" s="8">
        <v>4.3831323635633142E-2</v>
      </c>
      <c r="L67" s="8">
        <v>0.11699399612188671</v>
      </c>
      <c r="M67" s="8">
        <v>0.72479949331122706</v>
      </c>
      <c r="N67" s="8">
        <v>5.1642806198267159E-2</v>
      </c>
      <c r="O67" s="8">
        <v>1.530450772996041E-2</v>
      </c>
      <c r="P67" s="8">
        <v>-1.2528190196307858E-3</v>
      </c>
      <c r="Q67" s="8">
        <v>-1.3149654659495547E-3</v>
      </c>
      <c r="R67" s="21">
        <v>5.4778138370111217E-3</v>
      </c>
      <c r="S67" s="8">
        <v>0.27253994396975967</v>
      </c>
      <c r="T67" s="8">
        <v>0.72746005603024022</v>
      </c>
      <c r="U67" s="8">
        <v>0.7927278353705709</v>
      </c>
      <c r="V67" s="8">
        <v>0.42473604826546002</v>
      </c>
      <c r="W67" s="8">
        <v>8.387531231003411E-3</v>
      </c>
      <c r="X67" s="8">
        <v>8.4522707292278773E-2</v>
      </c>
      <c r="Y67" s="15">
        <v>6.3772830674410988E-2</v>
      </c>
      <c r="Z67" s="5">
        <v>51234</v>
      </c>
      <c r="AA67" s="5">
        <v>281600</v>
      </c>
      <c r="AB67" s="8">
        <v>1.530450772996041E-2</v>
      </c>
      <c r="AC67" s="8">
        <v>-1.2528190196307858E-3</v>
      </c>
      <c r="AD67" s="8">
        <v>3.2597138849918021E-3</v>
      </c>
      <c r="AE67" s="12">
        <v>0</v>
      </c>
      <c r="AF67" s="74">
        <v>0.13789420111999973</v>
      </c>
      <c r="AG67" s="74">
        <v>2.2023995668389751E-2</v>
      </c>
      <c r="AH67" s="74">
        <f t="shared" si="15"/>
        <v>1.6546181831378629E-2</v>
      </c>
      <c r="AI67" s="74">
        <f t="shared" si="16"/>
        <v>6.7194879384293409E-3</v>
      </c>
      <c r="AJ67" s="74">
        <f t="shared" si="17"/>
        <v>2.3276814688020536E-2</v>
      </c>
      <c r="AK67" s="116">
        <f t="shared" si="18"/>
        <v>-4.1748835006021237E-2</v>
      </c>
      <c r="AL67" s="83">
        <f t="shared" si="19"/>
        <v>1.363646443738634E-2</v>
      </c>
      <c r="AM67" s="83">
        <f t="shared" si="20"/>
        <v>-6.2498711623889022E-2</v>
      </c>
      <c r="AN67" s="83">
        <f t="shared" si="21"/>
        <v>1.8764281783397948E-2</v>
      </c>
      <c r="AO67" s="74">
        <v>-0.11587020545160998</v>
      </c>
      <c r="AP67" s="74">
        <f t="shared" si="14"/>
        <v>-0.1213480192886211</v>
      </c>
      <c r="AQ67" s="83">
        <f t="shared" si="22"/>
        <v>-0.17964303612602095</v>
      </c>
      <c r="AR67" s="83">
        <f t="shared" si="23"/>
        <v>-0.11912991933660178</v>
      </c>
      <c r="AS67" s="74">
        <v>-2.8364496744423179E-2</v>
      </c>
      <c r="AT67" s="74">
        <f t="shared" si="24"/>
        <v>-3.3842310581434304E-2</v>
      </c>
      <c r="AU67" s="83">
        <f t="shared" si="25"/>
        <v>-9.2137327418834167E-2</v>
      </c>
      <c r="AV67" s="83">
        <f t="shared" si="26"/>
        <v>-3.1624210629414978E-2</v>
      </c>
      <c r="AW67" s="74">
        <v>-0.77646347357528733</v>
      </c>
      <c r="AX67" s="83">
        <f t="shared" si="27"/>
        <v>0.45311532443567692</v>
      </c>
      <c r="AY67" s="83">
        <f t="shared" si="28"/>
        <v>-0.59335178364719465</v>
      </c>
      <c r="AZ67" s="102">
        <v>0</v>
      </c>
      <c r="BA67" s="74">
        <v>0.33675599810237761</v>
      </c>
      <c r="BB67" s="74">
        <v>9.2778202789817188E-3</v>
      </c>
      <c r="BC67" s="74">
        <v>-0.32747817782339589</v>
      </c>
      <c r="BD67" s="74">
        <v>2.7642724544280795E-2</v>
      </c>
      <c r="BE67" s="74">
        <v>0.33563335134058897</v>
      </c>
      <c r="BF67" s="109">
        <v>0</v>
      </c>
      <c r="BG67" s="74">
        <v>0.31887258594591184</v>
      </c>
      <c r="BH67" s="74">
        <v>-1.8446586973999202E-2</v>
      </c>
      <c r="BI67" s="74">
        <v>-0.33731917291991104</v>
      </c>
      <c r="BJ67" s="74">
        <v>2.4807541510986075E-2</v>
      </c>
      <c r="BK67" s="74">
        <v>-0.74358787088313805</v>
      </c>
      <c r="BL67" s="109">
        <v>0</v>
      </c>
      <c r="BM67" s="74">
        <v>0.20215342407709078</v>
      </c>
      <c r="BN67" s="74">
        <v>-0.25004735634137631</v>
      </c>
      <c r="BO67" s="74">
        <v>-0.45220078041846712</v>
      </c>
      <c r="BP67" s="74">
        <v>-0.12112323945979361</v>
      </c>
      <c r="BQ67" s="74">
        <v>2.064404464878753</v>
      </c>
      <c r="BR67" s="74">
        <v>0</v>
      </c>
      <c r="BS67" s="74">
        <v>0.13450829980504034</v>
      </c>
      <c r="BT67" s="74">
        <v>-0.50311880436927403</v>
      </c>
      <c r="BU67" s="74">
        <v>-0.63762710417431434</v>
      </c>
      <c r="BV67" s="74">
        <v>-0.28206803372819478</v>
      </c>
      <c r="BW67" s="74">
        <v>1.7836789150453229</v>
      </c>
    </row>
    <row r="68" spans="1:75" s="85" customFormat="1" x14ac:dyDescent="0.2">
      <c r="A68" s="85" t="s">
        <v>682</v>
      </c>
      <c r="B68" s="85">
        <v>266</v>
      </c>
      <c r="C68" s="85">
        <v>49</v>
      </c>
      <c r="D68" s="85">
        <v>9149</v>
      </c>
      <c r="E68" s="111">
        <v>43416</v>
      </c>
      <c r="F68" s="85" t="s">
        <v>683</v>
      </c>
      <c r="G68" s="85">
        <v>4</v>
      </c>
      <c r="H68" s="85">
        <v>13</v>
      </c>
      <c r="I68" s="85">
        <v>5</v>
      </c>
      <c r="J68" s="87">
        <v>1.9815152834918456E-2</v>
      </c>
      <c r="K68" s="87">
        <v>2.0198437042649914E-2</v>
      </c>
      <c r="L68" s="87">
        <v>4.559138308071134E-2</v>
      </c>
      <c r="M68" s="87">
        <v>0.91439502704172038</v>
      </c>
      <c r="N68" s="87">
        <v>-2.4118445038340458E-2</v>
      </c>
      <c r="O68" s="87">
        <v>0.14133681041299731</v>
      </c>
      <c r="P68" s="87">
        <v>0.31217973781225206</v>
      </c>
      <c r="Q68" s="87">
        <v>-8.981742685710432E-3</v>
      </c>
      <c r="R68" s="88">
        <v>8.3967171630130212E-3</v>
      </c>
      <c r="S68" s="87">
        <v>0.30701462634760518</v>
      </c>
      <c r="T68" s="87">
        <v>0.69298537365239476</v>
      </c>
      <c r="U68" s="87">
        <v>0.5107825487417168</v>
      </c>
      <c r="V68" s="87">
        <v>0.26848619485877501</v>
      </c>
      <c r="W68" s="87">
        <v>-0.10556731020984624</v>
      </c>
      <c r="X68" s="87">
        <v>-3.5712727145500181E-2</v>
      </c>
      <c r="Y68" s="89">
        <v>-5.7159105863668125E-2</v>
      </c>
      <c r="Z68" s="90">
        <v>26670</v>
      </c>
      <c r="AA68" s="90">
        <v>169200</v>
      </c>
      <c r="AB68" s="87">
        <v>0.14133681041299731</v>
      </c>
      <c r="AC68" s="87">
        <v>0.31217973781225206</v>
      </c>
      <c r="AD68" s="87">
        <v>0.2597284602926388</v>
      </c>
      <c r="AE68" s="100">
        <v>0</v>
      </c>
      <c r="AF68" s="93">
        <v>0.36336639897351336</v>
      </c>
      <c r="AG68" s="93">
        <v>0.54154225838776116</v>
      </c>
      <c r="AH68" s="93">
        <f t="shared" si="15"/>
        <v>0.53314554122474811</v>
      </c>
      <c r="AI68" s="93">
        <f t="shared" si="16"/>
        <v>0.40020544797476387</v>
      </c>
      <c r="AJ68" s="93">
        <f t="shared" si="17"/>
        <v>0.2293625205755091</v>
      </c>
      <c r="AK68" s="115">
        <f t="shared" si="18"/>
        <v>0.59870136425142928</v>
      </c>
      <c r="AL68" s="94">
        <f t="shared" si="19"/>
        <v>0.64710956859760738</v>
      </c>
      <c r="AM68" s="94">
        <f t="shared" si="20"/>
        <v>0.57725498553326138</v>
      </c>
      <c r="AN68" s="94">
        <f t="shared" si="21"/>
        <v>0.28181379809512236</v>
      </c>
      <c r="AO68" s="93">
        <v>0.17817585941424785</v>
      </c>
      <c r="AP68" s="93">
        <f t="shared" si="14"/>
        <v>0.16977914225123475</v>
      </c>
      <c r="AQ68" s="94">
        <f t="shared" si="22"/>
        <v>0.23533496527791592</v>
      </c>
      <c r="AR68" s="94">
        <f t="shared" si="23"/>
        <v>-8.1552600878391002E-2</v>
      </c>
      <c r="AS68" s="93">
        <v>0.57653125023782659</v>
      </c>
      <c r="AT68" s="93">
        <f t="shared" si="24"/>
        <v>0.56813453307481354</v>
      </c>
      <c r="AU68" s="94">
        <f t="shared" si="25"/>
        <v>0.63369035610149471</v>
      </c>
      <c r="AV68" s="94">
        <f t="shared" si="26"/>
        <v>0.31680278994518779</v>
      </c>
      <c r="AW68" s="93">
        <v>0.93931119633908478</v>
      </c>
      <c r="AX68" s="94">
        <f t="shared" si="27"/>
        <v>0.94478534900653999</v>
      </c>
      <c r="AY68" s="94">
        <f t="shared" si="28"/>
        <v>0.8895559226100278</v>
      </c>
      <c r="AZ68" s="105">
        <v>0</v>
      </c>
      <c r="BA68" s="93">
        <v>0.36336639897351325</v>
      </c>
      <c r="BB68" s="93">
        <v>0.53314554122474811</v>
      </c>
      <c r="BC68" s="93">
        <v>0.16977914225123483</v>
      </c>
      <c r="BD68" s="93">
        <v>0.56813453307481343</v>
      </c>
      <c r="BE68" s="93">
        <v>0.93841424906755688</v>
      </c>
      <c r="BF68" s="108">
        <v>0</v>
      </c>
      <c r="BG68" s="93">
        <v>0.32538928886707269</v>
      </c>
      <c r="BH68" s="93">
        <v>0.58156070156764428</v>
      </c>
      <c r="BI68" s="93">
        <v>0.25617141270057164</v>
      </c>
      <c r="BJ68" s="93">
        <v>0.55380795515555592</v>
      </c>
      <c r="BK68" s="93">
        <v>1.0501125817239174</v>
      </c>
      <c r="BL68" s="108">
        <v>0</v>
      </c>
      <c r="BM68" s="93">
        <v>0.35846523754011778</v>
      </c>
      <c r="BN68" s="93">
        <v>0.73676912505814807</v>
      </c>
      <c r="BO68" s="93">
        <v>0.37830388751803024</v>
      </c>
      <c r="BP68" s="93">
        <v>0.92064835473603024</v>
      </c>
      <c r="BQ68" s="93">
        <v>0.80027202706444378</v>
      </c>
      <c r="BR68" s="93">
        <v>0</v>
      </c>
      <c r="BS68" s="93">
        <v>6.7834227547271267E-2</v>
      </c>
      <c r="BT68" s="93">
        <v>0.35087592044254989</v>
      </c>
      <c r="BU68" s="93">
        <v>0.28304169289527864</v>
      </c>
      <c r="BV68" s="93">
        <v>0.45879130916585703</v>
      </c>
      <c r="BW68" s="93">
        <v>0.76478327604001151</v>
      </c>
    </row>
    <row r="69" spans="1:75" s="85" customFormat="1" x14ac:dyDescent="0.2">
      <c r="A69" s="85" t="s">
        <v>682</v>
      </c>
      <c r="B69" s="85">
        <v>266</v>
      </c>
      <c r="C69" s="85">
        <v>49</v>
      </c>
      <c r="D69" s="85">
        <v>9149</v>
      </c>
      <c r="E69" s="111">
        <v>43416</v>
      </c>
      <c r="F69" s="85" t="s">
        <v>683</v>
      </c>
      <c r="G69" s="85">
        <v>4</v>
      </c>
      <c r="H69" s="85">
        <v>13</v>
      </c>
      <c r="I69" s="85">
        <v>12</v>
      </c>
      <c r="J69" s="87">
        <v>2.9844601132357575E-2</v>
      </c>
      <c r="K69" s="87">
        <v>3.2898684770008242E-2</v>
      </c>
      <c r="L69" s="87">
        <v>9.6554281954583182E-2</v>
      </c>
      <c r="M69" s="87">
        <v>0.84070243214305107</v>
      </c>
      <c r="N69" s="87">
        <v>1.7915382701011943E-2</v>
      </c>
      <c r="O69" s="87">
        <v>0.23706642721575827</v>
      </c>
      <c r="P69" s="87">
        <v>0.15510969716056788</v>
      </c>
      <c r="Q69" s="87">
        <v>-1.1085417473789622E-2</v>
      </c>
      <c r="R69" s="88">
        <v>1.3990819111364043E-2</v>
      </c>
      <c r="S69" s="87">
        <v>0.25413619789803293</v>
      </c>
      <c r="T69" s="87">
        <v>0.74586380210196701</v>
      </c>
      <c r="U69" s="87">
        <v>0.49401933475339999</v>
      </c>
      <c r="V69" s="87">
        <v>0.26000777302759426</v>
      </c>
      <c r="W69" s="87">
        <v>8.998959031880574E-2</v>
      </c>
      <c r="X69" s="87">
        <v>6.6509916045649708E-2</v>
      </c>
      <c r="Y69" s="89">
        <v>7.2476951193313849E-2</v>
      </c>
      <c r="Z69" s="90">
        <v>27135</v>
      </c>
      <c r="AA69" s="90">
        <v>200700</v>
      </c>
      <c r="AB69" s="87">
        <v>0.23706642721575827</v>
      </c>
      <c r="AC69" s="87">
        <v>0.15510969716056788</v>
      </c>
      <c r="AD69" s="87">
        <v>0.17593786892894941</v>
      </c>
      <c r="AE69" s="100">
        <v>0</v>
      </c>
      <c r="AF69" s="93">
        <v>0.34350630318050568</v>
      </c>
      <c r="AG69" s="93">
        <v>0.68819635697853299</v>
      </c>
      <c r="AH69" s="93">
        <f t="shared" si="15"/>
        <v>0.67420553786716897</v>
      </c>
      <c r="AI69" s="93">
        <f t="shared" si="16"/>
        <v>0.45112992976277472</v>
      </c>
      <c r="AJ69" s="93">
        <f t="shared" si="17"/>
        <v>0.5330866598179651</v>
      </c>
      <c r="AK69" s="115">
        <f t="shared" si="18"/>
        <v>0.61571940578521911</v>
      </c>
      <c r="AL69" s="94">
        <f t="shared" si="19"/>
        <v>0.59820676665972727</v>
      </c>
      <c r="AM69" s="94">
        <f t="shared" si="20"/>
        <v>0.62168644093288328</v>
      </c>
      <c r="AN69" s="94">
        <f t="shared" si="21"/>
        <v>0.51225848804958352</v>
      </c>
      <c r="AO69" s="93">
        <v>0.34469005379802731</v>
      </c>
      <c r="AP69" s="93">
        <f t="shared" si="14"/>
        <v>0.33069923468666329</v>
      </c>
      <c r="AQ69" s="94">
        <f t="shared" si="22"/>
        <v>0.27221310260471343</v>
      </c>
      <c r="AR69" s="94">
        <f t="shared" si="23"/>
        <v>0.16875218486907784</v>
      </c>
      <c r="AS69" s="93">
        <v>0.6596600497135986</v>
      </c>
      <c r="AT69" s="93">
        <f t="shared" si="24"/>
        <v>0.64566923060223458</v>
      </c>
      <c r="AU69" s="94">
        <f t="shared" si="25"/>
        <v>0.58718309852028472</v>
      </c>
      <c r="AV69" s="94">
        <f t="shared" si="26"/>
        <v>0.48372218078464918</v>
      </c>
      <c r="AW69" s="93">
        <v>1.0432591109273994</v>
      </c>
      <c r="AX69" s="94">
        <f t="shared" si="27"/>
        <v>1.0485986523400392</v>
      </c>
      <c r="AY69" s="94">
        <f t="shared" si="28"/>
        <v>1.0589931750052177</v>
      </c>
      <c r="AZ69" s="105">
        <v>0</v>
      </c>
      <c r="BA69" s="93">
        <v>0.34350630318050568</v>
      </c>
      <c r="BB69" s="93">
        <v>0.67420553786716897</v>
      </c>
      <c r="BC69" s="93">
        <v>0.33069923468666329</v>
      </c>
      <c r="BD69" s="93">
        <v>0.64566923060223458</v>
      </c>
      <c r="BE69" s="93">
        <v>1.0441964800433772</v>
      </c>
      <c r="BF69" s="108">
        <v>0</v>
      </c>
      <c r="BG69" s="93">
        <v>0.36932327009945282</v>
      </c>
      <c r="BH69" s="93">
        <v>0.88903839386183892</v>
      </c>
      <c r="BI69" s="93">
        <v>0.51971512376238604</v>
      </c>
      <c r="BJ69" s="93">
        <v>0.72080209629646141</v>
      </c>
      <c r="BK69" s="93">
        <v>1.2334015098316016</v>
      </c>
      <c r="BL69" s="108">
        <v>0</v>
      </c>
      <c r="BM69" s="93">
        <v>0.41759927275444975</v>
      </c>
      <c r="BN69" s="93">
        <v>0.81355768767351611</v>
      </c>
      <c r="BO69" s="93">
        <v>0.39595841491906636</v>
      </c>
      <c r="BP69" s="93">
        <v>0.93794230350733065</v>
      </c>
      <c r="BQ69" s="93">
        <v>0.86738564262567952</v>
      </c>
      <c r="BR69" s="93">
        <v>0</v>
      </c>
      <c r="BS69" s="93">
        <v>0.7316940737734855</v>
      </c>
      <c r="BT69" s="93">
        <v>0.89270584398068897</v>
      </c>
      <c r="BU69" s="93">
        <v>0.16101177020720353</v>
      </c>
      <c r="BV69" s="93">
        <v>0.81820331668276802</v>
      </c>
      <c r="BW69" s="93">
        <v>1.0910562518861151</v>
      </c>
    </row>
    <row r="70" spans="1:75" s="85" customFormat="1" x14ac:dyDescent="0.2">
      <c r="A70" s="85" t="s">
        <v>682</v>
      </c>
      <c r="B70" s="85">
        <v>266</v>
      </c>
      <c r="C70" s="85">
        <v>49</v>
      </c>
      <c r="D70" s="85">
        <v>9149</v>
      </c>
      <c r="E70" s="111">
        <v>43416</v>
      </c>
      <c r="F70" s="85" t="s">
        <v>683</v>
      </c>
      <c r="G70" s="85">
        <v>4</v>
      </c>
      <c r="H70" s="85">
        <v>13</v>
      </c>
      <c r="I70" s="85">
        <v>20</v>
      </c>
      <c r="J70" s="87">
        <v>4.5767527573603799E-2</v>
      </c>
      <c r="K70" s="87">
        <v>4.9008561404223688E-2</v>
      </c>
      <c r="L70" s="87">
        <v>0.14971178196977794</v>
      </c>
      <c r="M70" s="87">
        <v>0.75551212905239462</v>
      </c>
      <c r="N70" s="87">
        <v>0.13116117161540314</v>
      </c>
      <c r="O70" s="87">
        <v>4.9486920664755955E-2</v>
      </c>
      <c r="P70" s="87">
        <v>-2.4545213831712688E-2</v>
      </c>
      <c r="Q70" s="87">
        <v>-7.9703019863027243E-3</v>
      </c>
      <c r="R70" s="88">
        <v>-1.2681621958382672E-3</v>
      </c>
      <c r="S70" s="87">
        <v>0.24662075644659656</v>
      </c>
      <c r="T70" s="87">
        <v>0.75337924355340347</v>
      </c>
      <c r="U70" s="87">
        <v>0.71593157007839403</v>
      </c>
      <c r="V70" s="87">
        <v>0.28004895960832316</v>
      </c>
      <c r="W70" s="87">
        <v>-3.4224279172939499E-2</v>
      </c>
      <c r="X70" s="87">
        <v>0.10645109645313752</v>
      </c>
      <c r="Y70" s="89">
        <v>7.1757628902825304E-2</v>
      </c>
      <c r="Z70" s="90">
        <v>39087</v>
      </c>
      <c r="AA70" s="90">
        <v>228800</v>
      </c>
      <c r="AB70" s="87">
        <v>4.9486920664755955E-2</v>
      </c>
      <c r="AC70" s="87">
        <v>-2.4545213831712688E-2</v>
      </c>
      <c r="AD70" s="87">
        <v>-6.2873528208374167E-3</v>
      </c>
      <c r="AE70" s="100">
        <v>0</v>
      </c>
      <c r="AF70" s="93">
        <v>0.22092709920221701</v>
      </c>
      <c r="AG70" s="93">
        <v>0.36068904157737564</v>
      </c>
      <c r="AH70" s="93">
        <f t="shared" si="15"/>
        <v>0.36195720377321389</v>
      </c>
      <c r="AI70" s="93">
        <f t="shared" si="16"/>
        <v>0.31120212091261967</v>
      </c>
      <c r="AJ70" s="93">
        <f t="shared" si="17"/>
        <v>0.38523425540908834</v>
      </c>
      <c r="AK70" s="115">
        <f t="shared" si="18"/>
        <v>0.28893141267455036</v>
      </c>
      <c r="AL70" s="94">
        <f t="shared" si="19"/>
        <v>0.39491332075031516</v>
      </c>
      <c r="AM70" s="94">
        <f t="shared" si="20"/>
        <v>0.25423794512423814</v>
      </c>
      <c r="AN70" s="94">
        <f t="shared" si="21"/>
        <v>0.36697639439821306</v>
      </c>
      <c r="AO70" s="93">
        <v>0.13976194237515863</v>
      </c>
      <c r="AP70" s="93">
        <f t="shared" ref="AP70:AP103" si="29">AH70-AF70</f>
        <v>0.14103010457099688</v>
      </c>
      <c r="AQ70" s="94">
        <f t="shared" si="22"/>
        <v>6.800431347233335E-2</v>
      </c>
      <c r="AR70" s="94">
        <f t="shared" si="23"/>
        <v>0.14604929519599605</v>
      </c>
      <c r="AS70" s="93">
        <v>0.45895926301017764</v>
      </c>
      <c r="AT70" s="93">
        <f t="shared" si="24"/>
        <v>0.46022742520601589</v>
      </c>
      <c r="AU70" s="94">
        <f t="shared" si="25"/>
        <v>0.38720163410735231</v>
      </c>
      <c r="AV70" s="94">
        <f t="shared" si="26"/>
        <v>0.46524661583101506</v>
      </c>
      <c r="AW70" s="93">
        <v>0.78588465392706797</v>
      </c>
      <c r="AX70" s="94">
        <f t="shared" si="27"/>
        <v>0.74620401161438188</v>
      </c>
      <c r="AY70" s="94">
        <f t="shared" si="28"/>
        <v>0.78877821334116849</v>
      </c>
      <c r="AZ70" s="105">
        <v>0</v>
      </c>
      <c r="BA70" s="93">
        <v>0.22092709920221698</v>
      </c>
      <c r="BB70" s="93">
        <v>0.36195720377321389</v>
      </c>
      <c r="BC70" s="93">
        <v>0.14103010457099691</v>
      </c>
      <c r="BD70" s="93">
        <v>0.46022742520601589</v>
      </c>
      <c r="BE70" s="93">
        <v>0.78647465133393046</v>
      </c>
      <c r="BF70" s="108">
        <v>0</v>
      </c>
      <c r="BG70" s="93">
        <v>0.3288291379953508</v>
      </c>
      <c r="BH70" s="93">
        <v>0.74404712914881166</v>
      </c>
      <c r="BI70" s="93">
        <v>0.41521799115346086</v>
      </c>
      <c r="BJ70" s="93">
        <v>0.64555963879933231</v>
      </c>
      <c r="BK70" s="93">
        <v>1.152561412501957</v>
      </c>
      <c r="BL70" s="108">
        <v>0</v>
      </c>
      <c r="BM70" s="93">
        <v>0.35811678001582808</v>
      </c>
      <c r="BN70" s="93">
        <v>0.68164049495281542</v>
      </c>
      <c r="BO70" s="93">
        <v>0.32352371493698734</v>
      </c>
      <c r="BP70" s="93">
        <v>0.7275098086046623</v>
      </c>
      <c r="BQ70" s="93">
        <v>0.93695024711787378</v>
      </c>
      <c r="BR70" s="93">
        <v>0</v>
      </c>
      <c r="BS70" s="93">
        <v>0.38766733434239392</v>
      </c>
      <c r="BT70" s="93">
        <v>0.86886928889815895</v>
      </c>
      <c r="BU70" s="93">
        <v>0.48120195455576503</v>
      </c>
      <c r="BV70" s="93">
        <v>0.7700451472550518</v>
      </c>
      <c r="BW70" s="93">
        <v>1.1283355164244351</v>
      </c>
    </row>
    <row r="71" spans="1:75" s="85" customFormat="1" x14ac:dyDescent="0.2">
      <c r="A71" s="85" t="s">
        <v>682</v>
      </c>
      <c r="B71" s="85">
        <v>266</v>
      </c>
      <c r="C71" s="85">
        <v>49</v>
      </c>
      <c r="D71" s="85">
        <v>9149</v>
      </c>
      <c r="E71" s="111">
        <v>43416</v>
      </c>
      <c r="F71" s="85" t="s">
        <v>683</v>
      </c>
      <c r="G71" s="85">
        <v>4</v>
      </c>
      <c r="H71" s="85">
        <v>13</v>
      </c>
      <c r="I71" s="85">
        <v>30</v>
      </c>
      <c r="J71" s="87">
        <v>6.7896848203113966E-2</v>
      </c>
      <c r="K71" s="87">
        <v>7.9461508886828514E-2</v>
      </c>
      <c r="L71" s="87">
        <v>0.15526651421904339</v>
      </c>
      <c r="M71" s="87">
        <v>0.69737512869101415</v>
      </c>
      <c r="N71" s="87">
        <v>0.19071735886404842</v>
      </c>
      <c r="O71" s="87">
        <v>0.10654739141465584</v>
      </c>
      <c r="P71" s="87">
        <v>-3.6182110860984462E-3</v>
      </c>
      <c r="Q71" s="87">
        <v>-3.5557876078478372E-2</v>
      </c>
      <c r="R71" s="88">
        <v>-3.9434413750000126E-3</v>
      </c>
      <c r="S71" s="87">
        <v>0.33852587277569385</v>
      </c>
      <c r="T71" s="87">
        <v>0.66147412722430621</v>
      </c>
      <c r="U71" s="87">
        <v>0.87439136264201534</v>
      </c>
      <c r="V71" s="87">
        <v>0.32168284789644014</v>
      </c>
      <c r="W71" s="87">
        <v>6.6419999113589853E-2</v>
      </c>
      <c r="X71" s="87">
        <v>0.10330096333843927</v>
      </c>
      <c r="Y71" s="89">
        <v>9.0815802735412982E-2</v>
      </c>
      <c r="Z71" s="90">
        <v>49564</v>
      </c>
      <c r="AA71" s="90">
        <v>248500</v>
      </c>
      <c r="AB71" s="87">
        <v>0.10654739141465584</v>
      </c>
      <c r="AC71" s="87">
        <v>-3.6182110860984462E-3</v>
      </c>
      <c r="AD71" s="87">
        <v>3.367569565032956E-2</v>
      </c>
      <c r="AE71" s="100">
        <v>0</v>
      </c>
      <c r="AF71" s="93">
        <v>0.14155206834334585</v>
      </c>
      <c r="AG71" s="93">
        <v>0.27917344621939355</v>
      </c>
      <c r="AH71" s="93">
        <f t="shared" si="15"/>
        <v>0.28311688759439357</v>
      </c>
      <c r="AI71" s="93">
        <f t="shared" si="16"/>
        <v>0.17262605480473769</v>
      </c>
      <c r="AJ71" s="93">
        <f t="shared" si="17"/>
        <v>0.28279165730549199</v>
      </c>
      <c r="AK71" s="115">
        <f t="shared" si="18"/>
        <v>0.18835764348398057</v>
      </c>
      <c r="AL71" s="94">
        <f t="shared" si="19"/>
        <v>0.21275344710580368</v>
      </c>
      <c r="AM71" s="94">
        <f t="shared" si="20"/>
        <v>0.17587248288095428</v>
      </c>
      <c r="AN71" s="94">
        <f t="shared" si="21"/>
        <v>0.24549775056906398</v>
      </c>
      <c r="AO71" s="93">
        <v>0.1376213778760477</v>
      </c>
      <c r="AP71" s="93">
        <f t="shared" si="29"/>
        <v>0.14156481925104772</v>
      </c>
      <c r="AQ71" s="94">
        <f t="shared" si="22"/>
        <v>4.6805575140634714E-2</v>
      </c>
      <c r="AR71" s="94">
        <f t="shared" si="23"/>
        <v>0.10394568222571812</v>
      </c>
      <c r="AS71" s="93">
        <v>0.38417675522937844</v>
      </c>
      <c r="AT71" s="93">
        <f t="shared" si="24"/>
        <v>0.38812019660437846</v>
      </c>
      <c r="AU71" s="94">
        <f t="shared" si="25"/>
        <v>0.29336095249396543</v>
      </c>
      <c r="AV71" s="94">
        <f t="shared" si="26"/>
        <v>0.35050105957904887</v>
      </c>
      <c r="AW71" s="93">
        <v>0.72667969214511408</v>
      </c>
      <c r="AX71" s="94">
        <f t="shared" si="27"/>
        <v>0.64206787536884335</v>
      </c>
      <c r="AY71" s="94">
        <f t="shared" si="28"/>
        <v>0.70041942487679298</v>
      </c>
      <c r="AZ71" s="105">
        <v>0</v>
      </c>
      <c r="BA71" s="93">
        <v>0.14155206834334585</v>
      </c>
      <c r="BB71" s="93">
        <v>0.28311688759439357</v>
      </c>
      <c r="BC71" s="93">
        <v>0.14156481925104772</v>
      </c>
      <c r="BD71" s="93">
        <v>0.38812019660437846</v>
      </c>
      <c r="BE71" s="93">
        <v>0.72945672518810545</v>
      </c>
      <c r="BF71" s="108">
        <v>0</v>
      </c>
      <c r="BG71" s="93">
        <v>0.47504650349668504</v>
      </c>
      <c r="BH71" s="93">
        <v>0.72858697890191937</v>
      </c>
      <c r="BI71" s="93">
        <v>0.25354047540523433</v>
      </c>
      <c r="BJ71" s="93">
        <v>0.67229859761512489</v>
      </c>
      <c r="BK71" s="93">
        <v>1.0837252695252806</v>
      </c>
      <c r="BL71" s="108">
        <v>0</v>
      </c>
      <c r="BM71" s="93">
        <v>0.59217778382466535</v>
      </c>
      <c r="BN71" s="93">
        <v>0.77218414196581664</v>
      </c>
      <c r="BO71" s="93">
        <v>0.18000635814115132</v>
      </c>
      <c r="BP71" s="93">
        <v>0.7352125532639866</v>
      </c>
      <c r="BQ71" s="93">
        <v>1.0502869388419636</v>
      </c>
      <c r="BR71" s="93">
        <v>0</v>
      </c>
      <c r="BS71" s="93">
        <v>0.32726574510467721</v>
      </c>
      <c r="BT71" s="93">
        <v>0.56373295761735764</v>
      </c>
      <c r="BU71" s="93">
        <v>0.23646721251268041</v>
      </c>
      <c r="BV71" s="93">
        <v>0.50060520558280419</v>
      </c>
      <c r="BW71" s="93">
        <v>1.1261028677499672</v>
      </c>
    </row>
    <row r="72" spans="1:75" s="85" customFormat="1" x14ac:dyDescent="0.2">
      <c r="A72" s="85" t="s">
        <v>682</v>
      </c>
      <c r="B72" s="85">
        <v>266</v>
      </c>
      <c r="C72" s="85">
        <v>49</v>
      </c>
      <c r="D72" s="85">
        <v>9149</v>
      </c>
      <c r="E72" s="111">
        <v>43416</v>
      </c>
      <c r="F72" s="85" t="s">
        <v>683</v>
      </c>
      <c r="G72" s="85">
        <v>4</v>
      </c>
      <c r="H72" s="85">
        <v>13</v>
      </c>
      <c r="I72" s="85">
        <v>40</v>
      </c>
      <c r="J72" s="87">
        <v>8.2543528190717877E-2</v>
      </c>
      <c r="K72" s="87">
        <v>0.10607075740067864</v>
      </c>
      <c r="L72" s="87">
        <v>0.16231047073828711</v>
      </c>
      <c r="M72" s="87">
        <v>0.64907524367031644</v>
      </c>
      <c r="N72" s="87">
        <v>0.19314067302932741</v>
      </c>
      <c r="O72" s="87">
        <v>0.20900879129880356</v>
      </c>
      <c r="P72" s="87">
        <v>2.1351360206886223E-2</v>
      </c>
      <c r="Q72" s="87">
        <v>-2.9369966655633288E-2</v>
      </c>
      <c r="R72" s="88">
        <v>2.2514464447923169E-2</v>
      </c>
      <c r="S72" s="87">
        <v>0.39522420452504975</v>
      </c>
      <c r="T72" s="87">
        <v>0.6047757954749502</v>
      </c>
      <c r="U72" s="87">
        <v>1.0205568378534333</v>
      </c>
      <c r="V72" s="87">
        <v>0.34635215261665375</v>
      </c>
      <c r="W72" s="87">
        <v>-4.5652606443577154E-3</v>
      </c>
      <c r="X72" s="87">
        <v>2.1318388958228244E-3</v>
      </c>
      <c r="Y72" s="89">
        <v>-5.1501694257010604E-4</v>
      </c>
      <c r="Z72" s="90">
        <v>56596</v>
      </c>
      <c r="AA72" s="90">
        <v>268700</v>
      </c>
      <c r="AB72" s="87">
        <v>0.20900879129880356</v>
      </c>
      <c r="AC72" s="87">
        <v>2.1351360206886223E-2</v>
      </c>
      <c r="AD72" s="87">
        <v>9.5518119133403592E-2</v>
      </c>
      <c r="AE72" s="100">
        <v>0</v>
      </c>
      <c r="AF72" s="93">
        <v>6.7518825767562282E-2</v>
      </c>
      <c r="AG72" s="93">
        <v>5.7666529324550575E-2</v>
      </c>
      <c r="AH72" s="93">
        <f t="shared" si="15"/>
        <v>3.5152064876627406E-2</v>
      </c>
      <c r="AI72" s="93">
        <f t="shared" si="16"/>
        <v>-0.15134226197425299</v>
      </c>
      <c r="AJ72" s="93">
        <f t="shared" si="17"/>
        <v>3.6315169117664352E-2</v>
      </c>
      <c r="AK72" s="115">
        <f t="shared" si="18"/>
        <v>5.818154626712068E-2</v>
      </c>
      <c r="AL72" s="94">
        <f t="shared" si="19"/>
        <v>6.223178996890829E-2</v>
      </c>
      <c r="AM72" s="94">
        <f t="shared" si="20"/>
        <v>5.5534690428727752E-2</v>
      </c>
      <c r="AN72" s="94">
        <f t="shared" si="21"/>
        <v>-3.7851589808853017E-2</v>
      </c>
      <c r="AO72" s="93">
        <v>-9.8522964430117071E-3</v>
      </c>
      <c r="AP72" s="93">
        <f t="shared" si="29"/>
        <v>-3.2366760890934876E-2</v>
      </c>
      <c r="AQ72" s="94">
        <f t="shared" si="22"/>
        <v>-9.3372795004416018E-3</v>
      </c>
      <c r="AR72" s="94">
        <f t="shared" si="23"/>
        <v>-0.1053704155764153</v>
      </c>
      <c r="AS72" s="93">
        <v>0.15657060338346435</v>
      </c>
      <c r="AT72" s="93">
        <f t="shared" si="24"/>
        <v>0.13405613893554119</v>
      </c>
      <c r="AU72" s="94">
        <f t="shared" si="25"/>
        <v>0.15708562032603446</v>
      </c>
      <c r="AV72" s="94">
        <f t="shared" si="26"/>
        <v>6.1052484250060754E-2</v>
      </c>
      <c r="AW72" s="93">
        <v>0.36831006637508318</v>
      </c>
      <c r="AX72" s="94">
        <f t="shared" si="27"/>
        <v>0.37038110901789534</v>
      </c>
      <c r="AY72" s="94">
        <f t="shared" si="28"/>
        <v>-0.61998443263699543</v>
      </c>
      <c r="AZ72" s="105">
        <v>0</v>
      </c>
      <c r="BA72" s="93">
        <v>6.7518825767562282E-2</v>
      </c>
      <c r="BB72" s="93">
        <v>3.5152064876627406E-2</v>
      </c>
      <c r="BC72" s="93">
        <v>-3.2366760890934876E-2</v>
      </c>
      <c r="BD72" s="93">
        <v>0.13405613893554119</v>
      </c>
      <c r="BE72" s="93">
        <v>0.2622189864317197</v>
      </c>
      <c r="BF72" s="108">
        <v>0</v>
      </c>
      <c r="BG72" s="93">
        <v>0.1922642139049571</v>
      </c>
      <c r="BH72" s="93">
        <v>0.24348046372218554</v>
      </c>
      <c r="BI72" s="93">
        <v>5.1216249817228443E-2</v>
      </c>
      <c r="BJ72" s="93">
        <v>0.24931899916765593</v>
      </c>
      <c r="BK72" s="93">
        <v>0.97658206769254585</v>
      </c>
      <c r="BL72" s="108">
        <v>0</v>
      </c>
      <c r="BM72" s="93">
        <v>0.19928537090881229</v>
      </c>
      <c r="BN72" s="93">
        <v>0.1082422804385344</v>
      </c>
      <c r="BO72" s="93">
        <v>-9.1043090470277893E-2</v>
      </c>
      <c r="BP72" s="93">
        <v>0.15401645410761911</v>
      </c>
      <c r="BQ72" s="93">
        <v>0.70279686067113345</v>
      </c>
      <c r="BR72" s="93">
        <v>0</v>
      </c>
      <c r="BS72" s="93">
        <v>0.443819060326685</v>
      </c>
      <c r="BT72" s="93">
        <v>0.74258596520295883</v>
      </c>
      <c r="BU72" s="93">
        <v>0.29876690487627383</v>
      </c>
      <c r="BV72" s="93">
        <v>0.85984392864985171</v>
      </c>
      <c r="BW72" s="93">
        <v>0.86362878245705099</v>
      </c>
    </row>
    <row r="73" spans="1:75" s="85" customFormat="1" x14ac:dyDescent="0.2">
      <c r="A73" s="85" t="s">
        <v>682</v>
      </c>
      <c r="B73" s="85">
        <v>266</v>
      </c>
      <c r="C73" s="85">
        <v>49</v>
      </c>
      <c r="D73" s="85">
        <v>9149</v>
      </c>
      <c r="E73" s="111">
        <v>43416</v>
      </c>
      <c r="F73" s="85" t="s">
        <v>683</v>
      </c>
      <c r="G73" s="85">
        <v>4</v>
      </c>
      <c r="H73" s="85">
        <v>13</v>
      </c>
      <c r="I73" s="85">
        <v>50</v>
      </c>
      <c r="J73" s="87">
        <v>7.277026795032028E-2</v>
      </c>
      <c r="K73" s="87">
        <v>0.13652179853315288</v>
      </c>
      <c r="L73" s="87">
        <v>8.6583461663430616E-2</v>
      </c>
      <c r="M73" s="87">
        <v>0.70412447185309623</v>
      </c>
      <c r="N73" s="87">
        <v>8.0402826830939911E-2</v>
      </c>
      <c r="O73" s="87">
        <v>0.12283422644041864</v>
      </c>
      <c r="P73" s="87">
        <v>2.3621140518945819E-2</v>
      </c>
      <c r="Q73" s="87">
        <v>6.9784142002596583E-3</v>
      </c>
      <c r="R73" s="88">
        <v>2.9579357095223843E-2</v>
      </c>
      <c r="S73" s="87">
        <v>0.61191653846646288</v>
      </c>
      <c r="T73" s="87">
        <v>0.38808346153353723</v>
      </c>
      <c r="U73" s="87">
        <v>1.2997270502604004</v>
      </c>
      <c r="V73" s="87">
        <v>0.56152125279642062</v>
      </c>
      <c r="W73" s="87">
        <v>-7.4191228201764117E-2</v>
      </c>
      <c r="X73" s="87">
        <v>-0.17248280082052864</v>
      </c>
      <c r="Y73" s="89">
        <v>-0.1123365619432293</v>
      </c>
      <c r="Z73" s="90">
        <v>82855</v>
      </c>
      <c r="AA73" s="90">
        <v>276100</v>
      </c>
      <c r="AB73" s="87">
        <v>0.12283422644041864</v>
      </c>
      <c r="AC73" s="87">
        <v>2.3621140518945819E-2</v>
      </c>
      <c r="AD73" s="87">
        <v>8.433126862658924E-2</v>
      </c>
      <c r="AE73" s="100">
        <v>0</v>
      </c>
      <c r="AF73" s="93">
        <v>0.31451010278885261</v>
      </c>
      <c r="AG73" s="93">
        <v>0.2885346163855918</v>
      </c>
      <c r="AH73" s="93">
        <f t="shared" si="15"/>
        <v>0.25895525929036795</v>
      </c>
      <c r="AI73" s="93">
        <f t="shared" si="16"/>
        <v>0.16570038994517317</v>
      </c>
      <c r="AJ73" s="93">
        <f t="shared" si="17"/>
        <v>0.26491347586664599</v>
      </c>
      <c r="AK73" s="115">
        <f t="shared" si="18"/>
        <v>0.40087117832882113</v>
      </c>
      <c r="AL73" s="94">
        <f t="shared" si="19"/>
        <v>0.36272584458735591</v>
      </c>
      <c r="AM73" s="94">
        <f t="shared" si="20"/>
        <v>0.46101741720612044</v>
      </c>
      <c r="AN73" s="94">
        <f t="shared" si="21"/>
        <v>0.20420334775900256</v>
      </c>
      <c r="AO73" s="93">
        <v>-2.5975486403260792E-2</v>
      </c>
      <c r="AP73" s="93">
        <f t="shared" si="29"/>
        <v>-5.5554843498484663E-2</v>
      </c>
      <c r="AQ73" s="94">
        <f t="shared" si="22"/>
        <v>8.6361075539968524E-2</v>
      </c>
      <c r="AR73" s="94">
        <f t="shared" si="23"/>
        <v>-0.11030675502985005</v>
      </c>
      <c r="AS73" s="93">
        <v>0.31451010278885261</v>
      </c>
      <c r="AT73" s="93">
        <f t="shared" si="24"/>
        <v>0.28493074569362875</v>
      </c>
      <c r="AU73" s="94">
        <f t="shared" si="25"/>
        <v>0.42684666473208188</v>
      </c>
      <c r="AV73" s="94">
        <f t="shared" si="26"/>
        <v>0.23017883416226337</v>
      </c>
      <c r="AW73" s="93">
        <v>0.91740969153954477</v>
      </c>
      <c r="AX73" s="94">
        <f t="shared" si="27"/>
        <v>0.93914562640529298</v>
      </c>
      <c r="AY73" s="94">
        <f t="shared" si="28"/>
        <v>0.88715084730618832</v>
      </c>
      <c r="AZ73" s="105">
        <v>0</v>
      </c>
      <c r="BA73" s="93">
        <v>0.31451010278885261</v>
      </c>
      <c r="BB73" s="93">
        <v>0.258955259290368</v>
      </c>
      <c r="BC73" s="93">
        <v>-5.5554843498484635E-2</v>
      </c>
      <c r="BD73" s="93">
        <v>0.28493074569362875</v>
      </c>
      <c r="BE73" s="93">
        <v>0.90883578976348578</v>
      </c>
      <c r="BF73" s="108">
        <v>0</v>
      </c>
      <c r="BG73" s="93">
        <v>0.62748064900532363</v>
      </c>
      <c r="BH73" s="93">
        <v>0.56879254154592807</v>
      </c>
      <c r="BI73" s="93">
        <v>-5.8688107459395594E-2</v>
      </c>
      <c r="BJ73" s="93">
        <v>0.66248525233607225</v>
      </c>
      <c r="BK73" s="93">
        <v>0.85857389208323875</v>
      </c>
      <c r="BL73" s="108">
        <v>0</v>
      </c>
      <c r="BM73" s="93">
        <v>0.62278680772914552</v>
      </c>
      <c r="BN73" s="93">
        <v>0.57548863871014333</v>
      </c>
      <c r="BO73" s="93">
        <v>-4.7298169019002155E-2</v>
      </c>
      <c r="BP73" s="93">
        <v>0.58719401311559238</v>
      </c>
      <c r="BQ73" s="93">
        <v>0.98006557603790689</v>
      </c>
      <c r="BR73" s="93">
        <v>0</v>
      </c>
      <c r="BS73" s="93">
        <v>0.56014221080148341</v>
      </c>
      <c r="BT73" s="93">
        <v>0.63464473809940447</v>
      </c>
      <c r="BU73" s="93">
        <v>7.4502527297921076E-2</v>
      </c>
      <c r="BV73" s="93">
        <v>0.78218017880794344</v>
      </c>
      <c r="BW73" s="93">
        <v>0.81137921324804518</v>
      </c>
    </row>
    <row r="74" spans="1:75" x14ac:dyDescent="0.2">
      <c r="A74" s="11" t="s">
        <v>682</v>
      </c>
      <c r="B74" s="11">
        <v>283</v>
      </c>
      <c r="C74" s="11">
        <v>52</v>
      </c>
      <c r="D74" s="11">
        <v>9152</v>
      </c>
      <c r="E74" s="112">
        <v>43417</v>
      </c>
      <c r="F74" s="11" t="s">
        <v>683</v>
      </c>
      <c r="G74" s="11">
        <v>4</v>
      </c>
      <c r="H74" s="11">
        <v>14</v>
      </c>
      <c r="I74" s="11">
        <v>5</v>
      </c>
      <c r="J74" s="8">
        <v>1.0679120080013206E-2</v>
      </c>
      <c r="K74" s="8">
        <v>4.8153040677615258E-3</v>
      </c>
      <c r="L74" s="8">
        <v>3.4235326353985879E-2</v>
      </c>
      <c r="M74" s="8">
        <v>0.95027024949823935</v>
      </c>
      <c r="N74" s="8">
        <v>9.3401064856618615E-2</v>
      </c>
      <c r="O74" s="8">
        <v>0.18654683288767601</v>
      </c>
      <c r="P74" s="8">
        <v>0.27114690761025667</v>
      </c>
      <c r="Q74" s="8">
        <v>-6.8539226576458329E-3</v>
      </c>
      <c r="R74" s="21">
        <v>4.6654449884254408E-3</v>
      </c>
      <c r="S74" s="8">
        <v>0.12330925303269547</v>
      </c>
      <c r="T74" s="8">
        <v>0.87669074696730453</v>
      </c>
      <c r="U74" s="8">
        <v>0.44596307406312052</v>
      </c>
      <c r="V74" s="8">
        <v>0.26451214491560315</v>
      </c>
      <c r="W74" s="8">
        <v>-2.9378171649659477E-2</v>
      </c>
      <c r="X74" s="8">
        <v>-2.4803461979008876E-2</v>
      </c>
      <c r="Y74" s="15">
        <v>-2.5367566011338251E-2</v>
      </c>
      <c r="Z74" s="5">
        <v>21111</v>
      </c>
      <c r="AA74" s="5">
        <v>128500</v>
      </c>
      <c r="AB74" s="8">
        <v>0.18654683288767601</v>
      </c>
      <c r="AC74" s="8">
        <v>0.27114690761025667</v>
      </c>
      <c r="AD74" s="8">
        <v>0.26071493558970504</v>
      </c>
      <c r="AE74" s="12">
        <v>0</v>
      </c>
      <c r="AF74" s="74">
        <v>0.38290116197225355</v>
      </c>
      <c r="AG74" s="74">
        <v>0.85533689618660169</v>
      </c>
      <c r="AH74" s="74">
        <f t="shared" si="15"/>
        <v>0.85067145119817622</v>
      </c>
      <c r="AI74" s="74">
        <f t="shared" si="16"/>
        <v>0.66879006329892565</v>
      </c>
      <c r="AJ74" s="74">
        <f t="shared" si="17"/>
        <v>0.58418998857634508</v>
      </c>
      <c r="AK74" s="116">
        <f t="shared" si="18"/>
        <v>0.88070446219793996</v>
      </c>
      <c r="AL74" s="83">
        <f t="shared" si="19"/>
        <v>0.88471506783626119</v>
      </c>
      <c r="AM74" s="83">
        <f t="shared" si="20"/>
        <v>0.88014035816561054</v>
      </c>
      <c r="AN74" s="83">
        <f t="shared" si="21"/>
        <v>0.59462196059689665</v>
      </c>
      <c r="AO74" s="74">
        <v>0.4724357342143482</v>
      </c>
      <c r="AP74" s="74">
        <f t="shared" si="29"/>
        <v>0.46777028922592268</v>
      </c>
      <c r="AQ74" s="83">
        <f t="shared" si="22"/>
        <v>0.49780330022568642</v>
      </c>
      <c r="AR74" s="83">
        <f t="shared" si="23"/>
        <v>0.2117207986246431</v>
      </c>
      <c r="AS74" s="74">
        <v>0.85533689618660169</v>
      </c>
      <c r="AT74" s="74">
        <f t="shared" si="24"/>
        <v>0.85067145119817622</v>
      </c>
      <c r="AU74" s="83">
        <f t="shared" si="25"/>
        <v>0.88070446219793996</v>
      </c>
      <c r="AV74" s="83">
        <f t="shared" si="26"/>
        <v>0.59462196059689665</v>
      </c>
      <c r="AW74" s="74">
        <v>1</v>
      </c>
      <c r="AX74" s="83">
        <f t="shared" si="27"/>
        <v>1</v>
      </c>
      <c r="AY74" s="83">
        <f t="shared" si="28"/>
        <v>1</v>
      </c>
      <c r="AZ74" s="102">
        <v>0</v>
      </c>
      <c r="BA74" s="74">
        <v>0.30649209130423877</v>
      </c>
      <c r="BB74" s="74">
        <v>0.60458261920285439</v>
      </c>
      <c r="BC74" s="74">
        <v>0.29809052789861562</v>
      </c>
      <c r="BD74" s="74">
        <v>0.54394177332126337</v>
      </c>
      <c r="BE74" s="74">
        <v>1.1114840757887063</v>
      </c>
      <c r="BF74" s="109">
        <v>0</v>
      </c>
      <c r="BG74" s="74">
        <v>0.43697446004808654</v>
      </c>
      <c r="BH74" s="74">
        <v>0.69515224118929231</v>
      </c>
      <c r="BI74" s="74">
        <v>0.25817778114120576</v>
      </c>
      <c r="BJ74" s="74">
        <v>0.93192673465778708</v>
      </c>
      <c r="BK74" s="74">
        <v>0.74593014164848404</v>
      </c>
      <c r="BL74" s="109">
        <v>0</v>
      </c>
      <c r="BM74" s="74">
        <v>0.57922642651988498</v>
      </c>
      <c r="BN74" s="74">
        <v>1.0950866738845431</v>
      </c>
      <c r="BO74" s="74">
        <v>0.51586024736465819</v>
      </c>
      <c r="BP74" s="74">
        <v>1.1838452457276212</v>
      </c>
      <c r="BQ74" s="74">
        <v>0.92502519044326204</v>
      </c>
      <c r="BR74" s="74">
        <v>0</v>
      </c>
      <c r="BS74" s="74">
        <v>0.89081264341001443</v>
      </c>
      <c r="BT74" s="74">
        <v>1.1387948460151109</v>
      </c>
      <c r="BU74" s="74">
        <v>0.24798220260509646</v>
      </c>
      <c r="BV74" s="74">
        <v>1.036659768011323</v>
      </c>
      <c r="BW74" s="74">
        <v>1.0985232389212121</v>
      </c>
    </row>
    <row r="75" spans="1:75" x14ac:dyDescent="0.2">
      <c r="A75" s="11" t="s">
        <v>682</v>
      </c>
      <c r="B75" s="11">
        <v>283</v>
      </c>
      <c r="C75" s="11">
        <v>52</v>
      </c>
      <c r="D75" s="11">
        <v>9152</v>
      </c>
      <c r="E75" s="112">
        <v>43417</v>
      </c>
      <c r="F75" s="11" t="s">
        <v>683</v>
      </c>
      <c r="G75" s="11">
        <v>4</v>
      </c>
      <c r="H75" s="11">
        <v>14</v>
      </c>
      <c r="I75" s="11">
        <v>12</v>
      </c>
      <c r="J75" s="8">
        <v>7.8259167203373319E-3</v>
      </c>
      <c r="K75" s="8">
        <v>4.4181860312261269E-3</v>
      </c>
      <c r="L75" s="8">
        <v>3.560697972066966E-2</v>
      </c>
      <c r="M75" s="8">
        <v>0.95214891752776687</v>
      </c>
      <c r="N75" s="8">
        <v>0.10860949720250203</v>
      </c>
      <c r="O75" s="8">
        <v>0.25781520090855242</v>
      </c>
      <c r="P75" s="8">
        <v>0.17461958239550057</v>
      </c>
      <c r="Q75" s="8">
        <v>-4.8375024912756326E-3</v>
      </c>
      <c r="R75" s="21">
        <v>3.6006975680188394E-3</v>
      </c>
      <c r="S75" s="8">
        <v>0.11038520261510373</v>
      </c>
      <c r="T75" s="8">
        <v>0.88961479738489624</v>
      </c>
      <c r="U75" s="8">
        <v>0.44104106180008296</v>
      </c>
      <c r="V75" s="8">
        <v>0.25914972273567466</v>
      </c>
      <c r="W75" s="8">
        <v>0.17003054802189005</v>
      </c>
      <c r="X75" s="8">
        <v>7.3993716067455265E-2</v>
      </c>
      <c r="Y75" s="15">
        <v>8.4594761221258211E-2</v>
      </c>
      <c r="Z75" s="5">
        <v>21267</v>
      </c>
      <c r="AA75" s="5">
        <v>140200</v>
      </c>
      <c r="AB75" s="8">
        <v>0.25781520090855242</v>
      </c>
      <c r="AC75" s="8">
        <v>0.17461958239550057</v>
      </c>
      <c r="AD75" s="8">
        <v>0.18380314760175268</v>
      </c>
      <c r="AE75" s="12">
        <v>0</v>
      </c>
      <c r="AF75" s="74">
        <v>-5.3076986506471968E-2</v>
      </c>
      <c r="AG75" s="74">
        <v>0.26759158494161522</v>
      </c>
      <c r="AH75" s="74">
        <f t="shared" si="15"/>
        <v>0.26399088737359638</v>
      </c>
      <c r="AI75" s="74">
        <f t="shared" si="16"/>
        <v>9.7763840330628016E-3</v>
      </c>
      <c r="AJ75" s="74">
        <f t="shared" si="17"/>
        <v>9.2972002546114652E-2</v>
      </c>
      <c r="AK75" s="116">
        <f t="shared" si="18"/>
        <v>0.18299682372035703</v>
      </c>
      <c r="AL75" s="83">
        <f t="shared" si="19"/>
        <v>9.7561036919725175E-2</v>
      </c>
      <c r="AM75" s="83">
        <f t="shared" si="20"/>
        <v>0.19359786887415997</v>
      </c>
      <c r="AN75" s="83">
        <f t="shared" si="21"/>
        <v>8.3788437339862548E-2</v>
      </c>
      <c r="AO75" s="74">
        <v>0.32066857144808719</v>
      </c>
      <c r="AP75" s="74">
        <f t="shared" si="29"/>
        <v>0.31706787388006835</v>
      </c>
      <c r="AQ75" s="83">
        <f t="shared" si="22"/>
        <v>0.236073810226829</v>
      </c>
      <c r="AR75" s="83">
        <f t="shared" si="23"/>
        <v>0.13686542384633452</v>
      </c>
      <c r="AS75" s="74">
        <v>0.49603082383053554</v>
      </c>
      <c r="AT75" s="74">
        <f t="shared" si="24"/>
        <v>0.4924301262625167</v>
      </c>
      <c r="AU75" s="83">
        <f t="shared" si="25"/>
        <v>0.41143606260927734</v>
      </c>
      <c r="AV75" s="83">
        <f t="shared" si="26"/>
        <v>0.31222767622878289</v>
      </c>
      <c r="AW75" s="74">
        <v>0.53946563819395921</v>
      </c>
      <c r="AX75" s="83">
        <f t="shared" si="27"/>
        <v>0.44477584818358773</v>
      </c>
      <c r="AY75" s="83">
        <f t="shared" si="28"/>
        <v>0.26835685533036185</v>
      </c>
      <c r="AZ75" s="102">
        <v>0</v>
      </c>
      <c r="BA75" s="74">
        <v>0.24094112198479642</v>
      </c>
      <c r="BB75" s="74">
        <v>0.65351570812065241</v>
      </c>
      <c r="BC75" s="74">
        <v>0.41257458613585601</v>
      </c>
      <c r="BD75" s="74">
        <v>0.62834448238041674</v>
      </c>
      <c r="BE75" s="74">
        <v>1.0400595954067697</v>
      </c>
      <c r="BF75" s="109">
        <v>0</v>
      </c>
      <c r="BG75" s="74">
        <v>0.59142787355045123</v>
      </c>
      <c r="BH75" s="74">
        <v>1.0436996292852871</v>
      </c>
      <c r="BI75" s="74">
        <v>0.4522717557348358</v>
      </c>
      <c r="BJ75" s="74">
        <v>1.0320674506491552</v>
      </c>
      <c r="BK75" s="74">
        <v>1.0112707542794954</v>
      </c>
      <c r="BL75" s="109">
        <v>0</v>
      </c>
      <c r="BM75" s="74">
        <v>0.67666377823108803</v>
      </c>
      <c r="BN75" s="74">
        <v>1.1484051247783618</v>
      </c>
      <c r="BO75" s="74">
        <v>0.47174134654727379</v>
      </c>
      <c r="BP75" s="74">
        <v>0.97749953492683472</v>
      </c>
      <c r="BQ75" s="74">
        <v>1.1748395612938263</v>
      </c>
      <c r="BR75" s="74">
        <v>0</v>
      </c>
      <c r="BS75" s="74">
        <v>0.83704401223458424</v>
      </c>
      <c r="BT75" s="74">
        <v>0.74204844624440081</v>
      </c>
      <c r="BU75" s="74">
        <v>-9.4995565990183439E-2</v>
      </c>
      <c r="BV75" s="74">
        <v>0.74825750379133293</v>
      </c>
      <c r="BW75" s="74">
        <v>0.99170197757393475</v>
      </c>
    </row>
    <row r="76" spans="1:75" x14ac:dyDescent="0.2">
      <c r="A76" s="11" t="s">
        <v>682</v>
      </c>
      <c r="B76" s="11">
        <v>283</v>
      </c>
      <c r="C76" s="11">
        <v>52</v>
      </c>
      <c r="D76" s="11">
        <v>9152</v>
      </c>
      <c r="E76" s="112">
        <v>43417</v>
      </c>
      <c r="F76" s="11" t="s">
        <v>683</v>
      </c>
      <c r="G76" s="11">
        <v>4</v>
      </c>
      <c r="H76" s="11">
        <v>14</v>
      </c>
      <c r="I76" s="11">
        <v>20</v>
      </c>
      <c r="J76" s="8">
        <v>1.2507641186409381E-2</v>
      </c>
      <c r="K76" s="8">
        <v>7.8355798778083456E-3</v>
      </c>
      <c r="L76" s="8">
        <v>0.11959417940954518</v>
      </c>
      <c r="M76" s="8">
        <v>0.86006259952623709</v>
      </c>
      <c r="N76" s="8">
        <v>0.3680162731445179</v>
      </c>
      <c r="O76" s="8">
        <v>0.17175283755850024</v>
      </c>
      <c r="P76" s="8">
        <v>0.10622505033893864</v>
      </c>
      <c r="Q76" s="8">
        <v>5.8360584960812489E-3</v>
      </c>
      <c r="R76" s="21">
        <v>2.3672071942330945E-2</v>
      </c>
      <c r="S76" s="8">
        <v>6.1489403430003732E-2</v>
      </c>
      <c r="T76" s="8">
        <v>0.93851059656999625</v>
      </c>
      <c r="U76" s="8">
        <v>0.57252222945131204</v>
      </c>
      <c r="V76" s="8">
        <v>0.29620476610767871</v>
      </c>
      <c r="W76" s="8">
        <v>0.13811662184583401</v>
      </c>
      <c r="X76" s="8">
        <v>7.6517041446581169E-2</v>
      </c>
      <c r="Y76" s="15">
        <v>8.0304762896869775E-2</v>
      </c>
      <c r="Z76" s="5">
        <v>26399</v>
      </c>
      <c r="AA76" s="5">
        <v>167800</v>
      </c>
      <c r="AB76" s="8">
        <v>0.17175283755850024</v>
      </c>
      <c r="AC76" s="8">
        <v>0.10622505033893864</v>
      </c>
      <c r="AD76" s="8">
        <v>0.11025431488315771</v>
      </c>
      <c r="AE76" s="12">
        <v>2</v>
      </c>
      <c r="AF76" s="74">
        <v>-0.65124977457943123</v>
      </c>
      <c r="AG76" s="74">
        <v>-0.39710248321422109</v>
      </c>
      <c r="AH76" s="74">
        <f t="shared" ref="AH76:AH103" si="30">AG76-R76</f>
        <v>-0.42077455515655204</v>
      </c>
      <c r="AI76" s="74">
        <f t="shared" si="16"/>
        <v>-0.56885532077272138</v>
      </c>
      <c r="AJ76" s="74">
        <f t="shared" si="17"/>
        <v>-0.50332753355315973</v>
      </c>
      <c r="AK76" s="116">
        <f t="shared" ref="AK76:AK103" si="31">AG76-Y76</f>
        <v>-0.47740724611109087</v>
      </c>
      <c r="AL76" s="83">
        <f t="shared" si="19"/>
        <v>-0.5352191050600551</v>
      </c>
      <c r="AM76" s="83">
        <f t="shared" si="20"/>
        <v>-0.47361952466080226</v>
      </c>
      <c r="AN76" s="83">
        <f t="shared" ref="AN76:AN103" si="32">AG76-AD76</f>
        <v>-0.50735679809737877</v>
      </c>
      <c r="AO76" s="74">
        <v>0.25414729136521014</v>
      </c>
      <c r="AP76" s="74">
        <f t="shared" si="29"/>
        <v>0.23047521942287919</v>
      </c>
      <c r="AQ76" s="83">
        <f t="shared" ref="AQ76:AQ103" si="33">AK76-AF76</f>
        <v>0.17384252846834036</v>
      </c>
      <c r="AR76" s="83">
        <f t="shared" ref="AR76:AR103" si="34">AN76-AF76</f>
        <v>0.14389297648205246</v>
      </c>
      <c r="AS76" s="74">
        <v>-0.43408148645530842</v>
      </c>
      <c r="AT76" s="74">
        <f t="shared" ref="AT76:AT103" si="35">AS76-R76</f>
        <v>-0.45775355839763937</v>
      </c>
      <c r="AU76" s="83">
        <f t="shared" ref="AU76:AU103" si="36">AS76-Y76</f>
        <v>-0.51438624935217825</v>
      </c>
      <c r="AV76" s="83">
        <f t="shared" ref="AV76:AV103" si="37">AS76-AD76</f>
        <v>-0.54433580133846615</v>
      </c>
      <c r="AW76" s="74">
        <v>0.9148109182378259</v>
      </c>
      <c r="AX76" s="83">
        <f t="shared" ref="AX76:AX103" si="38">AK76/AU76</f>
        <v>0.9281104359075325</v>
      </c>
      <c r="AY76" s="83">
        <f t="shared" ref="AY76:AY103" si="39">AN76/AV76</f>
        <v>0.93206582563527918</v>
      </c>
      <c r="AZ76" s="102">
        <v>0</v>
      </c>
      <c r="BA76" s="74">
        <v>0.23394117553335483</v>
      </c>
      <c r="BB76" s="74">
        <v>0.69181928142468518</v>
      </c>
      <c r="BC76" s="74">
        <v>0.45787810589133038</v>
      </c>
      <c r="BD76" s="74">
        <v>0.52706999864579762</v>
      </c>
      <c r="BE76" s="74">
        <v>1.3125757170815611</v>
      </c>
      <c r="BF76" s="109">
        <v>0</v>
      </c>
      <c r="BG76" s="74">
        <v>0.41942579164932298</v>
      </c>
      <c r="BH76" s="74">
        <v>0.80554113157761131</v>
      </c>
      <c r="BI76" s="74">
        <v>0.38611533992828839</v>
      </c>
      <c r="BJ76" s="74">
        <v>0.84330338770193958</v>
      </c>
      <c r="BK76" s="74">
        <v>0.95522103115554524</v>
      </c>
      <c r="BL76" s="109">
        <v>0</v>
      </c>
      <c r="BM76" s="74">
        <v>0.57611900267534633</v>
      </c>
      <c r="BN76" s="74">
        <v>0.93236864357926019</v>
      </c>
      <c r="BO76" s="74">
        <v>0.35624964090391381</v>
      </c>
      <c r="BP76" s="74">
        <v>0.97656905513708281</v>
      </c>
      <c r="BQ76" s="74">
        <v>0.95473908237690563</v>
      </c>
      <c r="BR76" s="74">
        <v>0</v>
      </c>
      <c r="BS76" s="74">
        <v>0.94298607293287129</v>
      </c>
      <c r="BT76" s="74">
        <v>1.4758059017738292</v>
      </c>
      <c r="BU76" s="74">
        <v>0.53281982884095791</v>
      </c>
      <c r="BV76" s="74">
        <v>1.1970334900698463</v>
      </c>
      <c r="BW76" s="74">
        <v>1.2328860587582364</v>
      </c>
    </row>
    <row r="77" spans="1:75" x14ac:dyDescent="0.2">
      <c r="A77" s="11" t="s">
        <v>682</v>
      </c>
      <c r="B77" s="11">
        <v>283</v>
      </c>
      <c r="C77" s="11">
        <v>52</v>
      </c>
      <c r="D77" s="11">
        <v>9152</v>
      </c>
      <c r="E77" s="112">
        <v>43417</v>
      </c>
      <c r="F77" s="11" t="s">
        <v>683</v>
      </c>
      <c r="G77" s="11">
        <v>4</v>
      </c>
      <c r="H77" s="11">
        <v>14</v>
      </c>
      <c r="I77" s="11">
        <v>30</v>
      </c>
      <c r="J77" s="8">
        <v>2.7679325001292662E-2</v>
      </c>
      <c r="K77" s="8">
        <v>3.4491516193415277E-2</v>
      </c>
      <c r="L77" s="8">
        <v>0.16727227791540553</v>
      </c>
      <c r="M77" s="8">
        <v>0.7705568808898865</v>
      </c>
      <c r="N77" s="8">
        <v>0.15184282763964377</v>
      </c>
      <c r="O77" s="8">
        <v>4.0774518318825864E-2</v>
      </c>
      <c r="P77" s="8">
        <v>3.8847138022849059E-2</v>
      </c>
      <c r="Q77" s="8">
        <v>7.6864235416904307E-3</v>
      </c>
      <c r="R77" s="21">
        <v>1.8030157751285154E-2</v>
      </c>
      <c r="S77" s="8">
        <v>0.1709499781452978</v>
      </c>
      <c r="T77" s="8">
        <v>0.82905002185470233</v>
      </c>
      <c r="U77" s="8">
        <v>0.85806247361756016</v>
      </c>
      <c r="V77" s="8">
        <v>0.38422433584781895</v>
      </c>
      <c r="W77" s="8">
        <v>-3.1695044548856903E-2</v>
      </c>
      <c r="X77" s="8">
        <v>-6.1947075206823791E-2</v>
      </c>
      <c r="Y77" s="15">
        <v>-5.6775491226993477E-2</v>
      </c>
      <c r="Z77" s="5">
        <v>56917</v>
      </c>
      <c r="AA77" s="5">
        <v>234300</v>
      </c>
      <c r="AB77" s="8">
        <v>4.0774518318825864E-2</v>
      </c>
      <c r="AC77" s="8">
        <v>3.8847138022849059E-2</v>
      </c>
      <c r="AD77" s="8">
        <v>3.9176623642323979E-2</v>
      </c>
      <c r="AE77" s="12">
        <v>0</v>
      </c>
      <c r="AF77" s="74">
        <v>0.60930985566022355</v>
      </c>
      <c r="AG77" s="74">
        <v>0.28642414801546268</v>
      </c>
      <c r="AH77" s="74">
        <f t="shared" si="30"/>
        <v>0.26839399026417754</v>
      </c>
      <c r="AI77" s="74">
        <f t="shared" si="16"/>
        <v>0.24564962969663681</v>
      </c>
      <c r="AJ77" s="74">
        <f t="shared" si="17"/>
        <v>0.24757700999261362</v>
      </c>
      <c r="AK77" s="116">
        <f t="shared" si="31"/>
        <v>0.34319963924245617</v>
      </c>
      <c r="AL77" s="83">
        <f t="shared" si="19"/>
        <v>0.31811919256431959</v>
      </c>
      <c r="AM77" s="83">
        <f t="shared" si="20"/>
        <v>0.34837122322228647</v>
      </c>
      <c r="AN77" s="83">
        <f t="shared" si="32"/>
        <v>0.24724752437313868</v>
      </c>
      <c r="AO77" s="74">
        <v>-0.32288570764476088</v>
      </c>
      <c r="AP77" s="74">
        <f t="shared" si="29"/>
        <v>-0.34091586539604601</v>
      </c>
      <c r="AQ77" s="83">
        <f t="shared" si="33"/>
        <v>-0.26611021641776739</v>
      </c>
      <c r="AR77" s="83">
        <f t="shared" si="34"/>
        <v>-0.36206233128708487</v>
      </c>
      <c r="AS77" s="74">
        <v>0.47847025470141236</v>
      </c>
      <c r="AT77" s="74">
        <f t="shared" si="35"/>
        <v>0.46044009695012722</v>
      </c>
      <c r="AU77" s="83">
        <f t="shared" si="36"/>
        <v>0.53524574592840579</v>
      </c>
      <c r="AV77" s="83">
        <f t="shared" si="37"/>
        <v>0.43929363105908836</v>
      </c>
      <c r="AW77" s="74">
        <v>0.59862477385183466</v>
      </c>
      <c r="AX77" s="83">
        <f t="shared" si="38"/>
        <v>0.64120012508863988</v>
      </c>
      <c r="AY77" s="83">
        <f t="shared" si="39"/>
        <v>0.56282974960746013</v>
      </c>
      <c r="AZ77" s="102">
        <v>0</v>
      </c>
      <c r="BA77" s="74">
        <v>0.28892514147457798</v>
      </c>
      <c r="BB77" s="74">
        <v>0.43401038744626041</v>
      </c>
      <c r="BC77" s="74">
        <v>0.14508524597168246</v>
      </c>
      <c r="BD77" s="74">
        <v>0.39987113792475931</v>
      </c>
      <c r="BE77" s="74">
        <v>1.085375628005252</v>
      </c>
      <c r="BF77" s="109">
        <v>0</v>
      </c>
      <c r="BG77" s="74">
        <v>0.37514757478891542</v>
      </c>
      <c r="BH77" s="74">
        <v>0.49244875785452141</v>
      </c>
      <c r="BI77" s="74">
        <v>0.11730118306560598</v>
      </c>
      <c r="BJ77" s="74">
        <v>0.60200775080240398</v>
      </c>
      <c r="BK77" s="74">
        <v>0.81801066049090965</v>
      </c>
      <c r="BL77" s="109">
        <v>0</v>
      </c>
      <c r="BM77" s="74">
        <v>0.7512827683867126</v>
      </c>
      <c r="BN77" s="74">
        <v>1.0112929036351725</v>
      </c>
      <c r="BO77" s="74">
        <v>0.26001013524846001</v>
      </c>
      <c r="BP77" s="74">
        <v>0.89398324076869373</v>
      </c>
      <c r="BQ77" s="74">
        <v>1.1312213221867669</v>
      </c>
      <c r="BR77" s="74">
        <v>0</v>
      </c>
      <c r="BS77" s="74">
        <v>0.82204420105589504</v>
      </c>
      <c r="BT77" s="74">
        <v>1.0439322594242726</v>
      </c>
      <c r="BU77" s="74">
        <v>0.22188805836837763</v>
      </c>
      <c r="BV77" s="74">
        <v>0.96773474582227392</v>
      </c>
      <c r="BW77" s="74">
        <v>1.0787380156917425</v>
      </c>
    </row>
    <row r="78" spans="1:75" x14ac:dyDescent="0.2">
      <c r="A78" s="11" t="s">
        <v>682</v>
      </c>
      <c r="B78" s="11">
        <v>283</v>
      </c>
      <c r="C78" s="11">
        <v>52</v>
      </c>
      <c r="D78" s="11">
        <v>9152</v>
      </c>
      <c r="E78" s="112">
        <v>43417</v>
      </c>
      <c r="F78" s="11" t="s">
        <v>683</v>
      </c>
      <c r="G78" s="11">
        <v>4</v>
      </c>
      <c r="H78" s="11">
        <v>14</v>
      </c>
      <c r="I78" s="11">
        <v>40</v>
      </c>
      <c r="J78" s="8">
        <v>3.949975841201897E-2</v>
      </c>
      <c r="K78" s="8">
        <v>5.3874954433362654E-2</v>
      </c>
      <c r="L78" s="8">
        <v>0.16241250393872939</v>
      </c>
      <c r="M78" s="8">
        <v>0.74421278321588891</v>
      </c>
      <c r="N78" s="8">
        <v>0.12767050704028579</v>
      </c>
      <c r="O78" s="8">
        <v>9.979816150845594E-2</v>
      </c>
      <c r="P78" s="8">
        <v>-2.0455963097498461E-2</v>
      </c>
      <c r="Q78" s="8">
        <v>-4.5623139791290688E-3</v>
      </c>
      <c r="R78" s="21">
        <v>3.7019390167773122E-3</v>
      </c>
      <c r="S78" s="8">
        <v>0.24908959048692692</v>
      </c>
      <c r="T78" s="8">
        <v>0.75091040951307308</v>
      </c>
      <c r="U78" s="8">
        <v>0.96006488142618984</v>
      </c>
      <c r="V78" s="8">
        <v>0.41148240312833273</v>
      </c>
      <c r="W78" s="8">
        <v>-2.9137799929638608E-2</v>
      </c>
      <c r="X78" s="8">
        <v>9.2174942202107799E-2</v>
      </c>
      <c r="Y78" s="15">
        <v>6.1957200943664921E-2</v>
      </c>
      <c r="Z78" s="5">
        <v>63924</v>
      </c>
      <c r="AA78" s="5">
        <v>231500</v>
      </c>
      <c r="AB78" s="8">
        <v>9.979816150845594E-2</v>
      </c>
      <c r="AC78" s="8">
        <v>-2.0455963097498461E-2</v>
      </c>
      <c r="AD78" s="8">
        <v>9.4980875549626025E-3</v>
      </c>
      <c r="AE78" s="12">
        <v>0</v>
      </c>
      <c r="AF78" s="74">
        <v>0.20817712137499944</v>
      </c>
      <c r="AG78" s="74">
        <v>0.12977241570570158</v>
      </c>
      <c r="AH78" s="74">
        <f t="shared" si="30"/>
        <v>0.12607047668892427</v>
      </c>
      <c r="AI78" s="74">
        <f t="shared" si="16"/>
        <v>2.9974254197245642E-2</v>
      </c>
      <c r="AJ78" s="74">
        <f t="shared" si="17"/>
        <v>0.15022837880320006</v>
      </c>
      <c r="AK78" s="116">
        <f t="shared" si="31"/>
        <v>6.7815214762036669E-2</v>
      </c>
      <c r="AL78" s="83">
        <f t="shared" si="19"/>
        <v>0.15891021563534019</v>
      </c>
      <c r="AM78" s="83">
        <f t="shared" si="20"/>
        <v>3.7597473503593784E-2</v>
      </c>
      <c r="AN78" s="83">
        <f t="shared" si="32"/>
        <v>0.12027432815073898</v>
      </c>
      <c r="AO78" s="74">
        <v>-7.8404705669297858E-2</v>
      </c>
      <c r="AP78" s="74">
        <f t="shared" si="29"/>
        <v>-8.2106644686075175E-2</v>
      </c>
      <c r="AQ78" s="83">
        <f t="shared" si="33"/>
        <v>-0.14036190661296277</v>
      </c>
      <c r="AR78" s="83">
        <f t="shared" si="34"/>
        <v>-8.7902793224260464E-2</v>
      </c>
      <c r="AS78" s="74">
        <v>1.7294432279011174E-2</v>
      </c>
      <c r="AT78" s="74">
        <f t="shared" si="35"/>
        <v>1.3592493262233862E-2</v>
      </c>
      <c r="AU78" s="83">
        <f t="shared" si="36"/>
        <v>-4.4662768664653747E-2</v>
      </c>
      <c r="AV78" s="83">
        <f t="shared" si="37"/>
        <v>7.7963447240485713E-3</v>
      </c>
      <c r="AW78" s="74">
        <v>7.5037106516179577</v>
      </c>
      <c r="AX78" s="83">
        <f t="shared" si="38"/>
        <v>-1.5183835841262083</v>
      </c>
      <c r="AY78" s="83">
        <f t="shared" si="39"/>
        <v>15.427015147206268</v>
      </c>
      <c r="AZ78" s="102">
        <v>0</v>
      </c>
      <c r="BA78" s="74">
        <v>0.24315005498715059</v>
      </c>
      <c r="BB78" s="74">
        <v>0.30159586414024336</v>
      </c>
      <c r="BC78" s="74">
        <v>5.8445809153092769E-2</v>
      </c>
      <c r="BD78" s="74">
        <v>0.27323032601141994</v>
      </c>
      <c r="BE78" s="74">
        <v>1.103815482501155</v>
      </c>
      <c r="BF78" s="109">
        <v>0</v>
      </c>
      <c r="BG78" s="74">
        <v>0.21110905434794236</v>
      </c>
      <c r="BH78" s="74">
        <v>0.21151432284386412</v>
      </c>
      <c r="BI78" s="74">
        <v>4.0526849592175979E-4</v>
      </c>
      <c r="BJ78" s="74">
        <v>0.21998724018617755</v>
      </c>
      <c r="BK78" s="74">
        <v>0.96148450548703324</v>
      </c>
      <c r="BL78" s="109">
        <v>0</v>
      </c>
      <c r="BM78" s="74">
        <v>0.3731482676474675</v>
      </c>
      <c r="BN78" s="74">
        <v>0.58397133457363659</v>
      </c>
      <c r="BO78" s="74">
        <v>0.21082306692616912</v>
      </c>
      <c r="BP78" s="74">
        <v>0.47599384956854618</v>
      </c>
      <c r="BQ78" s="74">
        <v>1.2268463869921096</v>
      </c>
      <c r="BR78" s="74">
        <v>0</v>
      </c>
      <c r="BS78" s="74">
        <v>0.32790703702874563</v>
      </c>
      <c r="BT78" s="74">
        <v>0.34601452765613605</v>
      </c>
      <c r="BU78" s="74">
        <v>1.8107490627390425E-2</v>
      </c>
      <c r="BV78" s="74">
        <v>0.21550815188170896</v>
      </c>
      <c r="BW78" s="74">
        <v>1.6055751238870128</v>
      </c>
    </row>
    <row r="79" spans="1:75" x14ac:dyDescent="0.2">
      <c r="A79" s="11" t="s">
        <v>682</v>
      </c>
      <c r="B79" s="11">
        <v>283</v>
      </c>
      <c r="C79" s="11">
        <v>52</v>
      </c>
      <c r="D79" s="11">
        <v>9152</v>
      </c>
      <c r="E79" s="112">
        <v>43417</v>
      </c>
      <c r="F79" s="11" t="s">
        <v>683</v>
      </c>
      <c r="G79" s="11">
        <v>4</v>
      </c>
      <c r="H79" s="11">
        <v>14</v>
      </c>
      <c r="I79" s="11">
        <v>50</v>
      </c>
      <c r="J79" s="8">
        <v>5.2345792930002341E-2</v>
      </c>
      <c r="K79" s="8">
        <v>0.1066820459214355</v>
      </c>
      <c r="L79" s="8">
        <v>0.19103458045376456</v>
      </c>
      <c r="M79" s="8">
        <v>0.64993758069479757</v>
      </c>
      <c r="N79" s="8">
        <v>9.4747414977263619E-2</v>
      </c>
      <c r="O79" s="8">
        <v>3.0895659692782303E-2</v>
      </c>
      <c r="P79" s="8">
        <v>-9.9550787523629367E-4</v>
      </c>
      <c r="Q79" s="8">
        <v>-2.2599752790648732E-3</v>
      </c>
      <c r="R79" s="21">
        <v>6.5966214565816314E-3</v>
      </c>
      <c r="S79" s="8">
        <v>0.35833418919300963</v>
      </c>
      <c r="T79" s="8">
        <v>0.64166581080699037</v>
      </c>
      <c r="U79" s="8">
        <v>0.93339055196650389</v>
      </c>
      <c r="V79" s="8">
        <v>0.35922798552472857</v>
      </c>
      <c r="W79" s="8">
        <v>4.4441730493209625E-2</v>
      </c>
      <c r="X79" s="8">
        <v>8.0889273014415841E-2</v>
      </c>
      <c r="Y79" s="15">
        <v>6.7828872417001668E-2</v>
      </c>
      <c r="Z79" s="5">
        <v>80476</v>
      </c>
      <c r="AA79" s="5">
        <v>297800</v>
      </c>
      <c r="AB79" s="8">
        <v>3.0895659692782303E-2</v>
      </c>
      <c r="AC79" s="8">
        <v>-9.9550787523629367E-4</v>
      </c>
      <c r="AD79" s="8">
        <v>1.0432187797668056E-2</v>
      </c>
      <c r="AE79" s="12">
        <v>0</v>
      </c>
      <c r="AF79" s="74">
        <v>1.0709562263019168E-2</v>
      </c>
      <c r="AG79" s="74">
        <v>8.9752769603472046E-2</v>
      </c>
      <c r="AH79" s="74">
        <f t="shared" si="30"/>
        <v>8.3156148146890416E-2</v>
      </c>
      <c r="AI79" s="74">
        <f t="shared" si="16"/>
        <v>5.8857109910689744E-2</v>
      </c>
      <c r="AJ79" s="74">
        <f t="shared" si="17"/>
        <v>9.0748277478708339E-2</v>
      </c>
      <c r="AK79" s="116">
        <f t="shared" si="31"/>
        <v>2.1923897186470379E-2</v>
      </c>
      <c r="AL79" s="83">
        <f t="shared" si="19"/>
        <v>4.5311039110262422E-2</v>
      </c>
      <c r="AM79" s="83">
        <f t="shared" si="20"/>
        <v>8.8634965890562051E-3</v>
      </c>
      <c r="AN79" s="83">
        <f t="shared" si="32"/>
        <v>7.9320581805803994E-2</v>
      </c>
      <c r="AO79" s="74">
        <v>7.9043207340452878E-2</v>
      </c>
      <c r="AP79" s="74">
        <f t="shared" si="29"/>
        <v>7.2446585883871248E-2</v>
      </c>
      <c r="AQ79" s="83">
        <f t="shared" si="33"/>
        <v>1.1214334923451211E-2</v>
      </c>
      <c r="AR79" s="83">
        <f t="shared" si="34"/>
        <v>6.8611019542784826E-2</v>
      </c>
      <c r="AS79" s="74">
        <v>-5.1810794718314887E-2</v>
      </c>
      <c r="AT79" s="74">
        <f t="shared" si="35"/>
        <v>-5.8407416174896518E-2</v>
      </c>
      <c r="AU79" s="83">
        <f t="shared" si="36"/>
        <v>-0.11963966713531655</v>
      </c>
      <c r="AV79" s="83">
        <f t="shared" si="37"/>
        <v>-6.2242982515982939E-2</v>
      </c>
      <c r="AW79" s="74">
        <v>-1.73231794824689</v>
      </c>
      <c r="AX79" s="83">
        <f t="shared" si="38"/>
        <v>-0.18324939973022242</v>
      </c>
      <c r="AY79" s="83">
        <f t="shared" si="39"/>
        <v>-1.274369874313716</v>
      </c>
      <c r="AZ79" s="102">
        <v>0</v>
      </c>
      <c r="BA79" s="74">
        <v>0.50900897448455273</v>
      </c>
      <c r="BB79" s="74">
        <v>0.46267291290581369</v>
      </c>
      <c r="BC79" s="74">
        <v>-4.6336061578739048E-2</v>
      </c>
      <c r="BD79" s="74">
        <v>0.41493431607291903</v>
      </c>
      <c r="BE79" s="74">
        <v>1.1150509730906548</v>
      </c>
      <c r="BF79" s="109">
        <v>0</v>
      </c>
      <c r="BG79" s="74">
        <v>0.54509692507068053</v>
      </c>
      <c r="BH79" s="74">
        <v>0.52779685851637526</v>
      </c>
      <c r="BI79" s="74">
        <v>-1.7300066554305327E-2</v>
      </c>
      <c r="BJ79" s="74">
        <v>0.50029184219913836</v>
      </c>
      <c r="BK79" s="74">
        <v>1.054977942866973</v>
      </c>
      <c r="BL79" s="109">
        <v>0</v>
      </c>
      <c r="BM79" s="74">
        <v>0.66792115271126484</v>
      </c>
      <c r="BN79" s="74">
        <v>0.55358693690224303</v>
      </c>
      <c r="BO79" s="74">
        <v>-0.11433421580902187</v>
      </c>
      <c r="BP79" s="74">
        <v>0.58410248082819338</v>
      </c>
      <c r="BQ79" s="74">
        <v>0.94775652402180754</v>
      </c>
      <c r="BR79" s="74">
        <v>0</v>
      </c>
      <c r="BS79" s="74">
        <v>0.53397008879616703</v>
      </c>
      <c r="BT79" s="74">
        <v>0.26775225501268601</v>
      </c>
      <c r="BU79" s="74">
        <v>-0.26621783378348102</v>
      </c>
      <c r="BV79" s="74">
        <v>0.30191117382400501</v>
      </c>
      <c r="BW79" s="74">
        <v>0.8868577191805711</v>
      </c>
    </row>
    <row r="80" spans="1:75" s="85" customFormat="1" x14ac:dyDescent="0.2">
      <c r="A80" s="85" t="s">
        <v>682</v>
      </c>
      <c r="B80" s="85">
        <v>298</v>
      </c>
      <c r="C80" s="85">
        <v>55</v>
      </c>
      <c r="D80" s="85">
        <v>9155</v>
      </c>
      <c r="E80" s="111">
        <v>43418</v>
      </c>
      <c r="F80" s="85" t="s">
        <v>683</v>
      </c>
      <c r="G80" s="85">
        <v>4</v>
      </c>
      <c r="H80" s="85">
        <v>15</v>
      </c>
      <c r="I80" s="85">
        <v>5</v>
      </c>
      <c r="J80" s="87">
        <v>9.647956472565904E-3</v>
      </c>
      <c r="K80" s="87">
        <v>1.0679241932804059E-2</v>
      </c>
      <c r="L80" s="87">
        <v>2.510160459699343E-2</v>
      </c>
      <c r="M80" s="87">
        <v>0.95457119699763648</v>
      </c>
      <c r="N80" s="87">
        <v>0.15794733460039259</v>
      </c>
      <c r="O80" s="87">
        <v>0.21916124963995817</v>
      </c>
      <c r="P80" s="87">
        <v>0.1975593485594006</v>
      </c>
      <c r="Q80" s="87">
        <v>3.3005194975944622E-3</v>
      </c>
      <c r="R80" s="88">
        <v>1.1973982515893631E-2</v>
      </c>
      <c r="S80" s="87">
        <v>0.29846252865791267</v>
      </c>
      <c r="T80" s="87">
        <v>0.70153747134208722</v>
      </c>
      <c r="U80" s="87">
        <v>0.35150074817357629</v>
      </c>
      <c r="V80" s="87">
        <v>0.27305825242718446</v>
      </c>
      <c r="W80" s="87">
        <v>0.19172676889976112</v>
      </c>
      <c r="X80" s="87">
        <v>-5.5358112038082413E-2</v>
      </c>
      <c r="Y80" s="89">
        <v>1.8387466319765663E-2</v>
      </c>
      <c r="Z80" s="90">
        <v>19967</v>
      </c>
      <c r="AA80" s="90">
        <v>180000</v>
      </c>
      <c r="AB80" s="87">
        <v>0.21916124963995817</v>
      </c>
      <c r="AC80" s="87">
        <v>0.1975593485594006</v>
      </c>
      <c r="AD80" s="87">
        <v>0.20400670657972189</v>
      </c>
      <c r="AE80" s="100">
        <v>0</v>
      </c>
      <c r="AF80" s="93">
        <v>0.30388910675582337</v>
      </c>
      <c r="AG80" s="93">
        <v>0.37972718314732795</v>
      </c>
      <c r="AH80" s="93">
        <f t="shared" si="30"/>
        <v>0.3677532006314343</v>
      </c>
      <c r="AI80" s="93">
        <f t="shared" si="16"/>
        <v>0.16056593350736978</v>
      </c>
      <c r="AJ80" s="93">
        <f t="shared" si="17"/>
        <v>0.18216783458792735</v>
      </c>
      <c r="AK80" s="115">
        <f t="shared" si="31"/>
        <v>0.36133971682756227</v>
      </c>
      <c r="AL80" s="94">
        <f t="shared" si="19"/>
        <v>0.18800041424756683</v>
      </c>
      <c r="AM80" s="94">
        <f t="shared" si="20"/>
        <v>0.43508529518541039</v>
      </c>
      <c r="AN80" s="94">
        <f t="shared" si="32"/>
        <v>0.17572047656760606</v>
      </c>
      <c r="AO80" s="93">
        <v>7.5838076391504597E-2</v>
      </c>
      <c r="AP80" s="93">
        <f t="shared" si="29"/>
        <v>6.3864093875610928E-2</v>
      </c>
      <c r="AQ80" s="94">
        <f t="shared" si="33"/>
        <v>5.7450610071738906E-2</v>
      </c>
      <c r="AR80" s="94">
        <f t="shared" si="34"/>
        <v>-0.12816863018821731</v>
      </c>
      <c r="AS80" s="93">
        <v>0.5402778848200539</v>
      </c>
      <c r="AT80" s="93">
        <f t="shared" si="35"/>
        <v>0.52830390230416024</v>
      </c>
      <c r="AU80" s="94">
        <f t="shared" si="36"/>
        <v>0.52189041850028828</v>
      </c>
      <c r="AV80" s="94">
        <f t="shared" si="37"/>
        <v>0.33627117824033204</v>
      </c>
      <c r="AW80" s="93">
        <v>0.70283680642194102</v>
      </c>
      <c r="AX80" s="94">
        <f t="shared" si="38"/>
        <v>0.69236702575593023</v>
      </c>
      <c r="AY80" s="94">
        <f t="shared" si="39"/>
        <v>0.52255586543911037</v>
      </c>
      <c r="AZ80" s="105">
        <v>0</v>
      </c>
      <c r="BA80" s="93">
        <v>0.22663069976555761</v>
      </c>
      <c r="BB80" s="93">
        <v>0.52983769252135582</v>
      </c>
      <c r="BC80" s="93">
        <v>0.30320699275579821</v>
      </c>
      <c r="BD80" s="93">
        <v>0.57940654264583791</v>
      </c>
      <c r="BE80" s="93">
        <v>0.91444892924728149</v>
      </c>
      <c r="BF80" s="108">
        <v>0</v>
      </c>
      <c r="BG80" s="93">
        <v>0.36842760628417648</v>
      </c>
      <c r="BH80" s="93">
        <v>0.41013678732525133</v>
      </c>
      <c r="BI80" s="93">
        <v>4.170918104107485E-2</v>
      </c>
      <c r="BJ80" s="93">
        <v>0.7792417228983437</v>
      </c>
      <c r="BK80" s="93">
        <v>0.52632806390265108</v>
      </c>
      <c r="BL80" s="108">
        <v>0</v>
      </c>
      <c r="BM80" s="93">
        <v>0.79990540230379248</v>
      </c>
      <c r="BN80" s="93">
        <v>0.9783997814984855</v>
      </c>
      <c r="BO80" s="93">
        <v>0.17849437919469305</v>
      </c>
      <c r="BP80" s="93">
        <v>1.1237181444431823</v>
      </c>
      <c r="BQ80" s="93">
        <v>0.8706807719860179</v>
      </c>
      <c r="BR80" s="93">
        <v>0</v>
      </c>
      <c r="BS80" s="93">
        <v>0.71169521127878743</v>
      </c>
      <c r="BT80" s="93">
        <v>0.88928489804490862</v>
      </c>
      <c r="BU80" s="93">
        <v>0.17758968676612119</v>
      </c>
      <c r="BV80" s="93">
        <v>0.98051441928226102</v>
      </c>
      <c r="BW80" s="93">
        <v>0.90695749145215765</v>
      </c>
    </row>
    <row r="81" spans="1:75" s="85" customFormat="1" x14ac:dyDescent="0.2">
      <c r="A81" s="85" t="s">
        <v>682</v>
      </c>
      <c r="B81" s="85">
        <v>298</v>
      </c>
      <c r="C81" s="85">
        <v>55</v>
      </c>
      <c r="D81" s="85">
        <v>9155</v>
      </c>
      <c r="E81" s="111">
        <v>43418</v>
      </c>
      <c r="F81" s="85" t="s">
        <v>683</v>
      </c>
      <c r="G81" s="85">
        <v>4</v>
      </c>
      <c r="H81" s="85">
        <v>15</v>
      </c>
      <c r="I81" s="85">
        <v>12</v>
      </c>
      <c r="J81" s="87">
        <v>2.7487596090856919E-2</v>
      </c>
      <c r="K81" s="87">
        <v>1.7795576346632775E-2</v>
      </c>
      <c r="L81" s="87">
        <v>8.0470891736708433E-2</v>
      </c>
      <c r="M81" s="87">
        <v>0.87424593582580179</v>
      </c>
      <c r="N81" s="87">
        <v>0.14379930342279823</v>
      </c>
      <c r="O81" s="87">
        <v>0.17543514172407504</v>
      </c>
      <c r="P81" s="87">
        <v>6.8813744051557671E-2</v>
      </c>
      <c r="Q81" s="87">
        <v>0</v>
      </c>
      <c r="R81" s="88">
        <v>1.2612169976636035E-2</v>
      </c>
      <c r="S81" s="87">
        <v>0.18109510490943964</v>
      </c>
      <c r="T81" s="87">
        <v>0.81890489509056041</v>
      </c>
      <c r="U81" s="87">
        <v>0.45216803476581363</v>
      </c>
      <c r="V81" s="87">
        <v>0.25284052019164954</v>
      </c>
      <c r="W81" s="87">
        <v>0.13567121372913854</v>
      </c>
      <c r="X81" s="87">
        <v>0.12461139271946177</v>
      </c>
      <c r="Y81" s="89">
        <v>0.12661427216548882</v>
      </c>
      <c r="Z81" s="90">
        <v>23411</v>
      </c>
      <c r="AA81" s="90">
        <v>184700</v>
      </c>
      <c r="AB81" s="87">
        <v>0.17543514172407504</v>
      </c>
      <c r="AC81" s="87">
        <v>6.8813744051557671E-2</v>
      </c>
      <c r="AD81" s="87">
        <v>8.8122357248653291E-2</v>
      </c>
      <c r="AE81" s="100">
        <v>0</v>
      </c>
      <c r="AF81" s="93">
        <v>0.63825912744426339</v>
      </c>
      <c r="AG81" s="93">
        <v>0.5077370660104501</v>
      </c>
      <c r="AH81" s="93">
        <f t="shared" si="30"/>
        <v>0.49512489603381404</v>
      </c>
      <c r="AI81" s="93">
        <f t="shared" si="16"/>
        <v>0.33230192428637506</v>
      </c>
      <c r="AJ81" s="93">
        <f t="shared" si="17"/>
        <v>0.43892332195889244</v>
      </c>
      <c r="AK81" s="115">
        <f t="shared" si="31"/>
        <v>0.38112279384496128</v>
      </c>
      <c r="AL81" s="94">
        <f t="shared" si="19"/>
        <v>0.37206585228131156</v>
      </c>
      <c r="AM81" s="94">
        <f t="shared" si="20"/>
        <v>0.38312567329098834</v>
      </c>
      <c r="AN81" s="94">
        <f t="shared" si="32"/>
        <v>0.4196147087617968</v>
      </c>
      <c r="AO81" s="93">
        <v>-0.13052206143381329</v>
      </c>
      <c r="AP81" s="93">
        <f t="shared" si="29"/>
        <v>-0.14313423141044934</v>
      </c>
      <c r="AQ81" s="94">
        <f t="shared" si="33"/>
        <v>-0.2571363335993021</v>
      </c>
      <c r="AR81" s="94">
        <f t="shared" si="34"/>
        <v>-0.21864441868246659</v>
      </c>
      <c r="AS81" s="93">
        <v>0.70358847503665234</v>
      </c>
      <c r="AT81" s="93">
        <f t="shared" si="35"/>
        <v>0.69097630506001628</v>
      </c>
      <c r="AU81" s="94">
        <f t="shared" si="36"/>
        <v>0.57697420287116352</v>
      </c>
      <c r="AV81" s="94">
        <f t="shared" si="37"/>
        <v>0.61546611778799909</v>
      </c>
      <c r="AW81" s="93">
        <v>0.72163925934687934</v>
      </c>
      <c r="AX81" s="94">
        <f t="shared" si="38"/>
        <v>0.66055430545837557</v>
      </c>
      <c r="AY81" s="94">
        <f t="shared" si="39"/>
        <v>0.68178360535898019</v>
      </c>
      <c r="AZ81" s="105">
        <v>0</v>
      </c>
      <c r="BA81" s="93">
        <v>0.28314113317024736</v>
      </c>
      <c r="BB81" s="93">
        <v>0.66067510265558682</v>
      </c>
      <c r="BC81" s="93">
        <v>0.3775339694853394</v>
      </c>
      <c r="BD81" s="93">
        <v>0.58113125787846465</v>
      </c>
      <c r="BE81" s="93">
        <v>1.1368775878060884</v>
      </c>
      <c r="BF81" s="108">
        <v>0</v>
      </c>
      <c r="BG81" s="93">
        <v>0.53151463559407974</v>
      </c>
      <c r="BH81" s="93">
        <v>0.62669360117459449</v>
      </c>
      <c r="BI81" s="93">
        <v>9.5178965580514696E-2</v>
      </c>
      <c r="BJ81" s="93">
        <v>0.6891642513020888</v>
      </c>
      <c r="BK81" s="93">
        <v>0.909353031574891</v>
      </c>
      <c r="BL81" s="108">
        <v>0</v>
      </c>
      <c r="BM81" s="93">
        <v>0.3978801929223732</v>
      </c>
      <c r="BN81" s="93">
        <v>0.61477194780131417</v>
      </c>
      <c r="BO81" s="93">
        <v>0.21689175487894097</v>
      </c>
      <c r="BP81" s="93">
        <v>0.71916278024138558</v>
      </c>
      <c r="BQ81" s="93">
        <v>0.85484394450303336</v>
      </c>
      <c r="BR81" s="93">
        <v>0</v>
      </c>
      <c r="BS81" s="93">
        <v>0.20480536349649281</v>
      </c>
      <c r="BT81" s="93">
        <v>0.24094106982566921</v>
      </c>
      <c r="BU81" s="93">
        <v>3.6135706329176412E-2</v>
      </c>
      <c r="BV81" s="93">
        <v>0.55158300547903061</v>
      </c>
      <c r="BW81" s="93">
        <v>0.43681742807942442</v>
      </c>
    </row>
    <row r="82" spans="1:75" s="85" customFormat="1" x14ac:dyDescent="0.2">
      <c r="A82" s="85" t="s">
        <v>682</v>
      </c>
      <c r="B82" s="85">
        <v>298</v>
      </c>
      <c r="C82" s="85">
        <v>55</v>
      </c>
      <c r="D82" s="85">
        <v>9155</v>
      </c>
      <c r="E82" s="111">
        <v>43418</v>
      </c>
      <c r="F82" s="85" t="s">
        <v>683</v>
      </c>
      <c r="G82" s="85">
        <v>4</v>
      </c>
      <c r="H82" s="85">
        <v>15</v>
      </c>
      <c r="I82" s="85">
        <v>20</v>
      </c>
      <c r="J82" s="87">
        <v>4.7880080581479308E-2</v>
      </c>
      <c r="K82" s="87">
        <v>2.871956917694047E-2</v>
      </c>
      <c r="L82" s="87">
        <v>8.9569063367149787E-2</v>
      </c>
      <c r="M82" s="87">
        <v>0.83383128687443053</v>
      </c>
      <c r="N82" s="87">
        <v>0.31292168788339586</v>
      </c>
      <c r="O82" s="87">
        <v>0.16835329760631881</v>
      </c>
      <c r="P82" s="87">
        <v>0.11593263579765549</v>
      </c>
      <c r="Q82" s="87">
        <v>-2.0015512106394054E-4</v>
      </c>
      <c r="R82" s="88">
        <v>3.003483180822988E-2</v>
      </c>
      <c r="S82" s="87">
        <v>0.24279230014968425</v>
      </c>
      <c r="T82" s="87">
        <v>0.75720769985031577</v>
      </c>
      <c r="U82" s="87">
        <v>0.50206604146455391</v>
      </c>
      <c r="V82" s="87">
        <v>0.26826067939932935</v>
      </c>
      <c r="W82" s="87">
        <v>0.29787018233599594</v>
      </c>
      <c r="X82" s="87">
        <v>0.18371873549209963</v>
      </c>
      <c r="Y82" s="89">
        <v>0.21143382783674364</v>
      </c>
      <c r="Z82" s="90">
        <v>27946</v>
      </c>
      <c r="AA82" s="90">
        <v>184000</v>
      </c>
      <c r="AB82" s="87">
        <v>0.16835329760631881</v>
      </c>
      <c r="AC82" s="87">
        <v>0.11593263579765549</v>
      </c>
      <c r="AD82" s="87">
        <v>0.12865996885354958</v>
      </c>
      <c r="AE82" s="100">
        <v>0</v>
      </c>
      <c r="AF82" s="93">
        <v>0.21454708918443335</v>
      </c>
      <c r="AG82" s="93">
        <v>0.1808990550662006</v>
      </c>
      <c r="AH82" s="93">
        <f t="shared" si="30"/>
        <v>0.15086422325797072</v>
      </c>
      <c r="AI82" s="93">
        <f t="shared" si="16"/>
        <v>1.254575745988179E-2</v>
      </c>
      <c r="AJ82" s="93">
        <f t="shared" si="17"/>
        <v>6.4966419268545114E-2</v>
      </c>
      <c r="AK82" s="115">
        <f t="shared" si="31"/>
        <v>-3.0534772770543034E-2</v>
      </c>
      <c r="AL82" s="94">
        <f t="shared" si="19"/>
        <v>-0.11697112726979533</v>
      </c>
      <c r="AM82" s="94">
        <f t="shared" si="20"/>
        <v>-2.8196804258990293E-3</v>
      </c>
      <c r="AN82" s="94">
        <f t="shared" si="32"/>
        <v>5.2239086212651026E-2</v>
      </c>
      <c r="AO82" s="93">
        <v>-3.3648034118232757E-2</v>
      </c>
      <c r="AP82" s="93">
        <f t="shared" si="29"/>
        <v>-6.3682865926462634E-2</v>
      </c>
      <c r="AQ82" s="94">
        <f t="shared" si="33"/>
        <v>-0.24508186195497639</v>
      </c>
      <c r="AR82" s="94">
        <f t="shared" si="34"/>
        <v>-0.16230800297178233</v>
      </c>
      <c r="AS82" s="93">
        <v>0.42882795324079781</v>
      </c>
      <c r="AT82" s="93">
        <f t="shared" si="35"/>
        <v>0.39879312143256795</v>
      </c>
      <c r="AU82" s="94">
        <f t="shared" si="36"/>
        <v>0.21739412540405417</v>
      </c>
      <c r="AV82" s="94">
        <f t="shared" si="37"/>
        <v>0.30016798438724823</v>
      </c>
      <c r="AW82" s="93">
        <v>0.42184529646233482</v>
      </c>
      <c r="AX82" s="94">
        <f t="shared" si="38"/>
        <v>-0.14045813203917235</v>
      </c>
      <c r="AY82" s="94">
        <f t="shared" si="39"/>
        <v>0.17403283804330416</v>
      </c>
      <c r="AZ82" s="105">
        <v>0</v>
      </c>
      <c r="BA82" s="93">
        <v>0.46438128851289012</v>
      </c>
      <c r="BB82" s="93">
        <v>0.68790650608649206</v>
      </c>
      <c r="BC82" s="93">
        <v>0.22352521757360197</v>
      </c>
      <c r="BD82" s="93">
        <v>0.60794928836950157</v>
      </c>
      <c r="BE82" s="93">
        <v>1.1315195514603413</v>
      </c>
      <c r="BF82" s="108">
        <v>0</v>
      </c>
      <c r="BG82" s="93">
        <v>0.57375145103273095</v>
      </c>
      <c r="BH82" s="93">
        <v>0.47524825952475203</v>
      </c>
      <c r="BI82" s="93">
        <v>-9.8503191507978899E-2</v>
      </c>
      <c r="BJ82" s="93">
        <v>0.5147699644968885</v>
      </c>
      <c r="BK82" s="93">
        <v>0.92322453193095078</v>
      </c>
      <c r="BL82" s="108">
        <v>0</v>
      </c>
      <c r="BM82" s="93">
        <v>0.33279298320183925</v>
      </c>
      <c r="BN82" s="93">
        <v>0.53061872653175912</v>
      </c>
      <c r="BO82" s="93">
        <v>0.19782574332991987</v>
      </c>
      <c r="BP82" s="93">
        <v>0.45315666545171435</v>
      </c>
      <c r="BQ82" s="93">
        <v>1.1709388098767768</v>
      </c>
      <c r="BR82" s="93">
        <v>0</v>
      </c>
      <c r="BS82" s="93">
        <v>0.51587827513112128</v>
      </c>
      <c r="BT82" s="93">
        <v>0.71730942690368393</v>
      </c>
      <c r="BU82" s="93">
        <v>0.2014311517725626</v>
      </c>
      <c r="BV82" s="93">
        <v>0.6670358368902477</v>
      </c>
      <c r="BW82" s="93">
        <v>1.0753686492285244</v>
      </c>
    </row>
    <row r="83" spans="1:75" s="85" customFormat="1" x14ac:dyDescent="0.2">
      <c r="A83" s="85" t="s">
        <v>682</v>
      </c>
      <c r="B83" s="85">
        <v>298</v>
      </c>
      <c r="C83" s="85">
        <v>55</v>
      </c>
      <c r="D83" s="85">
        <v>9155</v>
      </c>
      <c r="E83" s="111">
        <v>43418</v>
      </c>
      <c r="F83" s="85" t="s">
        <v>683</v>
      </c>
      <c r="G83" s="85">
        <v>4</v>
      </c>
      <c r="H83" s="85">
        <v>15</v>
      </c>
      <c r="I83" s="85">
        <v>30</v>
      </c>
      <c r="J83" s="87">
        <v>8.344760954294865E-2</v>
      </c>
      <c r="K83" s="87">
        <v>5.3537981224115502E-2</v>
      </c>
      <c r="L83" s="87">
        <v>8.6161725628214406E-2</v>
      </c>
      <c r="M83" s="87">
        <v>0.77685268360472148</v>
      </c>
      <c r="N83" s="87">
        <v>0.29084437047163475</v>
      </c>
      <c r="O83" s="87">
        <v>0.21202827083082215</v>
      </c>
      <c r="P83" s="87">
        <v>0.14733539839673052</v>
      </c>
      <c r="Q83" s="87">
        <v>1.3051965473249428E-3</v>
      </c>
      <c r="R83" s="88">
        <v>4.9330450660007664E-2</v>
      </c>
      <c r="S83" s="87">
        <v>0.38323617443741681</v>
      </c>
      <c r="T83" s="87">
        <v>0.61676382556258313</v>
      </c>
      <c r="U83" s="87">
        <v>0.74040832827976555</v>
      </c>
      <c r="V83" s="87">
        <v>0.33226567768037762</v>
      </c>
      <c r="W83" s="87">
        <v>0.20815832782067351</v>
      </c>
      <c r="X83" s="87">
        <v>9.5154150199667595E-2</v>
      </c>
      <c r="Y83" s="89">
        <v>0.13846143892658824</v>
      </c>
      <c r="Z83" s="90">
        <v>36628</v>
      </c>
      <c r="AA83" s="90">
        <v>197100</v>
      </c>
      <c r="AB83" s="87">
        <v>0.21202827083082215</v>
      </c>
      <c r="AC83" s="87">
        <v>0.14733539839673052</v>
      </c>
      <c r="AD83" s="87">
        <v>0.17212804734173959</v>
      </c>
      <c r="AE83" s="100">
        <v>0</v>
      </c>
      <c r="AF83" s="93">
        <v>0.18560223871565459</v>
      </c>
      <c r="AG83" s="93">
        <v>0.29343494351886967</v>
      </c>
      <c r="AH83" s="93">
        <f t="shared" si="30"/>
        <v>0.24410449285886202</v>
      </c>
      <c r="AI83" s="93">
        <f t="shared" si="16"/>
        <v>8.1406672688047521E-2</v>
      </c>
      <c r="AJ83" s="93">
        <f t="shared" si="17"/>
        <v>0.14609954512213916</v>
      </c>
      <c r="AK83" s="115">
        <f t="shared" si="31"/>
        <v>0.15497350459228143</v>
      </c>
      <c r="AL83" s="94">
        <f t="shared" si="19"/>
        <v>8.5276615698196168E-2</v>
      </c>
      <c r="AM83" s="94">
        <f t="shared" si="20"/>
        <v>0.19828079331920206</v>
      </c>
      <c r="AN83" s="94">
        <f t="shared" si="32"/>
        <v>0.12130689617713009</v>
      </c>
      <c r="AO83" s="93">
        <v>0.10783270480321507</v>
      </c>
      <c r="AP83" s="93">
        <f t="shared" si="29"/>
        <v>5.8502254143207422E-2</v>
      </c>
      <c r="AQ83" s="94">
        <f t="shared" si="33"/>
        <v>-3.0628734123373164E-2</v>
      </c>
      <c r="AR83" s="94">
        <f t="shared" si="34"/>
        <v>-6.4295342538524508E-2</v>
      </c>
      <c r="AS83" s="93">
        <v>0.21005333457981915</v>
      </c>
      <c r="AT83" s="93">
        <f t="shared" si="35"/>
        <v>0.16072288391981149</v>
      </c>
      <c r="AU83" s="94">
        <f t="shared" si="36"/>
        <v>7.1591895653230903E-2</v>
      </c>
      <c r="AV83" s="94">
        <f t="shared" si="37"/>
        <v>3.7925287238079558E-2</v>
      </c>
      <c r="AW83" s="93">
        <v>1.3969544644737166</v>
      </c>
      <c r="AX83" s="94">
        <f t="shared" si="38"/>
        <v>2.1646794400154645</v>
      </c>
      <c r="AY83" s="94">
        <f t="shared" si="39"/>
        <v>3.1985755418440114</v>
      </c>
      <c r="AZ83" s="105">
        <v>0</v>
      </c>
      <c r="BA83" s="93">
        <v>0.23443069106298917</v>
      </c>
      <c r="BB83" s="93">
        <v>0.24867159901053876</v>
      </c>
      <c r="BC83" s="93">
        <v>1.4240907947549593E-2</v>
      </c>
      <c r="BD83" s="93">
        <v>0.21124975844818886</v>
      </c>
      <c r="BE83" s="93">
        <v>1.1771450099505225</v>
      </c>
      <c r="BF83" s="108">
        <v>0</v>
      </c>
      <c r="BG83" s="93">
        <v>0.43362522791264729</v>
      </c>
      <c r="BH83" s="93">
        <v>0.10002230959854291</v>
      </c>
      <c r="BI83" s="93">
        <v>-0.33360291831410438</v>
      </c>
      <c r="BJ83" s="93">
        <v>9.0706729878760883E-2</v>
      </c>
      <c r="BK83" s="93">
        <v>1.1026999841382583</v>
      </c>
      <c r="BL83" s="108">
        <v>0</v>
      </c>
      <c r="BM83" s="93">
        <v>0.73784698424638206</v>
      </c>
      <c r="BN83" s="93">
        <v>0.40678804420886522</v>
      </c>
      <c r="BO83" s="93">
        <v>-0.33105894003751685</v>
      </c>
      <c r="BP83" s="93">
        <v>0.56384148369408493</v>
      </c>
      <c r="BQ83" s="93">
        <v>0.72145816860394429</v>
      </c>
      <c r="BR83" s="93">
        <v>0</v>
      </c>
      <c r="BS83" s="93">
        <v>0.55510179671969195</v>
      </c>
      <c r="BT83" s="93">
        <v>0.31709133406514867</v>
      </c>
      <c r="BU83" s="93">
        <v>-0.23801046265454329</v>
      </c>
      <c r="BV83" s="93">
        <v>0.66202359294447088</v>
      </c>
      <c r="BW83" s="93">
        <v>0.47897286055142996</v>
      </c>
    </row>
    <row r="84" spans="1:75" s="85" customFormat="1" x14ac:dyDescent="0.2">
      <c r="A84" s="85" t="s">
        <v>682</v>
      </c>
      <c r="B84" s="85">
        <v>298</v>
      </c>
      <c r="C84" s="85">
        <v>55</v>
      </c>
      <c r="D84" s="85">
        <v>9155</v>
      </c>
      <c r="E84" s="111">
        <v>43418</v>
      </c>
      <c r="F84" s="85" t="s">
        <v>683</v>
      </c>
      <c r="G84" s="85">
        <v>4</v>
      </c>
      <c r="H84" s="85">
        <v>15</v>
      </c>
      <c r="I84" s="85">
        <v>40</v>
      </c>
      <c r="J84" s="87">
        <v>0.10036107317683467</v>
      </c>
      <c r="K84" s="87">
        <v>0.10778143744799649</v>
      </c>
      <c r="L84" s="87">
        <v>8.3211004628748697E-2</v>
      </c>
      <c r="M84" s="87">
        <v>0.70864648474642011</v>
      </c>
      <c r="N84" s="87">
        <v>0.15168254192410408</v>
      </c>
      <c r="O84" s="87">
        <v>8.9207285750040721E-2</v>
      </c>
      <c r="P84" s="87">
        <v>8.4622471677067157E-2</v>
      </c>
      <c r="Q84" s="87">
        <v>-8.0881615124536624E-4</v>
      </c>
      <c r="R84" s="88">
        <v>3.1306268338697298E-2</v>
      </c>
      <c r="S84" s="87">
        <v>0.56432305004345362</v>
      </c>
      <c r="T84" s="87">
        <v>0.43567694995654643</v>
      </c>
      <c r="U84" s="87">
        <v>1.1496337481246139</v>
      </c>
      <c r="V84" s="87">
        <v>0.39016625397948357</v>
      </c>
      <c r="W84" s="87">
        <v>5.4714684043397882E-2</v>
      </c>
      <c r="X84" s="87">
        <v>0.13194792462610797</v>
      </c>
      <c r="Y84" s="89">
        <v>8.8363426735733178E-2</v>
      </c>
      <c r="Z84" s="90">
        <v>52106</v>
      </c>
      <c r="AA84" s="90">
        <v>220600</v>
      </c>
      <c r="AB84" s="87">
        <v>8.9207285750040721E-2</v>
      </c>
      <c r="AC84" s="87">
        <v>8.4622471677067157E-2</v>
      </c>
      <c r="AD84" s="87">
        <v>8.7209787938609756E-2</v>
      </c>
      <c r="AE84" s="100">
        <v>0</v>
      </c>
      <c r="AF84" s="93">
        <v>0.34153313037650662</v>
      </c>
      <c r="AG84" s="93">
        <v>0.29641269509603685</v>
      </c>
      <c r="AH84" s="93">
        <f t="shared" si="30"/>
        <v>0.26510642675733953</v>
      </c>
      <c r="AI84" s="93">
        <f t="shared" si="16"/>
        <v>0.20720540934599613</v>
      </c>
      <c r="AJ84" s="93">
        <f t="shared" si="17"/>
        <v>0.21179022341896969</v>
      </c>
      <c r="AK84" s="115">
        <f t="shared" si="31"/>
        <v>0.20804926836030369</v>
      </c>
      <c r="AL84" s="94">
        <f t="shared" si="19"/>
        <v>0.24169801105263897</v>
      </c>
      <c r="AM84" s="94">
        <f t="shared" si="20"/>
        <v>0.16446477046992888</v>
      </c>
      <c r="AN84" s="94">
        <f t="shared" si="32"/>
        <v>0.20920290715742709</v>
      </c>
      <c r="AO84" s="93">
        <v>-4.5120435280469773E-2</v>
      </c>
      <c r="AP84" s="93">
        <f t="shared" si="29"/>
        <v>-7.6426703619167091E-2</v>
      </c>
      <c r="AQ84" s="94">
        <f t="shared" si="33"/>
        <v>-0.13348386201620294</v>
      </c>
      <c r="AR84" s="94">
        <f t="shared" si="34"/>
        <v>-0.13233022321907953</v>
      </c>
      <c r="AS84" s="93">
        <v>0.43282455058591346</v>
      </c>
      <c r="AT84" s="93">
        <f t="shared" si="35"/>
        <v>0.40151828224721614</v>
      </c>
      <c r="AU84" s="94">
        <f t="shared" si="36"/>
        <v>0.3444611238501803</v>
      </c>
      <c r="AV84" s="94">
        <f t="shared" si="37"/>
        <v>0.34561476264730373</v>
      </c>
      <c r="AW84" s="93">
        <v>0.68483336884375845</v>
      </c>
      <c r="AX84" s="94">
        <f t="shared" si="38"/>
        <v>0.6039847575100884</v>
      </c>
      <c r="AY84" s="94">
        <f t="shared" si="39"/>
        <v>0.60530662971395255</v>
      </c>
      <c r="AZ84" s="105">
        <v>0</v>
      </c>
      <c r="BA84" s="93">
        <v>0.31277564379523587</v>
      </c>
      <c r="BB84" s="93">
        <v>0.2463765754708338</v>
      </c>
      <c r="BC84" s="93">
        <v>-6.6399068324402052E-2</v>
      </c>
      <c r="BD84" s="93">
        <v>0.2245096739356055</v>
      </c>
      <c r="BE84" s="93">
        <v>1.0973984824435683</v>
      </c>
      <c r="BF84" s="108">
        <v>0</v>
      </c>
      <c r="BG84" s="93">
        <v>0.3191669810313133</v>
      </c>
      <c r="BH84" s="93">
        <v>0.15932018131865697</v>
      </c>
      <c r="BI84" s="93">
        <v>-0.15984679971265633</v>
      </c>
      <c r="BJ84" s="93">
        <v>7.2780197608997566E-2</v>
      </c>
      <c r="BK84" s="93">
        <v>2.1890594770652392</v>
      </c>
      <c r="BL84" s="108">
        <v>0</v>
      </c>
      <c r="BM84" s="93">
        <v>0.58359384801743686</v>
      </c>
      <c r="BN84" s="93">
        <v>0.34612047114840216</v>
      </c>
      <c r="BO84" s="93">
        <v>-0.23747337686903472</v>
      </c>
      <c r="BP84" s="93">
        <v>0.23155390658285296</v>
      </c>
      <c r="BQ84" s="93">
        <v>1.494772756185635</v>
      </c>
      <c r="BR84" s="93">
        <v>0</v>
      </c>
      <c r="BS84" s="93">
        <v>0.62667150566098073</v>
      </c>
      <c r="BT84" s="93">
        <v>0.69404690813375147</v>
      </c>
      <c r="BU84" s="93">
        <v>6.7375402472770754E-2</v>
      </c>
      <c r="BV84" s="93">
        <v>0.34903976906270123</v>
      </c>
      <c r="BW84" s="93">
        <v>1.9884465028083187</v>
      </c>
    </row>
    <row r="85" spans="1:75" s="85" customFormat="1" x14ac:dyDescent="0.2">
      <c r="A85" s="85" t="s">
        <v>682</v>
      </c>
      <c r="B85" s="85">
        <v>298</v>
      </c>
      <c r="C85" s="85">
        <v>55</v>
      </c>
      <c r="D85" s="85">
        <v>9155</v>
      </c>
      <c r="E85" s="111">
        <v>43418</v>
      </c>
      <c r="F85" s="85" t="s">
        <v>683</v>
      </c>
      <c r="G85" s="85">
        <v>4</v>
      </c>
      <c r="H85" s="85">
        <v>15</v>
      </c>
      <c r="I85" s="85">
        <v>50</v>
      </c>
      <c r="J85" s="87">
        <v>0.12432876237939915</v>
      </c>
      <c r="K85" s="87">
        <v>0.16183010397755071</v>
      </c>
      <c r="L85" s="87">
        <v>6.315722691054193E-2</v>
      </c>
      <c r="M85" s="87">
        <v>0.6506839067325082</v>
      </c>
      <c r="N85" s="87">
        <v>4.4539058263901608E-2</v>
      </c>
      <c r="O85" s="87">
        <v>8.4389724775159828E-3</v>
      </c>
      <c r="P85" s="87">
        <v>-6.4828861769805929E-2</v>
      </c>
      <c r="Q85" s="87">
        <v>2.0264203211259688E-3</v>
      </c>
      <c r="R85" s="88">
        <v>4.1273137430795359E-3</v>
      </c>
      <c r="S85" s="87">
        <v>0.71928540748831782</v>
      </c>
      <c r="T85" s="87">
        <v>0.28071459251168218</v>
      </c>
      <c r="U85" s="87">
        <v>1.213573755052388</v>
      </c>
      <c r="V85" s="87">
        <v>0.43291314108098772</v>
      </c>
      <c r="W85" s="87">
        <v>7.393098450187896E-2</v>
      </c>
      <c r="X85" s="87">
        <v>0.13567300667620805</v>
      </c>
      <c r="Y85" s="89">
        <v>9.1262871097393006E-2</v>
      </c>
      <c r="Z85" s="90">
        <v>61851</v>
      </c>
      <c r="AA85" s="90">
        <v>250700</v>
      </c>
      <c r="AB85" s="87">
        <v>8.4389724775159828E-3</v>
      </c>
      <c r="AC85" s="87">
        <v>-6.4828861769805929E-2</v>
      </c>
      <c r="AD85" s="87">
        <v>-1.2128377757434458E-2</v>
      </c>
      <c r="AE85" s="100">
        <v>2</v>
      </c>
      <c r="AF85" s="93">
        <v>-0.2713650192594102</v>
      </c>
      <c r="AG85" s="93">
        <v>-0.21872128577398789</v>
      </c>
      <c r="AH85" s="93">
        <f t="shared" si="30"/>
        <v>-0.22284859951706742</v>
      </c>
      <c r="AI85" s="93">
        <f t="shared" si="16"/>
        <v>-0.22716025825150388</v>
      </c>
      <c r="AJ85" s="93">
        <f t="shared" si="17"/>
        <v>-0.15389242400418196</v>
      </c>
      <c r="AK85" s="115">
        <f t="shared" si="31"/>
        <v>-0.30998415687138092</v>
      </c>
      <c r="AL85" s="94">
        <f t="shared" si="19"/>
        <v>-0.29265227027586682</v>
      </c>
      <c r="AM85" s="94">
        <f t="shared" si="20"/>
        <v>-0.35439429245019594</v>
      </c>
      <c r="AN85" s="94">
        <f t="shared" si="32"/>
        <v>-0.20659290801655344</v>
      </c>
      <c r="AO85" s="93">
        <v>5.2643733485422305E-2</v>
      </c>
      <c r="AP85" s="93">
        <f t="shared" si="29"/>
        <v>4.8516419742342776E-2</v>
      </c>
      <c r="AQ85" s="94">
        <f t="shared" si="33"/>
        <v>-3.8619137611970722E-2</v>
      </c>
      <c r="AR85" s="94">
        <f t="shared" si="34"/>
        <v>6.4772111242856756E-2</v>
      </c>
      <c r="AS85" s="93">
        <v>-1.8050590311836923E-2</v>
      </c>
      <c r="AT85" s="93">
        <f t="shared" si="35"/>
        <v>-2.2177904054916459E-2</v>
      </c>
      <c r="AU85" s="94">
        <f t="shared" si="36"/>
        <v>-0.10931346140922993</v>
      </c>
      <c r="AV85" s="94">
        <f t="shared" si="37"/>
        <v>-5.9222125544024645E-3</v>
      </c>
      <c r="AW85" s="93">
        <v>12.117126475944579</v>
      </c>
      <c r="AX85" s="94">
        <f t="shared" si="38"/>
        <v>2.83573635739987</v>
      </c>
      <c r="AY85" s="94">
        <f t="shared" si="39"/>
        <v>34.884412897841038</v>
      </c>
      <c r="AZ85" s="105">
        <v>0</v>
      </c>
      <c r="BA85" s="93">
        <v>0.34213559592276249</v>
      </c>
      <c r="BB85" s="93">
        <v>0.31669805935065221</v>
      </c>
      <c r="BC85" s="93">
        <v>-2.5437536572110314E-2</v>
      </c>
      <c r="BD85" s="93">
        <v>0.25091461277535393</v>
      </c>
      <c r="BE85" s="93">
        <v>1.2621746332255059</v>
      </c>
      <c r="BF85" s="108">
        <v>0</v>
      </c>
      <c r="BG85" s="93">
        <v>0.54550152499568516</v>
      </c>
      <c r="BH85" s="93">
        <v>0.43388188352404422</v>
      </c>
      <c r="BI85" s="93">
        <v>-0.11161964147164094</v>
      </c>
      <c r="BJ85" s="93">
        <v>0.25507242003353325</v>
      </c>
      <c r="BK85" s="93">
        <v>1.7010144941072174</v>
      </c>
      <c r="BL85" s="108">
        <v>0</v>
      </c>
      <c r="BM85" s="93">
        <v>0.40078063638358508</v>
      </c>
      <c r="BN85" s="93">
        <v>0.69183539331400534</v>
      </c>
      <c r="BO85" s="93">
        <v>0.29105475693042027</v>
      </c>
      <c r="BP85" s="93">
        <v>0.72820303748488013</v>
      </c>
      <c r="BQ85" s="93">
        <v>0.95005837342222033</v>
      </c>
      <c r="BR85" s="93">
        <v>0</v>
      </c>
      <c r="BS85" s="93">
        <v>0.5323127444767044</v>
      </c>
      <c r="BT85" s="93">
        <v>0.36842488937158774</v>
      </c>
      <c r="BU85" s="93">
        <v>-0.16388785510511666</v>
      </c>
      <c r="BV85" s="93">
        <v>6.0757524539549967E-2</v>
      </c>
      <c r="BW85" s="93">
        <v>6.0638561587834676</v>
      </c>
    </row>
    <row r="86" spans="1:75" x14ac:dyDescent="0.2">
      <c r="A86" s="11" t="s">
        <v>682</v>
      </c>
      <c r="B86" s="11">
        <v>324</v>
      </c>
      <c r="C86" s="11">
        <v>61</v>
      </c>
      <c r="D86" s="11">
        <v>9161</v>
      </c>
      <c r="E86" s="112">
        <v>43420</v>
      </c>
      <c r="F86" s="11" t="s">
        <v>683</v>
      </c>
      <c r="G86" s="11">
        <v>5</v>
      </c>
      <c r="H86" s="11">
        <v>16</v>
      </c>
      <c r="I86" s="11">
        <v>5</v>
      </c>
      <c r="J86" s="8">
        <v>7.4075730544051199E-2</v>
      </c>
      <c r="K86" s="8">
        <v>1.7112815065793343E-2</v>
      </c>
      <c r="L86" s="8">
        <v>7.336532148728428E-2</v>
      </c>
      <c r="M86" s="8">
        <v>0.83544613290287117</v>
      </c>
      <c r="N86" s="8">
        <v>0.21817757107521207</v>
      </c>
      <c r="O86" s="8">
        <v>3.2814296766284001E-2</v>
      </c>
      <c r="P86" s="8">
        <v>0.12798744653926231</v>
      </c>
      <c r="Q86" s="8">
        <v>6.2856686146137326E-3</v>
      </c>
      <c r="R86" s="21">
        <v>3.1364385656276042E-2</v>
      </c>
      <c r="S86" s="8">
        <v>0.18913757198960848</v>
      </c>
      <c r="T86" s="8">
        <v>0.81086242801039154</v>
      </c>
      <c r="U86" s="8">
        <v>0.32400822700969112</v>
      </c>
      <c r="V86" s="8">
        <v>0.35390853795899979</v>
      </c>
      <c r="W86" s="8">
        <v>-2.4629154578237399E-2</v>
      </c>
      <c r="X86" s="8">
        <v>0.15700870699952812</v>
      </c>
      <c r="Y86" s="15">
        <v>0.12265416287932496</v>
      </c>
      <c r="Z86" s="5">
        <v>18589</v>
      </c>
      <c r="AA86" s="5">
        <v>157100</v>
      </c>
      <c r="AB86" s="8">
        <v>3.2814296766284001E-2</v>
      </c>
      <c r="AC86" s="8">
        <v>0.12798744653926231</v>
      </c>
      <c r="AD86" s="8">
        <v>0.10998662807259783</v>
      </c>
      <c r="AE86" s="12">
        <v>1</v>
      </c>
      <c r="AF86" s="74">
        <v>-0.24732150874031134</v>
      </c>
      <c r="AG86" s="74">
        <v>0.34046515616180728</v>
      </c>
      <c r="AH86" s="74">
        <f t="shared" si="30"/>
        <v>0.30910077050553125</v>
      </c>
      <c r="AI86" s="74">
        <f t="shared" si="16"/>
        <v>0.30765085939552328</v>
      </c>
      <c r="AJ86" s="74">
        <f t="shared" si="17"/>
        <v>0.21247770962254497</v>
      </c>
      <c r="AK86" s="116">
        <f t="shared" si="31"/>
        <v>0.21781099328248232</v>
      </c>
      <c r="AL86" s="83">
        <f t="shared" si="19"/>
        <v>0.36509431074004467</v>
      </c>
      <c r="AM86" s="83">
        <f t="shared" si="20"/>
        <v>0.18345644916227916</v>
      </c>
      <c r="AN86" s="83">
        <f t="shared" si="32"/>
        <v>0.23047852808920943</v>
      </c>
      <c r="AO86" s="74">
        <v>0.58778666490211862</v>
      </c>
      <c r="AP86" s="74">
        <f t="shared" si="29"/>
        <v>0.55642227924584264</v>
      </c>
      <c r="AQ86" s="83">
        <f t="shared" si="33"/>
        <v>0.46513250202279366</v>
      </c>
      <c r="AR86" s="83">
        <f t="shared" si="34"/>
        <v>0.47780003682952077</v>
      </c>
      <c r="AS86" s="74">
        <v>0.22268212050542402</v>
      </c>
      <c r="AT86" s="74">
        <f t="shared" si="35"/>
        <v>0.19131773484914799</v>
      </c>
      <c r="AU86" s="83">
        <f t="shared" si="36"/>
        <v>0.10002795762609906</v>
      </c>
      <c r="AV86" s="83">
        <f t="shared" si="37"/>
        <v>0.11269549243282619</v>
      </c>
      <c r="AW86" s="74">
        <v>1.5289290194877336</v>
      </c>
      <c r="AX86" s="83">
        <f t="shared" si="38"/>
        <v>2.1775011551935513</v>
      </c>
      <c r="AY86" s="83">
        <f t="shared" si="39"/>
        <v>2.0451441589519614</v>
      </c>
      <c r="AZ86" s="102">
        <v>0</v>
      </c>
      <c r="BA86" s="74">
        <v>0.20985789447855918</v>
      </c>
      <c r="BB86" s="74">
        <v>0.16898919026681303</v>
      </c>
      <c r="BC86" s="74">
        <v>-4.0868704211746147E-2</v>
      </c>
      <c r="BD86" s="74">
        <v>0.1790589887569185</v>
      </c>
      <c r="BE86" s="74">
        <v>0.94376267530598124</v>
      </c>
      <c r="BF86" s="109">
        <v>0</v>
      </c>
      <c r="BG86" s="74">
        <v>0.27520808739586056</v>
      </c>
      <c r="BH86" s="74">
        <v>0.17063839819285209</v>
      </c>
      <c r="BI86" s="74">
        <v>-0.10456968920300845</v>
      </c>
      <c r="BJ86" s="74">
        <v>0.23731560567658502</v>
      </c>
      <c r="BK86" s="74">
        <v>0.71903572336241139</v>
      </c>
      <c r="BL86" s="109">
        <v>0</v>
      </c>
      <c r="BM86" s="74">
        <v>0.3879491189983762</v>
      </c>
      <c r="BN86" s="74">
        <v>0.84625670848092049</v>
      </c>
      <c r="BO86" s="74">
        <v>0.45830758948254424</v>
      </c>
      <c r="BP86" s="74">
        <v>0.91000710400302198</v>
      </c>
      <c r="BQ86" s="74">
        <v>0.92994516719521148</v>
      </c>
      <c r="BR86" s="74">
        <v>0</v>
      </c>
      <c r="BS86" s="74">
        <v>0.59973456257095481</v>
      </c>
      <c r="BT86" s="74">
        <v>0.75863584515681093</v>
      </c>
      <c r="BU86" s="74">
        <v>0.15890128258585617</v>
      </c>
      <c r="BV86" s="74">
        <v>0.92823862954299086</v>
      </c>
      <c r="BW86" s="74">
        <v>0.81728536284933306</v>
      </c>
    </row>
    <row r="87" spans="1:75" x14ac:dyDescent="0.2">
      <c r="A87" s="11" t="s">
        <v>682</v>
      </c>
      <c r="B87" s="11">
        <v>324</v>
      </c>
      <c r="C87" s="11">
        <v>61</v>
      </c>
      <c r="D87" s="11">
        <v>9161</v>
      </c>
      <c r="E87" s="112">
        <v>43420</v>
      </c>
      <c r="F87" s="11" t="s">
        <v>683</v>
      </c>
      <c r="G87" s="11">
        <v>5</v>
      </c>
      <c r="H87" s="11">
        <v>16</v>
      </c>
      <c r="I87" s="11">
        <v>12</v>
      </c>
      <c r="J87" s="8">
        <v>4.2421839988976813E-2</v>
      </c>
      <c r="K87" s="8">
        <v>9.0051323581601672E-3</v>
      </c>
      <c r="L87" s="8">
        <v>0.10014420923786053</v>
      </c>
      <c r="M87" s="8">
        <v>0.84842881841500239</v>
      </c>
      <c r="N87" s="8">
        <v>0.37668084507062932</v>
      </c>
      <c r="O87" s="8">
        <v>-7.296819920845253E-2</v>
      </c>
      <c r="P87" s="8">
        <v>1.7413736132008143E-2</v>
      </c>
      <c r="Q87" s="8">
        <v>-3.1200719140462413E-3</v>
      </c>
      <c r="R87" s="21">
        <v>1.441913215210272E-2</v>
      </c>
      <c r="S87" s="8">
        <v>8.2502855504979711E-2</v>
      </c>
      <c r="T87" s="8">
        <v>0.91749714449502018</v>
      </c>
      <c r="U87" s="8">
        <v>0.30920812149004751</v>
      </c>
      <c r="V87" s="8">
        <v>0.28282991439185917</v>
      </c>
      <c r="W87" s="8">
        <v>-3.6996648101672619E-3</v>
      </c>
      <c r="X87" s="8">
        <v>0.38740229902021606</v>
      </c>
      <c r="Y87" s="15">
        <v>0.35513527021060415</v>
      </c>
      <c r="Z87" s="5">
        <v>18610</v>
      </c>
      <c r="AA87" s="5">
        <v>175100</v>
      </c>
      <c r="AB87" s="8">
        <v>-7.296819920845253E-2</v>
      </c>
      <c r="AC87" s="8">
        <v>1.7413736132008143E-2</v>
      </c>
      <c r="AD87" s="8">
        <v>9.9569683803536931E-3</v>
      </c>
      <c r="AE87" s="12">
        <v>0</v>
      </c>
      <c r="AF87" s="74">
        <v>0.30409828989609128</v>
      </c>
      <c r="AG87" s="74">
        <v>0.76308787841995995</v>
      </c>
      <c r="AH87" s="74">
        <f t="shared" si="30"/>
        <v>0.74866874626785718</v>
      </c>
      <c r="AI87" s="74">
        <f t="shared" si="16"/>
        <v>0.8360560776284125</v>
      </c>
      <c r="AJ87" s="74">
        <f t="shared" si="17"/>
        <v>0.74567414228795181</v>
      </c>
      <c r="AK87" s="116">
        <f t="shared" si="31"/>
        <v>0.4079526082093558</v>
      </c>
      <c r="AL87" s="83">
        <f t="shared" si="19"/>
        <v>0.76678754323012721</v>
      </c>
      <c r="AM87" s="83">
        <f t="shared" si="20"/>
        <v>0.3756855793997439</v>
      </c>
      <c r="AN87" s="83">
        <f t="shared" si="32"/>
        <v>0.7531309100396063</v>
      </c>
      <c r="AO87" s="74">
        <v>0.45898958852386867</v>
      </c>
      <c r="AP87" s="74">
        <f t="shared" si="29"/>
        <v>0.4445704563717659</v>
      </c>
      <c r="AQ87" s="83">
        <f t="shared" si="33"/>
        <v>0.10385431831326453</v>
      </c>
      <c r="AR87" s="83">
        <f t="shared" si="34"/>
        <v>0.44903262014351503</v>
      </c>
      <c r="AS87" s="74">
        <v>0.75162174133231596</v>
      </c>
      <c r="AT87" s="74">
        <f t="shared" si="35"/>
        <v>0.7372026091802133</v>
      </c>
      <c r="AU87" s="83">
        <f t="shared" si="36"/>
        <v>0.39648647112171181</v>
      </c>
      <c r="AV87" s="83">
        <f t="shared" si="37"/>
        <v>0.74166477295196231</v>
      </c>
      <c r="AW87" s="74">
        <v>1.0152551961407066</v>
      </c>
      <c r="AX87" s="83">
        <f t="shared" si="38"/>
        <v>1.0289193652817581</v>
      </c>
      <c r="AY87" s="83">
        <f t="shared" si="39"/>
        <v>1.0154599995925473</v>
      </c>
      <c r="AZ87" s="102">
        <v>0</v>
      </c>
      <c r="BA87" s="74">
        <v>0.12453436816856016</v>
      </c>
      <c r="BB87" s="74">
        <v>4.7886872534121661E-2</v>
      </c>
      <c r="BC87" s="74">
        <v>-7.6647495634438498E-2</v>
      </c>
      <c r="BD87" s="74">
        <v>5.3951171877181792E-3</v>
      </c>
      <c r="BE87" s="74">
        <v>8.8759652233569035</v>
      </c>
      <c r="BF87" s="109">
        <v>0</v>
      </c>
      <c r="BG87" s="74">
        <v>0.45084353766915747</v>
      </c>
      <c r="BH87" s="74">
        <v>0.53097749038130826</v>
      </c>
      <c r="BI87" s="74">
        <v>8.0133952712150749E-2</v>
      </c>
      <c r="BJ87" s="74">
        <v>0.43650637452275026</v>
      </c>
      <c r="BK87" s="74">
        <v>1.216425512598406</v>
      </c>
      <c r="BL87" s="109">
        <v>0</v>
      </c>
      <c r="BM87" s="74">
        <v>0.54354733156213331</v>
      </c>
      <c r="BN87" s="74">
        <v>0.66618082135226619</v>
      </c>
      <c r="BO87" s="74">
        <v>0.12263348979013292</v>
      </c>
      <c r="BP87" s="74">
        <v>0.64444083471586033</v>
      </c>
      <c r="BQ87" s="74">
        <v>1.0337346509800101</v>
      </c>
      <c r="BR87" s="74">
        <v>0</v>
      </c>
      <c r="BS87" s="74">
        <v>0.70097827580570193</v>
      </c>
      <c r="BT87" s="74">
        <v>0.67867251829140363</v>
      </c>
      <c r="BU87" s="74">
        <v>-2.2305757514298277E-2</v>
      </c>
      <c r="BV87" s="74">
        <v>0.62856569823722486</v>
      </c>
      <c r="BW87" s="74">
        <v>1.0797161222680467</v>
      </c>
    </row>
    <row r="88" spans="1:75" x14ac:dyDescent="0.2">
      <c r="A88" s="11" t="s">
        <v>682</v>
      </c>
      <c r="B88" s="11">
        <v>324</v>
      </c>
      <c r="C88" s="11">
        <v>61</v>
      </c>
      <c r="D88" s="11">
        <v>9161</v>
      </c>
      <c r="E88" s="112">
        <v>43420</v>
      </c>
      <c r="F88" s="11" t="s">
        <v>683</v>
      </c>
      <c r="G88" s="11">
        <v>5</v>
      </c>
      <c r="H88" s="11">
        <v>16</v>
      </c>
      <c r="I88" s="11">
        <v>25</v>
      </c>
      <c r="J88" s="8">
        <v>0.14728742906522913</v>
      </c>
      <c r="K88" s="8">
        <v>1.5744930746099881E-2</v>
      </c>
      <c r="L88" s="8">
        <v>9.0816014580537521E-2</v>
      </c>
      <c r="M88" s="8">
        <v>0.74615162560813353</v>
      </c>
      <c r="N88" s="8">
        <v>0.19668443811916242</v>
      </c>
      <c r="O88" s="8">
        <v>1.4237052750897901E-2</v>
      </c>
      <c r="P88" s="8">
        <v>4.4704675012766183E-2</v>
      </c>
      <c r="Q88" s="8">
        <v>-4.5122478349766314E-2</v>
      </c>
      <c r="R88" s="21">
        <v>-4.1500351706633826E-4</v>
      </c>
      <c r="S88" s="8">
        <v>0.1477551714451999</v>
      </c>
      <c r="T88" s="8">
        <v>0.85224482855480022</v>
      </c>
      <c r="U88" s="8">
        <v>0.35345032013279581</v>
      </c>
      <c r="V88" s="8">
        <v>0.3015129682997118</v>
      </c>
      <c r="W88" s="8">
        <v>-3.6375051943651608E-3</v>
      </c>
      <c r="X88" s="8">
        <v>0.38008506463317254</v>
      </c>
      <c r="Y88" s="15">
        <v>0.32338807054091206</v>
      </c>
      <c r="Z88" s="5">
        <v>14905</v>
      </c>
      <c r="AA88" s="5">
        <v>167400</v>
      </c>
      <c r="AB88" s="8">
        <v>1.4237052750897901E-2</v>
      </c>
      <c r="AC88" s="8">
        <v>4.4704675012766183E-2</v>
      </c>
      <c r="AD88" s="8">
        <v>4.020292626193625E-2</v>
      </c>
      <c r="AE88" s="12">
        <v>0</v>
      </c>
      <c r="AF88" s="74">
        <v>-9.1632505426998634E-2</v>
      </c>
      <c r="AG88" s="74">
        <v>0.20555835499380981</v>
      </c>
      <c r="AH88" s="74">
        <f t="shared" si="30"/>
        <v>0.20597335851087614</v>
      </c>
      <c r="AI88" s="74">
        <f t="shared" si="16"/>
        <v>0.19132130224291191</v>
      </c>
      <c r="AJ88" s="74">
        <f t="shared" si="17"/>
        <v>0.16085367998104363</v>
      </c>
      <c r="AK88" s="116">
        <f t="shared" si="31"/>
        <v>-0.11782971554710225</v>
      </c>
      <c r="AL88" s="83">
        <f t="shared" si="19"/>
        <v>0.20919586018817496</v>
      </c>
      <c r="AM88" s="83">
        <f t="shared" si="20"/>
        <v>-0.17452670963936273</v>
      </c>
      <c r="AN88" s="83">
        <f t="shared" si="32"/>
        <v>0.16535542873187356</v>
      </c>
      <c r="AO88" s="74">
        <v>0.29719086042080844</v>
      </c>
      <c r="AP88" s="74">
        <f t="shared" si="29"/>
        <v>0.2976058639378748</v>
      </c>
      <c r="AQ88" s="83">
        <f t="shared" si="33"/>
        <v>-2.619721012010362E-2</v>
      </c>
      <c r="AR88" s="83">
        <f t="shared" si="34"/>
        <v>0.25698793415887222</v>
      </c>
      <c r="AS88" s="74">
        <v>0.25329644121243772</v>
      </c>
      <c r="AT88" s="74">
        <f t="shared" si="35"/>
        <v>0.25371144472950408</v>
      </c>
      <c r="AU88" s="83">
        <f t="shared" si="36"/>
        <v>-7.0091629328474347E-2</v>
      </c>
      <c r="AV88" s="83">
        <f t="shared" si="37"/>
        <v>0.21309351495050147</v>
      </c>
      <c r="AW88" s="74">
        <v>0.81153274009645338</v>
      </c>
      <c r="AX88" s="83">
        <f t="shared" si="38"/>
        <v>1.6810811315986141</v>
      </c>
      <c r="AY88" s="83">
        <f t="shared" si="39"/>
        <v>0.77597588443873211</v>
      </c>
      <c r="AZ88" s="102">
        <v>0</v>
      </c>
      <c r="BA88" s="74">
        <v>0.15070404215714031</v>
      </c>
      <c r="BB88" s="74">
        <v>0.3440621778746536</v>
      </c>
      <c r="BC88" s="74">
        <v>0.19335813571751329</v>
      </c>
      <c r="BD88" s="74">
        <v>0.24172122580213329</v>
      </c>
      <c r="BE88" s="74">
        <v>1.4233842176371136</v>
      </c>
      <c r="BF88" s="109">
        <v>0</v>
      </c>
      <c r="BG88" s="74">
        <v>0.64012283198320097</v>
      </c>
      <c r="BH88" s="74">
        <v>0.62795974456997616</v>
      </c>
      <c r="BI88" s="74">
        <v>-1.2163087413224831E-2</v>
      </c>
      <c r="BJ88" s="74">
        <v>0.68516946677319923</v>
      </c>
      <c r="BK88" s="74">
        <v>0.9165028142998668</v>
      </c>
      <c r="BL88" s="109">
        <v>0</v>
      </c>
      <c r="BM88" s="74">
        <v>0.82002446542492402</v>
      </c>
      <c r="BN88" s="74">
        <v>0.78471629643140983</v>
      </c>
      <c r="BO88" s="74">
        <v>-3.530816899351423E-2</v>
      </c>
      <c r="BP88" s="74">
        <v>0.80075942127198552</v>
      </c>
      <c r="BQ88" s="74">
        <v>0.9799651125988732</v>
      </c>
      <c r="BR88" s="74">
        <v>0</v>
      </c>
      <c r="BS88" s="74">
        <v>0.85363303880747043</v>
      </c>
      <c r="BT88" s="74">
        <v>0.55352844635713228</v>
      </c>
      <c r="BU88" s="74">
        <v>-0.30010459245033816</v>
      </c>
      <c r="BV88" s="74">
        <v>1.0338948626384146</v>
      </c>
      <c r="BW88" s="74">
        <v>0.53538175530205578</v>
      </c>
    </row>
    <row r="89" spans="1:75" x14ac:dyDescent="0.2">
      <c r="A89" s="11" t="s">
        <v>682</v>
      </c>
      <c r="B89" s="11">
        <v>324</v>
      </c>
      <c r="C89" s="11">
        <v>61</v>
      </c>
      <c r="D89" s="11">
        <v>9161</v>
      </c>
      <c r="E89" s="112">
        <v>43420</v>
      </c>
      <c r="F89" s="11" t="s">
        <v>683</v>
      </c>
      <c r="G89" s="11">
        <v>5</v>
      </c>
      <c r="H89" s="11">
        <v>16</v>
      </c>
      <c r="I89" s="11">
        <v>45</v>
      </c>
      <c r="J89" s="8">
        <v>0.38660019121078532</v>
      </c>
      <c r="K89" s="8">
        <v>3.4525218896826776E-2</v>
      </c>
      <c r="L89" s="8">
        <v>0.14940712874395126</v>
      </c>
      <c r="M89" s="8">
        <v>0.4294674611484367</v>
      </c>
      <c r="N89" s="8">
        <v>0.16210562788712982</v>
      </c>
      <c r="O89" s="8">
        <v>6.0402638435721762E-3</v>
      </c>
      <c r="P89" s="8">
        <v>-3.5809385914956672E-2</v>
      </c>
      <c r="Q89" s="8">
        <v>9.0854703826274124E-3</v>
      </c>
      <c r="R89" s="21">
        <v>6.1430344535831259E-2</v>
      </c>
      <c r="S89" s="8">
        <v>0.18770607421515065</v>
      </c>
      <c r="T89" s="8">
        <v>0.81229392578484927</v>
      </c>
      <c r="U89" s="8">
        <v>0.4169083203212135</v>
      </c>
      <c r="V89" s="8">
        <v>0.32737884683409973</v>
      </c>
      <c r="W89" s="8">
        <v>4.3193830299200833E-2</v>
      </c>
      <c r="X89" s="8">
        <v>0.42747027273890775</v>
      </c>
      <c r="Y89" s="15">
        <v>0.35533925031518604</v>
      </c>
      <c r="Z89" s="5">
        <v>16821</v>
      </c>
      <c r="AA89" s="5">
        <v>185100</v>
      </c>
      <c r="AB89" s="8">
        <v>6.0402638435721762E-3</v>
      </c>
      <c r="AC89" s="8">
        <v>-3.5809385914956672E-2</v>
      </c>
      <c r="AD89" s="8">
        <v>-2.7953952451504192E-2</v>
      </c>
      <c r="AE89" s="12">
        <v>0</v>
      </c>
      <c r="AF89" s="74">
        <v>0.25068493869761305</v>
      </c>
      <c r="AG89" s="74">
        <v>0.36808343291491852</v>
      </c>
      <c r="AH89" s="74">
        <f t="shared" si="30"/>
        <v>0.30665308837908728</v>
      </c>
      <c r="AI89" s="74">
        <f t="shared" si="16"/>
        <v>0.36204316907134632</v>
      </c>
      <c r="AJ89" s="74">
        <f t="shared" si="17"/>
        <v>0.40389281882987521</v>
      </c>
      <c r="AK89" s="116">
        <f t="shared" si="31"/>
        <v>1.2744182599732479E-2</v>
      </c>
      <c r="AL89" s="83">
        <f t="shared" si="19"/>
        <v>0.3248896026157177</v>
      </c>
      <c r="AM89" s="83">
        <f t="shared" si="20"/>
        <v>-5.9386839823989235E-2</v>
      </c>
      <c r="AN89" s="83">
        <f t="shared" si="32"/>
        <v>0.39603738536642269</v>
      </c>
      <c r="AO89" s="74">
        <v>0.11739849421730544</v>
      </c>
      <c r="AP89" s="74">
        <f t="shared" si="29"/>
        <v>5.5968149681474233E-2</v>
      </c>
      <c r="AQ89" s="83">
        <f t="shared" si="33"/>
        <v>-0.23794075609788057</v>
      </c>
      <c r="AR89" s="83">
        <f t="shared" si="34"/>
        <v>0.14535244666880964</v>
      </c>
      <c r="AS89" s="74">
        <v>0.31759952748292675</v>
      </c>
      <c r="AT89" s="74">
        <f t="shared" si="35"/>
        <v>0.25616918294709551</v>
      </c>
      <c r="AU89" s="83">
        <f t="shared" si="36"/>
        <v>-3.7739722832259293E-2</v>
      </c>
      <c r="AV89" s="83">
        <f t="shared" si="37"/>
        <v>0.34555347993443092</v>
      </c>
      <c r="AW89" s="74">
        <v>1.1589545986799543</v>
      </c>
      <c r="AX89" s="83">
        <f t="shared" si="38"/>
        <v>-0.33768617370022025</v>
      </c>
      <c r="AY89" s="83">
        <f t="shared" si="39"/>
        <v>1.1460957807213261</v>
      </c>
      <c r="AZ89" s="102">
        <v>0</v>
      </c>
      <c r="BA89" s="74">
        <v>0.18593693103615724</v>
      </c>
      <c r="BB89" s="74">
        <v>0.36310116505352819</v>
      </c>
      <c r="BC89" s="74">
        <v>0.17716423401737091</v>
      </c>
      <c r="BD89" s="74">
        <v>0.24041543260255091</v>
      </c>
      <c r="BE89" s="74">
        <v>1.5103072258002606</v>
      </c>
      <c r="BF89" s="109">
        <v>0</v>
      </c>
      <c r="BG89" s="74">
        <v>0.23214136879070238</v>
      </c>
      <c r="BH89" s="74">
        <v>0.24082677672585023</v>
      </c>
      <c r="BI89" s="74">
        <v>8.6854079351478645E-3</v>
      </c>
      <c r="BJ89" s="74">
        <v>0.28860564803983707</v>
      </c>
      <c r="BK89" s="74">
        <v>0.83444928524963657</v>
      </c>
      <c r="BL89" s="109">
        <v>0</v>
      </c>
      <c r="BM89" s="74">
        <v>0.48313421506470933</v>
      </c>
      <c r="BN89" s="74">
        <v>0.61918901695704831</v>
      </c>
      <c r="BO89" s="74">
        <v>0.13605480189233901</v>
      </c>
      <c r="BP89" s="74">
        <v>0.5638313730233846</v>
      </c>
      <c r="BQ89" s="74">
        <v>1.0981812055558813</v>
      </c>
      <c r="BR89" s="74">
        <v>0</v>
      </c>
      <c r="BS89" s="74">
        <v>0.48752481856199031</v>
      </c>
      <c r="BT89" s="74">
        <v>0.28051064917766416</v>
      </c>
      <c r="BU89" s="74">
        <v>-0.20701416938432615</v>
      </c>
      <c r="BV89" s="74">
        <v>0.38487066450190699</v>
      </c>
      <c r="BW89" s="74">
        <v>0.72884393395037328</v>
      </c>
    </row>
    <row r="90" spans="1:75" x14ac:dyDescent="0.2">
      <c r="A90" s="11" t="s">
        <v>682</v>
      </c>
      <c r="B90" s="11">
        <v>324</v>
      </c>
      <c r="C90" s="11">
        <v>61</v>
      </c>
      <c r="D90" s="11">
        <v>9161</v>
      </c>
      <c r="E90" s="112">
        <v>43420</v>
      </c>
      <c r="F90" s="11" t="s">
        <v>683</v>
      </c>
      <c r="G90" s="11">
        <v>5</v>
      </c>
      <c r="H90" s="11">
        <v>16</v>
      </c>
      <c r="I90" s="11">
        <v>70</v>
      </c>
      <c r="J90" s="8">
        <v>0.46201995835714738</v>
      </c>
      <c r="K90" s="8">
        <v>6.3929028345661221E-2</v>
      </c>
      <c r="L90" s="8">
        <v>8.7054291534619868E-2</v>
      </c>
      <c r="M90" s="8">
        <v>0.38699672176257172</v>
      </c>
      <c r="N90" s="8">
        <v>7.9554534432380683E-2</v>
      </c>
      <c r="O90" s="8">
        <v>5.7450870866606199E-3</v>
      </c>
      <c r="P90" s="8">
        <v>-5.2710402355372991E-2</v>
      </c>
      <c r="Q90" s="8">
        <v>-2.264617343769108E-2</v>
      </c>
      <c r="R90" s="21">
        <v>2.377039890637736E-2</v>
      </c>
      <c r="S90" s="8">
        <v>0.42341782122920824</v>
      </c>
      <c r="T90" s="8">
        <v>0.57658217877079176</v>
      </c>
      <c r="U90" s="8">
        <v>0.64476516461413602</v>
      </c>
      <c r="V90" s="8">
        <v>0.48888888888888887</v>
      </c>
      <c r="W90" s="8">
        <v>0.12543260793983529</v>
      </c>
      <c r="X90" s="8">
        <v>0.34126411750882379</v>
      </c>
      <c r="Y90" s="15">
        <v>0.24987720997451168</v>
      </c>
      <c r="Z90" s="5">
        <v>36544</v>
      </c>
      <c r="AA90" s="5">
        <v>266200</v>
      </c>
      <c r="AB90" s="8">
        <v>5.7450870866606199E-3</v>
      </c>
      <c r="AC90" s="8">
        <v>-5.2710402355372991E-2</v>
      </c>
      <c r="AD90" s="8">
        <v>-2.7959306376940132E-2</v>
      </c>
      <c r="AE90" s="12">
        <v>0</v>
      </c>
      <c r="AF90" s="74">
        <v>5.7638312734426621E-2</v>
      </c>
      <c r="AG90" s="74">
        <v>0.18647118457739481</v>
      </c>
      <c r="AH90" s="74">
        <f t="shared" si="30"/>
        <v>0.16270078567101745</v>
      </c>
      <c r="AI90" s="74">
        <f t="shared" si="16"/>
        <v>0.18072609749073418</v>
      </c>
      <c r="AJ90" s="74">
        <f t="shared" si="17"/>
        <v>0.23918158693276781</v>
      </c>
      <c r="AK90" s="116">
        <f t="shared" si="31"/>
        <v>-6.3406025397116872E-2</v>
      </c>
      <c r="AL90" s="83">
        <f t="shared" si="19"/>
        <v>6.1038576637559516E-2</v>
      </c>
      <c r="AM90" s="83">
        <f t="shared" si="20"/>
        <v>-0.15479293293142898</v>
      </c>
      <c r="AN90" s="83">
        <f t="shared" si="32"/>
        <v>0.21443049095433495</v>
      </c>
      <c r="AO90" s="74">
        <v>0.12883287184296818</v>
      </c>
      <c r="AP90" s="74">
        <f t="shared" si="29"/>
        <v>0.10506247293659082</v>
      </c>
      <c r="AQ90" s="83">
        <f t="shared" si="33"/>
        <v>-0.1210443381315435</v>
      </c>
      <c r="AR90" s="83">
        <f t="shared" si="34"/>
        <v>0.15679217821990832</v>
      </c>
      <c r="AS90" s="74">
        <v>9.4452285857142798E-2</v>
      </c>
      <c r="AT90" s="74">
        <f t="shared" si="35"/>
        <v>7.0681886950765438E-2</v>
      </c>
      <c r="AU90" s="83">
        <f t="shared" si="36"/>
        <v>-0.15542492411736888</v>
      </c>
      <c r="AV90" s="83">
        <f t="shared" si="37"/>
        <v>0.12241159223408293</v>
      </c>
      <c r="AW90" s="74">
        <v>1.974236863461714</v>
      </c>
      <c r="AX90" s="83">
        <f t="shared" si="38"/>
        <v>0.40795275118960916</v>
      </c>
      <c r="AY90" s="83">
        <f t="shared" si="39"/>
        <v>1.7517171947595278</v>
      </c>
      <c r="AZ90" s="102">
        <v>0</v>
      </c>
      <c r="BA90" s="74">
        <v>0.19909348862015308</v>
      </c>
      <c r="BB90" s="74">
        <v>0.32385412833604554</v>
      </c>
      <c r="BC90" s="74">
        <v>0.12476063971589246</v>
      </c>
      <c r="BD90" s="74">
        <v>0.22414806094504122</v>
      </c>
      <c r="BE90" s="74">
        <v>1.4448223507739879</v>
      </c>
      <c r="BF90" s="109">
        <v>0</v>
      </c>
      <c r="BG90" s="74">
        <v>0.20593542326400358</v>
      </c>
      <c r="BH90" s="74">
        <v>0.32333064961653407</v>
      </c>
      <c r="BI90" s="74">
        <v>0.11739522635253051</v>
      </c>
      <c r="BJ90" s="74">
        <v>0.21424551112582335</v>
      </c>
      <c r="BK90" s="74">
        <v>1.5091595054546862</v>
      </c>
      <c r="BL90" s="109">
        <v>0</v>
      </c>
      <c r="BM90" s="74">
        <v>0.26856230422316535</v>
      </c>
      <c r="BN90" s="74">
        <v>0.46556057543305285</v>
      </c>
      <c r="BO90" s="74">
        <v>0.1969982712098875</v>
      </c>
      <c r="BP90" s="74">
        <v>0.24407128421486959</v>
      </c>
      <c r="BQ90" s="74">
        <v>1.9074778785659761</v>
      </c>
      <c r="BR90" s="74">
        <v>0</v>
      </c>
      <c r="BS90" s="74">
        <v>0.3683378355042109</v>
      </c>
      <c r="BT90" s="74">
        <v>0.66683082406020744</v>
      </c>
      <c r="BU90" s="74">
        <v>0.29849298855599654</v>
      </c>
      <c r="BV90" s="74">
        <v>0.32388607293337707</v>
      </c>
      <c r="BW90" s="74">
        <v>2.0588437718881898</v>
      </c>
    </row>
    <row r="91" spans="1:75" x14ac:dyDescent="0.2">
      <c r="A91" s="11" t="s">
        <v>682</v>
      </c>
      <c r="B91" s="11">
        <v>324</v>
      </c>
      <c r="C91" s="11">
        <v>61</v>
      </c>
      <c r="D91" s="11">
        <v>9161</v>
      </c>
      <c r="E91" s="112">
        <v>43420</v>
      </c>
      <c r="F91" s="11" t="s">
        <v>683</v>
      </c>
      <c r="G91" s="11">
        <v>5</v>
      </c>
      <c r="H91" s="11">
        <v>16</v>
      </c>
      <c r="I91" s="11">
        <v>90</v>
      </c>
      <c r="J91" s="8">
        <v>0.54526528457840673</v>
      </c>
      <c r="K91" s="8">
        <v>6.8281645122606247E-2</v>
      </c>
      <c r="L91" s="8">
        <v>0.14009279502343638</v>
      </c>
      <c r="M91" s="8">
        <v>0.24636027527555063</v>
      </c>
      <c r="N91" s="8">
        <v>-1.6469530510681542E-2</v>
      </c>
      <c r="O91" s="8">
        <v>3.1965079462976477E-2</v>
      </c>
      <c r="P91" s="8">
        <v>-4.4157986290482218E-3</v>
      </c>
      <c r="Q91" s="8">
        <v>4.3059437406821742E-2</v>
      </c>
      <c r="R91" s="21">
        <v>3.1918782519782685E-3</v>
      </c>
      <c r="S91" s="8">
        <v>0.32768723973415326</v>
      </c>
      <c r="T91" s="8">
        <v>0.67231276026584674</v>
      </c>
      <c r="U91" s="8">
        <v>1.1573865939492207</v>
      </c>
      <c r="V91" s="8">
        <v>0.83333333333333337</v>
      </c>
      <c r="W91" s="8">
        <v>1.055593203358206E-2</v>
      </c>
      <c r="X91" s="8">
        <v>5.157089667340322E-2</v>
      </c>
      <c r="Y91" s="15">
        <v>3.8130816122786321E-2</v>
      </c>
      <c r="Z91" s="5">
        <v>31408</v>
      </c>
      <c r="AA91" s="5">
        <v>145500</v>
      </c>
      <c r="AB91" s="8">
        <v>3.1965079462976477E-2</v>
      </c>
      <c r="AC91" s="8">
        <v>-4.4157986290482218E-3</v>
      </c>
      <c r="AD91" s="8">
        <v>7.5057508920320804E-3</v>
      </c>
      <c r="AE91" s="12">
        <v>0</v>
      </c>
      <c r="AF91" s="74">
        <v>0.31542209552846751</v>
      </c>
      <c r="AG91" s="74">
        <v>0.3976601937654391</v>
      </c>
      <c r="AH91" s="74">
        <f t="shared" si="30"/>
        <v>0.39446831551346084</v>
      </c>
      <c r="AI91" s="74">
        <f t="shared" si="16"/>
        <v>0.3656951143024626</v>
      </c>
      <c r="AJ91" s="74">
        <f t="shared" si="17"/>
        <v>0.40207599239448732</v>
      </c>
      <c r="AK91" s="116">
        <f t="shared" si="31"/>
        <v>0.3595293776426528</v>
      </c>
      <c r="AL91" s="83">
        <f t="shared" si="19"/>
        <v>0.38710426173185702</v>
      </c>
      <c r="AM91" s="83">
        <f t="shared" si="20"/>
        <v>0.3460892970920359</v>
      </c>
      <c r="AN91" s="83">
        <f t="shared" si="32"/>
        <v>0.390154442873407</v>
      </c>
      <c r="AO91" s="74">
        <v>8.2238098236971605E-2</v>
      </c>
      <c r="AP91" s="74">
        <f t="shared" si="29"/>
        <v>7.9046219984993338E-2</v>
      </c>
      <c r="AQ91" s="83">
        <f t="shared" si="33"/>
        <v>4.4107282114185298E-2</v>
      </c>
      <c r="AR91" s="83">
        <f t="shared" si="34"/>
        <v>7.4732347344939498E-2</v>
      </c>
      <c r="AS91" s="74">
        <v>0.37099194668327784</v>
      </c>
      <c r="AT91" s="74">
        <f t="shared" si="35"/>
        <v>0.36780006843129959</v>
      </c>
      <c r="AU91" s="83">
        <f t="shared" si="36"/>
        <v>0.33286113056049149</v>
      </c>
      <c r="AV91" s="83">
        <f t="shared" si="37"/>
        <v>0.36348619579124575</v>
      </c>
      <c r="AW91" s="74">
        <v>1.0718836279886377</v>
      </c>
      <c r="AX91" s="83">
        <f t="shared" si="38"/>
        <v>1.0801182374080618</v>
      </c>
      <c r="AY91" s="83">
        <f t="shared" si="39"/>
        <v>1.0733679776314728</v>
      </c>
      <c r="AZ91" s="102">
        <v>0</v>
      </c>
      <c r="BA91" s="74">
        <v>0.46095960817941778</v>
      </c>
      <c r="BB91" s="74">
        <v>0.54945843190804522</v>
      </c>
      <c r="BC91" s="74">
        <v>8.8498823728627468E-2</v>
      </c>
      <c r="BD91" s="74">
        <v>0.57371217133259234</v>
      </c>
      <c r="BE91" s="74">
        <v>0.95772489998214327</v>
      </c>
      <c r="BF91" s="109">
        <v>0</v>
      </c>
      <c r="BG91" s="74">
        <v>0.36238450294473501</v>
      </c>
      <c r="BH91" s="74">
        <v>0.43761616959890159</v>
      </c>
      <c r="BI91" s="74">
        <v>7.5231666654166557E-2</v>
      </c>
      <c r="BJ91" s="74">
        <v>0.47439835278948683</v>
      </c>
      <c r="BK91" s="74">
        <v>0.92246561782033154</v>
      </c>
      <c r="BL91" s="109">
        <v>0</v>
      </c>
      <c r="BM91" s="74">
        <v>0.27760133970903383</v>
      </c>
      <c r="BN91" s="74">
        <v>0.18065104298408824</v>
      </c>
      <c r="BO91" s="74">
        <v>-9.6950296724945581E-2</v>
      </c>
      <c r="BP91" s="74">
        <v>0.20606488938381801</v>
      </c>
      <c r="BQ91" s="74">
        <v>0.87667066196612586</v>
      </c>
      <c r="BR91" s="74">
        <v>0</v>
      </c>
      <c r="BS91" s="74">
        <v>0.41458524615473086</v>
      </c>
      <c r="BT91" s="74">
        <v>0.40200646394787076</v>
      </c>
      <c r="BU91" s="74">
        <v>-1.2578782206860073E-2</v>
      </c>
      <c r="BV91" s="74">
        <v>0.47520986797116571</v>
      </c>
      <c r="BW91" s="74">
        <v>0.84595563148588337</v>
      </c>
    </row>
    <row r="92" spans="1:75" s="85" customFormat="1" x14ac:dyDescent="0.2">
      <c r="A92" s="85" t="s">
        <v>682</v>
      </c>
      <c r="B92" s="85">
        <v>339</v>
      </c>
      <c r="C92" s="85">
        <v>64</v>
      </c>
      <c r="D92" s="85">
        <v>9164</v>
      </c>
      <c r="E92" s="111">
        <v>43421</v>
      </c>
      <c r="F92" s="85" t="s">
        <v>683</v>
      </c>
      <c r="G92" s="85">
        <v>5</v>
      </c>
      <c r="H92" s="85">
        <v>17</v>
      </c>
      <c r="I92" s="85">
        <v>5</v>
      </c>
      <c r="J92" s="87">
        <v>0.10542032211883363</v>
      </c>
      <c r="K92" s="87">
        <v>1.7184503718204073E-2</v>
      </c>
      <c r="L92" s="87">
        <v>8.0013322504803669E-2</v>
      </c>
      <c r="M92" s="87">
        <v>0.79738185165815867</v>
      </c>
      <c r="N92" s="87">
        <v>0.34091292327066225</v>
      </c>
      <c r="O92" s="87">
        <v>9.2871497128326277E-2</v>
      </c>
      <c r="P92" s="87">
        <v>0.16006966034433254</v>
      </c>
      <c r="Q92" s="87">
        <v>6.5760199228852801E-3</v>
      </c>
      <c r="R92" s="88">
        <v>5.5586405072400001E-2</v>
      </c>
      <c r="S92" s="87">
        <v>0.17679925967455765</v>
      </c>
      <c r="T92" s="87">
        <v>0.82320074032544244</v>
      </c>
      <c r="U92" s="87">
        <v>0.3111291479482049</v>
      </c>
      <c r="V92" s="87">
        <v>0.37853614728334084</v>
      </c>
      <c r="W92" s="87">
        <v>6.494180425708404E-2</v>
      </c>
      <c r="X92" s="87">
        <v>-0.21615427907604987</v>
      </c>
      <c r="Y92" s="89">
        <v>-0.16645669964533405</v>
      </c>
      <c r="Z92" s="90">
        <v>16483</v>
      </c>
      <c r="AA92" s="90">
        <v>168600</v>
      </c>
      <c r="AB92" s="87">
        <v>9.2871497128326277E-2</v>
      </c>
      <c r="AC92" s="87">
        <v>0.16006966034433254</v>
      </c>
      <c r="AD92" s="87">
        <v>0.14818907483625254</v>
      </c>
      <c r="AE92" s="100">
        <v>0</v>
      </c>
      <c r="AF92" s="93">
        <v>0.10566582887218701</v>
      </c>
      <c r="AG92" s="93">
        <v>0.5437320983557492</v>
      </c>
      <c r="AH92" s="93">
        <f t="shared" si="30"/>
        <v>0.48814569328334922</v>
      </c>
      <c r="AI92" s="93">
        <f t="shared" si="16"/>
        <v>0.45086060122742294</v>
      </c>
      <c r="AJ92" s="93">
        <f t="shared" si="17"/>
        <v>0.38366243801141664</v>
      </c>
      <c r="AK92" s="115">
        <f t="shared" si="31"/>
        <v>0.71018879800108325</v>
      </c>
      <c r="AL92" s="94">
        <f t="shared" si="19"/>
        <v>0.47879029409866514</v>
      </c>
      <c r="AM92" s="94">
        <f t="shared" si="20"/>
        <v>0.7598863774317991</v>
      </c>
      <c r="AN92" s="94">
        <f t="shared" si="32"/>
        <v>0.39554302351949666</v>
      </c>
      <c r="AO92" s="93">
        <v>0.43806626948356225</v>
      </c>
      <c r="AP92" s="93">
        <f t="shared" si="29"/>
        <v>0.38247986441116222</v>
      </c>
      <c r="AQ92" s="94">
        <f t="shared" si="33"/>
        <v>0.60452296912889625</v>
      </c>
      <c r="AR92" s="94">
        <f t="shared" si="34"/>
        <v>0.28987719464730966</v>
      </c>
      <c r="AS92" s="93">
        <v>0.45500398274706511</v>
      </c>
      <c r="AT92" s="93">
        <f t="shared" si="35"/>
        <v>0.39941757767466513</v>
      </c>
      <c r="AU92" s="94">
        <f t="shared" si="36"/>
        <v>0.62146068239239916</v>
      </c>
      <c r="AV92" s="94">
        <f t="shared" si="37"/>
        <v>0.30681490791081256</v>
      </c>
      <c r="AW92" s="93">
        <v>1.1950051405550173</v>
      </c>
      <c r="AX92" s="94">
        <f t="shared" si="38"/>
        <v>1.142773498183526</v>
      </c>
      <c r="AY92" s="94">
        <f t="shared" si="39"/>
        <v>1.2891910181707218</v>
      </c>
      <c r="AZ92" s="105">
        <v>0</v>
      </c>
      <c r="BA92" s="93">
        <v>0.10552595738160059</v>
      </c>
      <c r="BB92" s="93">
        <v>6.8768434911824661E-2</v>
      </c>
      <c r="BC92" s="93">
        <v>-3.675752246977592E-2</v>
      </c>
      <c r="BD92" s="93">
        <v>6.0052623860267752E-2</v>
      </c>
      <c r="BE92" s="93">
        <v>1.1451362237200013</v>
      </c>
      <c r="BF92" s="108">
        <v>0</v>
      </c>
      <c r="BG92" s="93">
        <v>0.18807893106752646</v>
      </c>
      <c r="BH92" s="93">
        <v>0.11192521539112642</v>
      </c>
      <c r="BI92" s="93">
        <v>-7.6153715676400044E-2</v>
      </c>
      <c r="BJ92" s="93">
        <v>0.14833381547296892</v>
      </c>
      <c r="BK92" s="93">
        <v>0.75454956130028694</v>
      </c>
      <c r="BL92" s="108">
        <v>0</v>
      </c>
      <c r="BM92" s="93">
        <v>0.33822618345522787</v>
      </c>
      <c r="BN92" s="93">
        <v>0.78328175883440077</v>
      </c>
      <c r="BO92" s="93">
        <v>0.4450555753791729</v>
      </c>
      <c r="BP92" s="93">
        <v>0.74048101593314408</v>
      </c>
      <c r="BQ92" s="93">
        <v>1.0578012696886223</v>
      </c>
      <c r="BR92" s="93">
        <v>0</v>
      </c>
      <c r="BS92" s="93">
        <v>0.7271169014281792</v>
      </c>
      <c r="BT92" s="93">
        <v>0.99298925758541046</v>
      </c>
      <c r="BU92" s="93">
        <v>0.26587235615723132</v>
      </c>
      <c r="BV92" s="93">
        <v>1.0122576764512876</v>
      </c>
      <c r="BW92" s="93">
        <v>0.98096490714357709</v>
      </c>
    </row>
    <row r="93" spans="1:75" s="85" customFormat="1" x14ac:dyDescent="0.2">
      <c r="A93" s="85" t="s">
        <v>682</v>
      </c>
      <c r="B93" s="85">
        <v>339</v>
      </c>
      <c r="C93" s="85">
        <v>64</v>
      </c>
      <c r="D93" s="85">
        <v>9164</v>
      </c>
      <c r="E93" s="111">
        <v>43421</v>
      </c>
      <c r="F93" s="85" t="s">
        <v>683</v>
      </c>
      <c r="G93" s="85">
        <v>5</v>
      </c>
      <c r="H93" s="85">
        <v>17</v>
      </c>
      <c r="I93" s="85">
        <v>12</v>
      </c>
      <c r="J93" s="87">
        <v>5.6859127270974245E-2</v>
      </c>
      <c r="K93" s="87">
        <v>9.8273822925204826E-3</v>
      </c>
      <c r="L93" s="87">
        <v>0.11097190789623029</v>
      </c>
      <c r="M93" s="87">
        <v>0.82234158254027501</v>
      </c>
      <c r="N93" s="87">
        <v>0.34889418974725256</v>
      </c>
      <c r="O93" s="87">
        <v>8.4798547135211871E-2</v>
      </c>
      <c r="P93" s="87">
        <v>0.10733760537381409</v>
      </c>
      <c r="Q93" s="87">
        <v>-7.1819578314153976E-3</v>
      </c>
      <c r="R93" s="88">
        <v>2.6676603168011667E-2</v>
      </c>
      <c r="S93" s="87">
        <v>8.1352980445208292E-2</v>
      </c>
      <c r="T93" s="87">
        <v>0.91864701955479178</v>
      </c>
      <c r="U93" s="87">
        <v>0.30799765850803057</v>
      </c>
      <c r="V93" s="87">
        <v>0.28594223711504707</v>
      </c>
      <c r="W93" s="87">
        <v>9.0373275034069195E-2</v>
      </c>
      <c r="X93" s="87">
        <v>8.6717584597969369E-2</v>
      </c>
      <c r="Y93" s="89">
        <v>8.701498591053114E-2</v>
      </c>
      <c r="Z93" s="90">
        <v>16837</v>
      </c>
      <c r="AA93" s="90">
        <v>179200</v>
      </c>
      <c r="AB93" s="87">
        <v>8.4798547135211871E-2</v>
      </c>
      <c r="AC93" s="87">
        <v>0.10733760537381409</v>
      </c>
      <c r="AD93" s="87">
        <v>0.10550398580967568</v>
      </c>
      <c r="AE93" s="100">
        <v>0</v>
      </c>
      <c r="AF93" s="93">
        <v>0.2117989341450838</v>
      </c>
      <c r="AG93" s="93">
        <v>0.6295735367245372</v>
      </c>
      <c r="AH93" s="93">
        <f t="shared" si="30"/>
        <v>0.60289693355652552</v>
      </c>
      <c r="AI93" s="93">
        <f t="shared" si="16"/>
        <v>0.54477498958932535</v>
      </c>
      <c r="AJ93" s="93">
        <f t="shared" si="17"/>
        <v>0.5222359313507231</v>
      </c>
      <c r="AK93" s="115">
        <f t="shared" si="31"/>
        <v>0.54255855081400606</v>
      </c>
      <c r="AL93" s="94">
        <f t="shared" si="19"/>
        <v>0.53920026169046797</v>
      </c>
      <c r="AM93" s="94">
        <f t="shared" si="20"/>
        <v>0.54285595212656779</v>
      </c>
      <c r="AN93" s="94">
        <f t="shared" si="32"/>
        <v>0.52406955091486151</v>
      </c>
      <c r="AO93" s="93">
        <v>0.41777460257945337</v>
      </c>
      <c r="AP93" s="93">
        <f t="shared" si="29"/>
        <v>0.39109799941144174</v>
      </c>
      <c r="AQ93" s="94">
        <f t="shared" si="33"/>
        <v>0.33075961666892228</v>
      </c>
      <c r="AR93" s="94">
        <f t="shared" si="34"/>
        <v>0.31227061676977774</v>
      </c>
      <c r="AS93" s="93">
        <v>0.59713826097138312</v>
      </c>
      <c r="AT93" s="93">
        <f t="shared" si="35"/>
        <v>0.57046165780337144</v>
      </c>
      <c r="AU93" s="94">
        <f t="shared" si="36"/>
        <v>0.51012327506085198</v>
      </c>
      <c r="AV93" s="94">
        <f t="shared" si="37"/>
        <v>0.49163427516170743</v>
      </c>
      <c r="AW93" s="93">
        <v>1.054317865514748</v>
      </c>
      <c r="AX93" s="94">
        <f t="shared" si="38"/>
        <v>1.0635832108411147</v>
      </c>
      <c r="AY93" s="94">
        <f t="shared" si="39"/>
        <v>1.0659743988404502</v>
      </c>
      <c r="AZ93" s="105">
        <v>0</v>
      </c>
      <c r="BA93" s="93">
        <v>0.29613384325471953</v>
      </c>
      <c r="BB93" s="93">
        <v>0.30160181995946439</v>
      </c>
      <c r="BC93" s="93">
        <v>5.4679767047448365E-3</v>
      </c>
      <c r="BD93" s="93">
        <v>0.23537265359413079</v>
      </c>
      <c r="BE93" s="93">
        <v>1.2813800386494223</v>
      </c>
      <c r="BF93" s="108">
        <v>0</v>
      </c>
      <c r="BG93" s="93">
        <v>0.24506488258262385</v>
      </c>
      <c r="BH93" s="93">
        <v>4.5278683495940386E-2</v>
      </c>
      <c r="BI93" s="93">
        <v>-0.19978619908668346</v>
      </c>
      <c r="BJ93" s="93">
        <v>0.17997219130064035</v>
      </c>
      <c r="BK93" s="93">
        <v>0.25158711003470058</v>
      </c>
      <c r="BL93" s="108">
        <v>0</v>
      </c>
      <c r="BM93" s="93">
        <v>0.30709825947291625</v>
      </c>
      <c r="BN93" s="93">
        <v>0.4223490071212635</v>
      </c>
      <c r="BO93" s="93">
        <v>0.11525074764834725</v>
      </c>
      <c r="BP93" s="93">
        <v>0.41692526501190119</v>
      </c>
      <c r="BQ93" s="93">
        <v>1.0130089072659281</v>
      </c>
      <c r="BR93" s="93">
        <v>0</v>
      </c>
      <c r="BS93" s="93">
        <v>0.86771720896107174</v>
      </c>
      <c r="BT93" s="93">
        <v>0.92667337609419143</v>
      </c>
      <c r="BU93" s="93">
        <v>5.8956167133119672E-2</v>
      </c>
      <c r="BV93" s="93">
        <v>0.73822622587355402</v>
      </c>
      <c r="BW93" s="93">
        <v>1.2552701917324125</v>
      </c>
    </row>
    <row r="94" spans="1:75" s="85" customFormat="1" x14ac:dyDescent="0.2">
      <c r="A94" s="85" t="s">
        <v>682</v>
      </c>
      <c r="B94" s="85">
        <v>339</v>
      </c>
      <c r="C94" s="85">
        <v>64</v>
      </c>
      <c r="D94" s="85">
        <v>9164</v>
      </c>
      <c r="E94" s="111">
        <v>43421</v>
      </c>
      <c r="F94" s="85" t="s">
        <v>683</v>
      </c>
      <c r="G94" s="85">
        <v>5</v>
      </c>
      <c r="H94" s="85">
        <v>17</v>
      </c>
      <c r="I94" s="85">
        <v>25</v>
      </c>
      <c r="J94" s="87">
        <v>0.20748471344117142</v>
      </c>
      <c r="K94" s="87">
        <v>2.35251910033633E-2</v>
      </c>
      <c r="L94" s="87">
        <v>0.17232277752717218</v>
      </c>
      <c r="M94" s="87">
        <v>0.59666731802829298</v>
      </c>
      <c r="N94" s="87">
        <v>0.2010678204641661</v>
      </c>
      <c r="O94" s="87">
        <v>6.8363182631473202E-2</v>
      </c>
      <c r="P94" s="87">
        <v>5.7792255936193242E-2</v>
      </c>
      <c r="Q94" s="87">
        <v>-4.5685313872123202E-3</v>
      </c>
      <c r="R94" s="88">
        <v>5.0559784732601594E-2</v>
      </c>
      <c r="S94" s="87">
        <v>0.12011965801777204</v>
      </c>
      <c r="T94" s="87">
        <v>0.87988034198222798</v>
      </c>
      <c r="U94" s="87">
        <v>0.35058931779345398</v>
      </c>
      <c r="V94" s="87">
        <v>0.29109697933227346</v>
      </c>
      <c r="W94" s="87">
        <v>0.11699301104756057</v>
      </c>
      <c r="X94" s="87">
        <v>0.16959095713654621</v>
      </c>
      <c r="Y94" s="89">
        <v>0.16327290983990006</v>
      </c>
      <c r="Z94" s="90">
        <v>16003</v>
      </c>
      <c r="AA94" s="90">
        <v>183100</v>
      </c>
      <c r="AB94" s="87">
        <v>6.8363182631473202E-2</v>
      </c>
      <c r="AC94" s="87">
        <v>5.7792255936193242E-2</v>
      </c>
      <c r="AD94" s="87">
        <v>5.9062032035761207E-2</v>
      </c>
      <c r="AE94" s="100">
        <v>0</v>
      </c>
      <c r="AF94" s="93">
        <v>5.4429326027007084E-2</v>
      </c>
      <c r="AG94" s="93">
        <v>0.36124056838778351</v>
      </c>
      <c r="AH94" s="93">
        <f t="shared" si="30"/>
        <v>0.31068078365518192</v>
      </c>
      <c r="AI94" s="93">
        <f t="shared" si="16"/>
        <v>0.29287738575631028</v>
      </c>
      <c r="AJ94" s="93">
        <f t="shared" si="17"/>
        <v>0.30344831245159026</v>
      </c>
      <c r="AK94" s="115">
        <f t="shared" si="31"/>
        <v>0.19796765854788345</v>
      </c>
      <c r="AL94" s="94">
        <f t="shared" si="19"/>
        <v>0.24424755734022294</v>
      </c>
      <c r="AM94" s="94">
        <f t="shared" si="20"/>
        <v>0.19164961125123731</v>
      </c>
      <c r="AN94" s="94">
        <f t="shared" si="32"/>
        <v>0.3021785363520223</v>
      </c>
      <c r="AO94" s="93">
        <v>0.30681124236077645</v>
      </c>
      <c r="AP94" s="93">
        <f t="shared" si="29"/>
        <v>0.25625145762817486</v>
      </c>
      <c r="AQ94" s="94">
        <f t="shared" si="33"/>
        <v>0.14353833252087636</v>
      </c>
      <c r="AR94" s="94">
        <f t="shared" si="34"/>
        <v>0.24774921032501521</v>
      </c>
      <c r="AS94" s="93">
        <v>0.4323364900715137</v>
      </c>
      <c r="AT94" s="93">
        <f t="shared" si="35"/>
        <v>0.38177670533891211</v>
      </c>
      <c r="AU94" s="94">
        <f t="shared" si="36"/>
        <v>0.26906358023161364</v>
      </c>
      <c r="AV94" s="94">
        <f t="shared" si="37"/>
        <v>0.37327445803575249</v>
      </c>
      <c r="AW94" s="93">
        <v>0.83555419605694148</v>
      </c>
      <c r="AX94" s="94">
        <f t="shared" si="38"/>
        <v>0.73576534727394227</v>
      </c>
      <c r="AY94" s="94">
        <f t="shared" si="39"/>
        <v>0.8095344587522767</v>
      </c>
      <c r="AZ94" s="105">
        <v>0</v>
      </c>
      <c r="BA94" s="93">
        <v>8.5310291154366433E-2</v>
      </c>
      <c r="BB94" s="93">
        <v>0.25120784956934328</v>
      </c>
      <c r="BC94" s="93">
        <v>0.16589755841497686</v>
      </c>
      <c r="BD94" s="93">
        <v>0.15946273592951443</v>
      </c>
      <c r="BE94" s="93">
        <v>1.5753388909643562</v>
      </c>
      <c r="BF94" s="108">
        <v>0</v>
      </c>
      <c r="BG94" s="93">
        <v>9.3651063726234454E-2</v>
      </c>
      <c r="BH94" s="93">
        <v>3.7403000236114203E-2</v>
      </c>
      <c r="BI94" s="93">
        <v>-5.6248063490120251E-2</v>
      </c>
      <c r="BJ94" s="93">
        <v>0.17924496624919178</v>
      </c>
      <c r="BK94" s="93">
        <v>0.20866973850811196</v>
      </c>
      <c r="BL94" s="108">
        <v>0</v>
      </c>
      <c r="BM94" s="93">
        <v>9.8490821421631639E-2</v>
      </c>
      <c r="BN94" s="93">
        <v>0.14523980099570447</v>
      </c>
      <c r="BO94" s="93">
        <v>4.674897957407282E-2</v>
      </c>
      <c r="BP94" s="93">
        <v>0.21655369477397862</v>
      </c>
      <c r="BQ94" s="93">
        <v>0.67068724524554579</v>
      </c>
      <c r="BR94" s="93">
        <v>2</v>
      </c>
      <c r="BS94" s="93">
        <v>-0.14299404047146336</v>
      </c>
      <c r="BT94" s="93">
        <v>-0.3570051082224005</v>
      </c>
      <c r="BU94" s="93">
        <v>-0.21401106775093717</v>
      </c>
      <c r="BV94" s="93">
        <v>-6.3657298234942344E-2</v>
      </c>
      <c r="BW94" s="93">
        <v>5.6082353182000997</v>
      </c>
    </row>
    <row r="95" spans="1:75" s="85" customFormat="1" x14ac:dyDescent="0.2">
      <c r="A95" s="85" t="s">
        <v>682</v>
      </c>
      <c r="B95" s="85">
        <v>339</v>
      </c>
      <c r="C95" s="85">
        <v>64</v>
      </c>
      <c r="D95" s="85">
        <v>9164</v>
      </c>
      <c r="E95" s="111">
        <v>43421</v>
      </c>
      <c r="F95" s="85" t="s">
        <v>683</v>
      </c>
      <c r="G95" s="85">
        <v>5</v>
      </c>
      <c r="H95" s="85">
        <v>17</v>
      </c>
      <c r="I95" s="85">
        <v>45</v>
      </c>
      <c r="J95" s="87">
        <v>0.28308804925047987</v>
      </c>
      <c r="K95" s="87">
        <v>2.7253022484004286E-2</v>
      </c>
      <c r="L95" s="87">
        <v>8.8508256537464219E-2</v>
      </c>
      <c r="M95" s="87">
        <v>0.6011506717280517</v>
      </c>
      <c r="N95" s="87">
        <v>0.12131727137232826</v>
      </c>
      <c r="O95" s="87">
        <v>8.4767471547603432E-2</v>
      </c>
      <c r="P95" s="87">
        <v>-4.320735986431927E-2</v>
      </c>
      <c r="Q95" s="87">
        <v>-2.4382715287012947E-2</v>
      </c>
      <c r="R95" s="88">
        <v>1.8171745736663143E-2</v>
      </c>
      <c r="S95" s="87">
        <v>0.23542433803750629</v>
      </c>
      <c r="T95" s="87">
        <v>0.76457566196249371</v>
      </c>
      <c r="U95" s="87">
        <v>0.51384732316754544</v>
      </c>
      <c r="V95" s="87">
        <v>0.40556990040575436</v>
      </c>
      <c r="W95" s="87">
        <v>5.7861135923835447E-2</v>
      </c>
      <c r="X95" s="87">
        <v>9.9088641823799048E-2</v>
      </c>
      <c r="Y95" s="89">
        <v>8.9382683538362734E-2</v>
      </c>
      <c r="Z95" s="90">
        <v>21634</v>
      </c>
      <c r="AA95" s="90">
        <v>219900</v>
      </c>
      <c r="AB95" s="87">
        <v>8.4767471547603432E-2</v>
      </c>
      <c r="AC95" s="87">
        <v>-4.320735986431927E-2</v>
      </c>
      <c r="AD95" s="87">
        <v>-1.3078969893705904E-2</v>
      </c>
      <c r="AE95" s="100">
        <v>0</v>
      </c>
      <c r="AF95" s="93">
        <v>-0.12328697022945796</v>
      </c>
      <c r="AG95" s="93">
        <v>0.11243536329161234</v>
      </c>
      <c r="AH95" s="93">
        <f t="shared" si="30"/>
        <v>9.4263617554949192E-2</v>
      </c>
      <c r="AI95" s="93">
        <f t="shared" si="16"/>
        <v>2.766789174400891E-2</v>
      </c>
      <c r="AJ95" s="93">
        <f t="shared" si="17"/>
        <v>0.15564272315593161</v>
      </c>
      <c r="AK95" s="115">
        <f t="shared" si="31"/>
        <v>2.3052679753249608E-2</v>
      </c>
      <c r="AL95" s="94">
        <f t="shared" si="19"/>
        <v>5.4574227367776895E-2</v>
      </c>
      <c r="AM95" s="94">
        <f t="shared" si="20"/>
        <v>1.3346721467813294E-2</v>
      </c>
      <c r="AN95" s="94">
        <f t="shared" si="32"/>
        <v>0.12551433318531824</v>
      </c>
      <c r="AO95" s="93">
        <v>0.2357223335210703</v>
      </c>
      <c r="AP95" s="93">
        <f t="shared" si="29"/>
        <v>0.21755058778440717</v>
      </c>
      <c r="AQ95" s="94">
        <f t="shared" si="33"/>
        <v>0.14633964998270757</v>
      </c>
      <c r="AR95" s="94">
        <f t="shared" si="34"/>
        <v>0.24880130341477619</v>
      </c>
      <c r="AS95" s="93">
        <v>0.26943911210127719</v>
      </c>
      <c r="AT95" s="93">
        <f t="shared" si="35"/>
        <v>0.25126736636461405</v>
      </c>
      <c r="AU95" s="94">
        <f t="shared" si="36"/>
        <v>0.18005642856291446</v>
      </c>
      <c r="AV95" s="94">
        <f t="shared" si="37"/>
        <v>0.28251808199498307</v>
      </c>
      <c r="AW95" s="93">
        <v>0.41729414269057552</v>
      </c>
      <c r="AX95" s="94">
        <f t="shared" si="38"/>
        <v>0.12803030659466097</v>
      </c>
      <c r="AY95" s="94">
        <f t="shared" si="39"/>
        <v>0.44427008812677382</v>
      </c>
      <c r="AZ95" s="105">
        <v>0</v>
      </c>
      <c r="BA95" s="93">
        <v>0.31290413929783706</v>
      </c>
      <c r="BB95" s="93">
        <v>0.41156039605358241</v>
      </c>
      <c r="BC95" s="93">
        <v>9.8656256755745339E-2</v>
      </c>
      <c r="BD95" s="93">
        <v>0.30486192105058912</v>
      </c>
      <c r="BE95" s="93">
        <v>1.3499895120889422</v>
      </c>
      <c r="BF95" s="108">
        <v>0</v>
      </c>
      <c r="BG95" s="93">
        <v>0.41134400432895663</v>
      </c>
      <c r="BH95" s="93">
        <v>0.34217469918838495</v>
      </c>
      <c r="BI95" s="93">
        <v>-6.916930514057168E-2</v>
      </c>
      <c r="BJ95" s="93">
        <v>0.32600860907149559</v>
      </c>
      <c r="BK95" s="93">
        <v>1.0495879239598365</v>
      </c>
      <c r="BL95" s="108">
        <v>0</v>
      </c>
      <c r="BM95" s="93">
        <v>0.51040944562077406</v>
      </c>
      <c r="BN95" s="93">
        <v>0.61342858816496038</v>
      </c>
      <c r="BO95" s="93">
        <v>0.10301914254418626</v>
      </c>
      <c r="BP95" s="93">
        <v>0.42552184295019468</v>
      </c>
      <c r="BQ95" s="93">
        <v>1.4415913033088628</v>
      </c>
      <c r="BR95" s="93">
        <v>0</v>
      </c>
      <c r="BS95" s="93">
        <v>0.27996411749928629</v>
      </c>
      <c r="BT95" s="93">
        <v>0.11182719569728808</v>
      </c>
      <c r="BU95" s="93">
        <v>-0.16813692180199821</v>
      </c>
      <c r="BV95" s="93">
        <v>-0.17117102744206653</v>
      </c>
      <c r="BW95" s="93">
        <v>-0.653306797116331</v>
      </c>
    </row>
    <row r="96" spans="1:75" s="85" customFormat="1" x14ac:dyDescent="0.2">
      <c r="A96" s="85" t="s">
        <v>682</v>
      </c>
      <c r="B96" s="85">
        <v>339</v>
      </c>
      <c r="C96" s="85">
        <v>64</v>
      </c>
      <c r="D96" s="85">
        <v>9164</v>
      </c>
      <c r="E96" s="111">
        <v>43421</v>
      </c>
      <c r="F96" s="85" t="s">
        <v>683</v>
      </c>
      <c r="G96" s="85">
        <v>5</v>
      </c>
      <c r="H96" s="85">
        <v>17</v>
      </c>
      <c r="I96" s="85">
        <v>70</v>
      </c>
      <c r="J96" s="87">
        <v>0.34506997682469598</v>
      </c>
      <c r="K96" s="87">
        <v>5.3178389924654249E-2</v>
      </c>
      <c r="L96" s="87">
        <v>0.12746144733465214</v>
      </c>
      <c r="M96" s="87">
        <v>0.47429018591599764</v>
      </c>
      <c r="N96" s="87">
        <v>9.9273166815382993E-2</v>
      </c>
      <c r="O96" s="87">
        <v>0.15638405940328093</v>
      </c>
      <c r="P96" s="87">
        <v>-1.6551530910691697E-2</v>
      </c>
      <c r="Q96" s="87">
        <v>-3.2653514443804119E-3</v>
      </c>
      <c r="R96" s="88">
        <v>3.8914035632129099E-2</v>
      </c>
      <c r="S96" s="87">
        <v>0.29438904912385017</v>
      </c>
      <c r="T96" s="87">
        <v>0.70561095087614989</v>
      </c>
      <c r="U96" s="87">
        <v>1.0514465065502183</v>
      </c>
      <c r="V96" s="87">
        <v>0.5315835015863859</v>
      </c>
      <c r="W96" s="87">
        <v>5.6858033055186968E-2</v>
      </c>
      <c r="X96" s="87">
        <v>0.1483261460403088</v>
      </c>
      <c r="Y96" s="89">
        <v>0.1213989352334659</v>
      </c>
      <c r="Z96" s="90">
        <v>23115</v>
      </c>
      <c r="AA96" s="90">
        <v>184300</v>
      </c>
      <c r="AB96" s="87">
        <v>0.15638405940328093</v>
      </c>
      <c r="AC96" s="87">
        <v>-1.6551530910691697E-2</v>
      </c>
      <c r="AD96" s="87">
        <v>3.4358813081510418E-2</v>
      </c>
      <c r="AE96" s="100">
        <v>0</v>
      </c>
      <c r="AF96" s="93">
        <v>-0.17539897522737499</v>
      </c>
      <c r="AG96" s="93">
        <v>-5.2019954066870225E-2</v>
      </c>
      <c r="AH96" s="93">
        <f t="shared" si="30"/>
        <v>-9.0933989698999323E-2</v>
      </c>
      <c r="AI96" s="93">
        <f t="shared" si="16"/>
        <v>-0.20840401347015114</v>
      </c>
      <c r="AJ96" s="93">
        <f t="shared" si="17"/>
        <v>-3.5468423156178527E-2</v>
      </c>
      <c r="AK96" s="115">
        <f t="shared" si="31"/>
        <v>-0.17341888930033611</v>
      </c>
      <c r="AL96" s="94">
        <f t="shared" si="19"/>
        <v>-0.10887798712205719</v>
      </c>
      <c r="AM96" s="94">
        <f t="shared" si="20"/>
        <v>-0.20034610010717901</v>
      </c>
      <c r="AN96" s="94">
        <f t="shared" si="32"/>
        <v>-8.6378767148380636E-2</v>
      </c>
      <c r="AO96" s="93">
        <v>0.12337902116050477</v>
      </c>
      <c r="AP96" s="93">
        <f t="shared" si="29"/>
        <v>8.4464985528375669E-2</v>
      </c>
      <c r="AQ96" s="94">
        <f t="shared" si="33"/>
        <v>1.9800859270388826E-3</v>
      </c>
      <c r="AR96" s="94">
        <f t="shared" si="34"/>
        <v>8.9020208078994356E-2</v>
      </c>
      <c r="AS96" s="93">
        <v>1.6972917420081113E-2</v>
      </c>
      <c r="AT96" s="93">
        <f t="shared" si="35"/>
        <v>-2.1941118212047986E-2</v>
      </c>
      <c r="AU96" s="94">
        <f t="shared" si="36"/>
        <v>-0.10442601781338479</v>
      </c>
      <c r="AV96" s="94">
        <f t="shared" si="37"/>
        <v>-1.7385895661429306E-2</v>
      </c>
      <c r="AW96" s="93">
        <v>-3.0648799366291635</v>
      </c>
      <c r="AX96" s="94">
        <f t="shared" si="38"/>
        <v>1.6606866079126517</v>
      </c>
      <c r="AY96" s="94">
        <f t="shared" si="39"/>
        <v>4.968324257231818</v>
      </c>
      <c r="AZ96" s="105">
        <v>0</v>
      </c>
      <c r="BA96" s="93">
        <v>0.23206328318683109</v>
      </c>
      <c r="BB96" s="93">
        <v>0.10954742607519184</v>
      </c>
      <c r="BC96" s="93">
        <v>-0.12251585711163925</v>
      </c>
      <c r="BD96" s="93">
        <v>0.1870658598681112</v>
      </c>
      <c r="BE96" s="93">
        <v>0.58560886605619589</v>
      </c>
      <c r="BF96" s="108">
        <v>0</v>
      </c>
      <c r="BG96" s="93">
        <v>0.19655390672931036</v>
      </c>
      <c r="BH96" s="93">
        <v>-3.2200594660398096E-2</v>
      </c>
      <c r="BI96" s="93">
        <v>-0.22875450138970846</v>
      </c>
      <c r="BJ96" s="93">
        <v>9.7837933790152667E-2</v>
      </c>
      <c r="BK96" s="93">
        <v>-0.32912177734112236</v>
      </c>
      <c r="BL96" s="108">
        <v>0</v>
      </c>
      <c r="BM96" s="93">
        <v>0.17867692868720533</v>
      </c>
      <c r="BN96" s="93">
        <v>1.9304304878795309E-2</v>
      </c>
      <c r="BO96" s="93">
        <v>-0.15937262380841002</v>
      </c>
      <c r="BP96" s="93">
        <v>0.11366210365875273</v>
      </c>
      <c r="BQ96" s="93">
        <v>0.1698394122349921</v>
      </c>
      <c r="BR96" s="93">
        <v>0</v>
      </c>
      <c r="BS96" s="93">
        <v>0.4182100784733887</v>
      </c>
      <c r="BT96" s="93">
        <v>0.11377719559679234</v>
      </c>
      <c r="BU96" s="93">
        <v>-0.30443288287659637</v>
      </c>
      <c r="BV96" s="93">
        <v>0.1404454426789537</v>
      </c>
      <c r="BW96" s="93">
        <v>0.81011667895039707</v>
      </c>
    </row>
    <row r="97" spans="1:75" s="85" customFormat="1" x14ac:dyDescent="0.2">
      <c r="A97" s="85" t="s">
        <v>682</v>
      </c>
      <c r="B97" s="85">
        <v>339</v>
      </c>
      <c r="C97" s="85">
        <v>64</v>
      </c>
      <c r="D97" s="85">
        <v>9164</v>
      </c>
      <c r="E97" s="111">
        <v>43421</v>
      </c>
      <c r="F97" s="85" t="s">
        <v>683</v>
      </c>
      <c r="G97" s="85">
        <v>5</v>
      </c>
      <c r="H97" s="85">
        <v>17</v>
      </c>
      <c r="I97" s="85">
        <v>100</v>
      </c>
      <c r="J97" s="87">
        <v>0.48402988086996801</v>
      </c>
      <c r="K97" s="87">
        <v>0.10685133469239788</v>
      </c>
      <c r="L97" s="87">
        <v>0.1753537654136291</v>
      </c>
      <c r="M97" s="87">
        <v>0.23376501902400498</v>
      </c>
      <c r="N97" s="87">
        <v>-1.6770997133702611E-2</v>
      </c>
      <c r="O97" s="87">
        <v>-4.983742206059228E-3</v>
      </c>
      <c r="P97" s="87">
        <v>-2.2011363072408151E-2</v>
      </c>
      <c r="Q97" s="87">
        <v>2.906225018684283E-3</v>
      </c>
      <c r="R97" s="88">
        <v>-1.1830584901029421E-2</v>
      </c>
      <c r="S97" s="87">
        <v>0.37863006250508185</v>
      </c>
      <c r="T97" s="87">
        <v>0.62136993749491809</v>
      </c>
      <c r="U97" s="87">
        <v>1.4979826032278349</v>
      </c>
      <c r="V97" s="87">
        <v>1.2426507224713503</v>
      </c>
      <c r="W97" s="87">
        <v>-2.4094027680243613E-3</v>
      </c>
      <c r="X97" s="87">
        <v>-4.3817164458070566E-2</v>
      </c>
      <c r="Y97" s="89">
        <v>-2.8138941061172838E-2</v>
      </c>
      <c r="Z97" s="90">
        <v>57175</v>
      </c>
      <c r="AA97" s="90">
        <v>249400</v>
      </c>
      <c r="AB97" s="87">
        <v>-4.983742206059228E-3</v>
      </c>
      <c r="AC97" s="87">
        <v>-2.2011363072408151E-2</v>
      </c>
      <c r="AD97" s="87">
        <v>-1.5564193919469621E-2</v>
      </c>
      <c r="AE97" s="100">
        <v>0</v>
      </c>
      <c r="AF97" s="93">
        <v>0.83814487922983227</v>
      </c>
      <c r="AG97" s="93">
        <v>0.85855375086103936</v>
      </c>
      <c r="AH97" s="93">
        <f t="shared" si="30"/>
        <v>0.87038433576206875</v>
      </c>
      <c r="AI97" s="93">
        <f t="shared" si="16"/>
        <v>0.86353749306709859</v>
      </c>
      <c r="AJ97" s="93">
        <f t="shared" si="17"/>
        <v>0.8805651139334475</v>
      </c>
      <c r="AK97" s="115">
        <f t="shared" si="31"/>
        <v>0.88669269192221223</v>
      </c>
      <c r="AL97" s="94">
        <f t="shared" si="19"/>
        <v>0.86096315362906373</v>
      </c>
      <c r="AM97" s="94">
        <f t="shared" si="20"/>
        <v>0.90237091531910996</v>
      </c>
      <c r="AN97" s="94">
        <f t="shared" si="32"/>
        <v>0.87411794478050897</v>
      </c>
      <c r="AO97" s="93">
        <v>2.0408871631207033E-2</v>
      </c>
      <c r="AP97" s="93">
        <f t="shared" si="29"/>
        <v>3.2239456532236477E-2</v>
      </c>
      <c r="AQ97" s="94">
        <f t="shared" si="33"/>
        <v>4.8547812692379955E-2</v>
      </c>
      <c r="AR97" s="94">
        <f t="shared" si="34"/>
        <v>3.5973065550676697E-2</v>
      </c>
      <c r="AS97" s="93">
        <v>0.86860408671454115</v>
      </c>
      <c r="AT97" s="93">
        <f t="shared" si="35"/>
        <v>0.88043467161557054</v>
      </c>
      <c r="AU97" s="94">
        <f t="shared" si="36"/>
        <v>0.89674302777571402</v>
      </c>
      <c r="AV97" s="94">
        <f t="shared" si="37"/>
        <v>0.88416828063401076</v>
      </c>
      <c r="AW97" s="93">
        <v>0.98842932469784162</v>
      </c>
      <c r="AX97" s="94">
        <f t="shared" si="38"/>
        <v>0.98879240145481728</v>
      </c>
      <c r="AY97" s="94">
        <f t="shared" si="39"/>
        <v>0.98863300564651002</v>
      </c>
      <c r="AZ97" s="105">
        <v>0</v>
      </c>
      <c r="BA97" s="93">
        <v>0.94322533259425745</v>
      </c>
      <c r="BB97" s="93">
        <v>0.8634859156271858</v>
      </c>
      <c r="BC97" s="93">
        <v>-7.9739416967071652E-2</v>
      </c>
      <c r="BD97" s="93">
        <v>0.90625083091512548</v>
      </c>
      <c r="BE97" s="93">
        <v>0.95281117122424486</v>
      </c>
      <c r="BF97" s="108">
        <v>0</v>
      </c>
      <c r="BG97" s="93">
        <v>0.9816177674887786</v>
      </c>
      <c r="BH97" s="93">
        <v>0.91636174763124134</v>
      </c>
      <c r="BI97" s="93">
        <v>-6.525601985753722E-2</v>
      </c>
      <c r="BJ97" s="93">
        <v>0.93329645890662738</v>
      </c>
      <c r="BK97" s="93">
        <v>0.98185494961030351</v>
      </c>
      <c r="BL97" s="108">
        <v>0</v>
      </c>
      <c r="BM97" s="93">
        <v>0.85996484568151665</v>
      </c>
      <c r="BN97" s="93">
        <v>0.68314259856876003</v>
      </c>
      <c r="BO97" s="93">
        <v>-0.17682224711275668</v>
      </c>
      <c r="BP97" s="93">
        <v>0.72325808353780541</v>
      </c>
      <c r="BQ97" s="93">
        <v>0.94453503406028849</v>
      </c>
      <c r="BR97" s="93">
        <v>0</v>
      </c>
      <c r="BS97" s="93">
        <v>1.2124937187061084</v>
      </c>
      <c r="BT97" s="93">
        <v>1.3435219811125125</v>
      </c>
      <c r="BU97" s="93">
        <v>0.131028262406404</v>
      </c>
      <c r="BV97" s="93">
        <v>1.3609137238243816</v>
      </c>
      <c r="BW97" s="93">
        <v>0.98722053984216174</v>
      </c>
    </row>
    <row r="98" spans="1:75" x14ac:dyDescent="0.2">
      <c r="A98" s="11" t="s">
        <v>682</v>
      </c>
      <c r="B98" s="11">
        <v>353</v>
      </c>
      <c r="C98" s="11">
        <v>67</v>
      </c>
      <c r="D98" s="11">
        <v>9167</v>
      </c>
      <c r="E98" s="112">
        <v>43422</v>
      </c>
      <c r="F98" s="11" t="s">
        <v>683</v>
      </c>
      <c r="G98" s="11">
        <v>5</v>
      </c>
      <c r="H98" s="11">
        <v>18</v>
      </c>
      <c r="I98" s="11">
        <v>5</v>
      </c>
      <c r="J98" s="8">
        <v>2.2253398624605996E-2</v>
      </c>
      <c r="K98" s="8">
        <v>4.0582584295527947E-3</v>
      </c>
      <c r="L98" s="8">
        <v>6.5344184621546259E-2</v>
      </c>
      <c r="M98" s="8">
        <v>0.90834415832429505</v>
      </c>
      <c r="N98" s="8">
        <v>0.44963937192514358</v>
      </c>
      <c r="O98" s="8">
        <v>6.5742586660350238E-2</v>
      </c>
      <c r="P98" s="8">
        <v>4.5194513172887474E-2</v>
      </c>
      <c r="Q98" s="8">
        <v>-8.2772445582675047E-3</v>
      </c>
      <c r="R98" s="21">
        <v>5.7074164583888806E-3</v>
      </c>
      <c r="S98" s="8">
        <v>5.8474287808064823E-2</v>
      </c>
      <c r="T98" s="8">
        <v>0.94152571219193515</v>
      </c>
      <c r="U98" s="8">
        <v>0.29575036500885343</v>
      </c>
      <c r="V98" s="8">
        <v>0.27189422699306193</v>
      </c>
      <c r="W98" s="8">
        <v>0.11814472365941471</v>
      </c>
      <c r="X98" s="8">
        <v>0.12372439832443351</v>
      </c>
      <c r="Y98" s="15">
        <v>0.12339813082219583</v>
      </c>
      <c r="Z98" s="5">
        <v>19041</v>
      </c>
      <c r="AA98" s="5">
        <v>207700</v>
      </c>
      <c r="AB98" s="8">
        <v>6.5742586660350238E-2</v>
      </c>
      <c r="AC98" s="8">
        <v>4.5194513172887474E-2</v>
      </c>
      <c r="AD98" s="8">
        <v>4.6396047135894639E-2</v>
      </c>
      <c r="AE98" s="12">
        <v>0</v>
      </c>
      <c r="AF98" s="74">
        <v>0.74235029193735469</v>
      </c>
      <c r="AG98" s="74">
        <v>1.2469063026897502</v>
      </c>
      <c r="AH98" s="74">
        <f t="shared" si="30"/>
        <v>1.2411988862313614</v>
      </c>
      <c r="AI98" s="74">
        <f t="shared" si="16"/>
        <v>1.1811637160294</v>
      </c>
      <c r="AJ98" s="74">
        <f t="shared" si="17"/>
        <v>1.2017117895168627</v>
      </c>
      <c r="AK98" s="116">
        <f t="shared" si="31"/>
        <v>1.1235081718675544</v>
      </c>
      <c r="AL98" s="83">
        <f t="shared" si="19"/>
        <v>1.1287615790303356</v>
      </c>
      <c r="AM98" s="83">
        <f t="shared" si="20"/>
        <v>1.1231819043653166</v>
      </c>
      <c r="AN98" s="83">
        <f t="shared" si="32"/>
        <v>1.2005102555538556</v>
      </c>
      <c r="AO98" s="74">
        <v>0.50455601075239553</v>
      </c>
      <c r="AP98" s="74">
        <f t="shared" si="29"/>
        <v>0.49884859429400674</v>
      </c>
      <c r="AQ98" s="83">
        <f t="shared" si="33"/>
        <v>0.38115787993019967</v>
      </c>
      <c r="AR98" s="83">
        <f t="shared" si="34"/>
        <v>0.45815996361650091</v>
      </c>
      <c r="AS98" s="74">
        <v>0.65249396281549399</v>
      </c>
      <c r="AT98" s="74">
        <f t="shared" si="35"/>
        <v>0.64678654635710509</v>
      </c>
      <c r="AU98" s="83">
        <f t="shared" si="36"/>
        <v>0.52909583199329813</v>
      </c>
      <c r="AV98" s="83">
        <f t="shared" si="37"/>
        <v>0.60609791567959936</v>
      </c>
      <c r="AW98" s="74">
        <v>1.9109851948811647</v>
      </c>
      <c r="AX98" s="83">
        <f t="shared" si="38"/>
        <v>2.1234492958201669</v>
      </c>
      <c r="AY98" s="83">
        <f t="shared" si="39"/>
        <v>1.9807199868155949</v>
      </c>
      <c r="AZ98" s="102">
        <v>0</v>
      </c>
      <c r="BA98" s="74">
        <v>0.37101642223456871</v>
      </c>
      <c r="BB98" s="74">
        <v>0.54244905056683002</v>
      </c>
      <c r="BC98" s="74">
        <v>0.17143262833226131</v>
      </c>
      <c r="BD98" s="74">
        <v>0.4573603194583496</v>
      </c>
      <c r="BE98" s="74">
        <v>1.1860430988181283</v>
      </c>
      <c r="BF98" s="109">
        <v>0</v>
      </c>
      <c r="BG98" s="74">
        <v>0.25737358608416988</v>
      </c>
      <c r="BH98" s="74">
        <v>0.1864417900925443</v>
      </c>
      <c r="BI98" s="74">
        <v>-7.0931795991625579E-2</v>
      </c>
      <c r="BJ98" s="74">
        <v>0.33527580376036192</v>
      </c>
      <c r="BK98" s="74">
        <v>0.55608483523554064</v>
      </c>
      <c r="BL98" s="109">
        <v>0</v>
      </c>
      <c r="BM98" s="74">
        <v>0.3037970966806835</v>
      </c>
      <c r="BN98" s="74">
        <v>0.51614235249634066</v>
      </c>
      <c r="BO98" s="74">
        <v>0.21234525581565711</v>
      </c>
      <c r="BP98" s="74">
        <v>0.53647415946136268</v>
      </c>
      <c r="BQ98" s="74">
        <v>0.96210105070962637</v>
      </c>
      <c r="BR98" s="74">
        <v>0</v>
      </c>
      <c r="BS98" s="74">
        <v>0.48205484478654043</v>
      </c>
      <c r="BT98" s="74">
        <v>0.22885894840592874</v>
      </c>
      <c r="BU98" s="74">
        <v>-0.25319589638061168</v>
      </c>
      <c r="BV98" s="74">
        <v>0.2013658078257301</v>
      </c>
      <c r="BW98" s="74">
        <v>1.1365333115738909</v>
      </c>
    </row>
    <row r="99" spans="1:75" x14ac:dyDescent="0.2">
      <c r="A99" s="11" t="s">
        <v>682</v>
      </c>
      <c r="B99" s="11">
        <v>353</v>
      </c>
      <c r="C99" s="11">
        <v>67</v>
      </c>
      <c r="D99" s="11">
        <v>9167</v>
      </c>
      <c r="E99" s="112">
        <v>43422</v>
      </c>
      <c r="F99" s="11" t="s">
        <v>683</v>
      </c>
      <c r="G99" s="11">
        <v>5</v>
      </c>
      <c r="H99" s="11">
        <v>18</v>
      </c>
      <c r="I99" s="11">
        <v>12</v>
      </c>
      <c r="J99" s="8">
        <v>4.6168516092709409E-2</v>
      </c>
      <c r="K99" s="8">
        <v>6.8421227461182149E-3</v>
      </c>
      <c r="L99" s="8">
        <v>9.6545509083166142E-2</v>
      </c>
      <c r="M99" s="8">
        <v>0.85044385207800621</v>
      </c>
      <c r="N99" s="8">
        <v>0.38131008608339284</v>
      </c>
      <c r="O99" s="8">
        <v>9.838455391770487E-2</v>
      </c>
      <c r="P99" s="8">
        <v>8.0726744968006831E-2</v>
      </c>
      <c r="Q99" s="8">
        <v>1.3519483256469962E-2</v>
      </c>
      <c r="R99" s="21">
        <v>3.7569046148180116E-2</v>
      </c>
      <c r="S99" s="8">
        <v>6.6179315891634505E-2</v>
      </c>
      <c r="T99" s="8">
        <v>0.9338206841083655</v>
      </c>
      <c r="U99" s="8">
        <v>0.32854718262050236</v>
      </c>
      <c r="V99" s="8">
        <v>0.2863359442993908</v>
      </c>
      <c r="W99" s="8">
        <v>0.13280595515787585</v>
      </c>
      <c r="X99" s="8">
        <v>0.13742594726907154</v>
      </c>
      <c r="Y99" s="15">
        <v>0.13712019935172787</v>
      </c>
      <c r="Z99" s="5">
        <v>19358</v>
      </c>
      <c r="AA99" s="5">
        <v>197400</v>
      </c>
      <c r="AB99" s="8">
        <v>9.838455391770487E-2</v>
      </c>
      <c r="AC99" s="8">
        <v>8.0726744968006831E-2</v>
      </c>
      <c r="AD99" s="8">
        <v>8.1895326684443034E-2</v>
      </c>
      <c r="AE99" s="12">
        <v>0</v>
      </c>
      <c r="AF99" s="74">
        <v>0.33871205111139785</v>
      </c>
      <c r="AG99" s="74">
        <v>0.62290979948056768</v>
      </c>
      <c r="AH99" s="74">
        <f t="shared" si="30"/>
        <v>0.58534075333238755</v>
      </c>
      <c r="AI99" s="74">
        <f t="shared" si="16"/>
        <v>0.52452524556286284</v>
      </c>
      <c r="AJ99" s="74">
        <f t="shared" si="17"/>
        <v>0.54218305451256088</v>
      </c>
      <c r="AK99" s="116">
        <f t="shared" si="31"/>
        <v>0.48578960012883982</v>
      </c>
      <c r="AL99" s="83">
        <f t="shared" si="19"/>
        <v>0.49010384432269183</v>
      </c>
      <c r="AM99" s="83">
        <f t="shared" si="20"/>
        <v>0.48548385221149615</v>
      </c>
      <c r="AN99" s="83">
        <f t="shared" si="32"/>
        <v>0.54101447279612469</v>
      </c>
      <c r="AO99" s="74">
        <v>0.28419774836916989</v>
      </c>
      <c r="AP99" s="74">
        <f t="shared" si="29"/>
        <v>0.2466287022209897</v>
      </c>
      <c r="AQ99" s="83">
        <f t="shared" si="33"/>
        <v>0.14707754901744197</v>
      </c>
      <c r="AR99" s="83">
        <f t="shared" si="34"/>
        <v>0.20230242168472684</v>
      </c>
      <c r="AS99" s="74">
        <v>0.72957835979840935</v>
      </c>
      <c r="AT99" s="74">
        <f t="shared" si="35"/>
        <v>0.69200931365022922</v>
      </c>
      <c r="AU99" s="83">
        <f t="shared" si="36"/>
        <v>0.59245816044668143</v>
      </c>
      <c r="AV99" s="83">
        <f t="shared" si="37"/>
        <v>0.64768303311396636</v>
      </c>
      <c r="AW99" s="74">
        <v>0.85379423760963058</v>
      </c>
      <c r="AX99" s="83">
        <f t="shared" si="38"/>
        <v>0.8199559607088216</v>
      </c>
      <c r="AY99" s="83">
        <f t="shared" si="39"/>
        <v>0.8353074654356859</v>
      </c>
      <c r="AZ99" s="102">
        <v>0</v>
      </c>
      <c r="BA99" s="74">
        <v>0.2684431604451607</v>
      </c>
      <c r="BB99" s="74">
        <v>0.32789383213954298</v>
      </c>
      <c r="BC99" s="74">
        <v>5.9450671694382298E-2</v>
      </c>
      <c r="BD99" s="74">
        <v>0.22103369852894944</v>
      </c>
      <c r="BE99" s="74">
        <v>1.4834562979391026</v>
      </c>
      <c r="BF99" s="109">
        <v>0</v>
      </c>
      <c r="BG99" s="74">
        <v>0.26662459765637381</v>
      </c>
      <c r="BH99" s="74">
        <v>0.33888688869142797</v>
      </c>
      <c r="BI99" s="74">
        <v>7.226229103505416E-2</v>
      </c>
      <c r="BJ99" s="74">
        <v>0.37492092151642298</v>
      </c>
      <c r="BK99" s="74">
        <v>0.90388897829640968</v>
      </c>
      <c r="BL99" s="109">
        <v>0</v>
      </c>
      <c r="BM99" s="74">
        <v>0.23883017546376015</v>
      </c>
      <c r="BN99" s="74">
        <v>0.52188560877509882</v>
      </c>
      <c r="BO99" s="74">
        <v>0.28305543331133864</v>
      </c>
      <c r="BP99" s="74">
        <v>0.62037785051133576</v>
      </c>
      <c r="BQ99" s="74">
        <v>0.8412383007306653</v>
      </c>
      <c r="BR99" s="74">
        <v>0</v>
      </c>
      <c r="BS99" s="74">
        <v>0.26705366711569473</v>
      </c>
      <c r="BT99" s="74">
        <v>2.2158869869122771E-2</v>
      </c>
      <c r="BU99" s="74">
        <v>-0.24489479724657195</v>
      </c>
      <c r="BV99" s="74">
        <v>0.24634899375400357</v>
      </c>
      <c r="BW99" s="74">
        <v>8.9949098356171611E-2</v>
      </c>
    </row>
    <row r="100" spans="1:75" x14ac:dyDescent="0.2">
      <c r="A100" s="11" t="s">
        <v>682</v>
      </c>
      <c r="B100" s="11">
        <v>353</v>
      </c>
      <c r="C100" s="11">
        <v>67</v>
      </c>
      <c r="D100" s="11">
        <v>9167</v>
      </c>
      <c r="E100" s="112">
        <v>43422</v>
      </c>
      <c r="F100" s="11" t="s">
        <v>683</v>
      </c>
      <c r="G100" s="11">
        <v>5</v>
      </c>
      <c r="H100" s="11">
        <v>18</v>
      </c>
      <c r="I100" s="11">
        <v>30</v>
      </c>
      <c r="J100" s="8">
        <v>0.24422420709068557</v>
      </c>
      <c r="K100" s="8">
        <v>2.3666843790486218E-2</v>
      </c>
      <c r="L100" s="8">
        <v>0.13945630423553657</v>
      </c>
      <c r="M100" s="8">
        <v>0.59265264488329172</v>
      </c>
      <c r="N100" s="8">
        <v>0.17310919276430281</v>
      </c>
      <c r="O100" s="8">
        <v>6.7041233792257238E-2</v>
      </c>
      <c r="P100" s="8">
        <v>3.6487438525967409E-3</v>
      </c>
      <c r="Q100" s="8">
        <v>1.2423326814559423E-3</v>
      </c>
      <c r="R100" s="21">
        <v>4.5109221832928405E-2</v>
      </c>
      <c r="S100" s="8">
        <v>0.14508574703763494</v>
      </c>
      <c r="T100" s="8">
        <v>0.85491425296236512</v>
      </c>
      <c r="U100" s="8">
        <v>0.39615051367743531</v>
      </c>
      <c r="V100" s="8">
        <v>0.33165433653392096</v>
      </c>
      <c r="W100" s="8">
        <v>0.14123988643121679</v>
      </c>
      <c r="X100" s="8">
        <v>0.1832275512069319</v>
      </c>
      <c r="Y100" s="15">
        <v>0.17713573949658151</v>
      </c>
      <c r="Z100" s="5">
        <v>19203</v>
      </c>
      <c r="AA100" s="5">
        <v>210700</v>
      </c>
      <c r="AB100" s="8">
        <v>6.7041233792257238E-2</v>
      </c>
      <c r="AC100" s="8">
        <v>3.6487438525967409E-3</v>
      </c>
      <c r="AD100" s="8">
        <v>1.2846090612068142E-2</v>
      </c>
      <c r="AE100" s="12">
        <v>0</v>
      </c>
      <c r="AF100" s="74">
        <v>-8.1658166987624403E-2</v>
      </c>
      <c r="AG100" s="74">
        <v>-3.3060292021746089E-2</v>
      </c>
      <c r="AH100" s="74">
        <f t="shared" si="30"/>
        <v>-7.8169513854674494E-2</v>
      </c>
      <c r="AI100" s="74">
        <f t="shared" si="16"/>
        <v>-0.10010152581400333</v>
      </c>
      <c r="AJ100" s="74">
        <f t="shared" si="17"/>
        <v>-3.6709035874342828E-2</v>
      </c>
      <c r="AK100" s="116">
        <f t="shared" si="31"/>
        <v>-0.21019603151832761</v>
      </c>
      <c r="AL100" s="83">
        <f t="shared" si="19"/>
        <v>-0.17430017845296289</v>
      </c>
      <c r="AM100" s="83">
        <f t="shared" si="20"/>
        <v>-0.216287843228678</v>
      </c>
      <c r="AN100" s="83">
        <f t="shared" si="32"/>
        <v>-4.5906382633814233E-2</v>
      </c>
      <c r="AO100" s="74">
        <v>4.8597874965878314E-2</v>
      </c>
      <c r="AP100" s="74">
        <f t="shared" si="29"/>
        <v>3.4886531329499093E-3</v>
      </c>
      <c r="AQ100" s="83">
        <f t="shared" si="33"/>
        <v>-0.12853786453070321</v>
      </c>
      <c r="AR100" s="83">
        <f t="shared" si="34"/>
        <v>3.575178435381017E-2</v>
      </c>
      <c r="AS100" s="74">
        <v>0.22535139812992133</v>
      </c>
      <c r="AT100" s="74">
        <f t="shared" si="35"/>
        <v>0.18024217629699293</v>
      </c>
      <c r="AU100" s="83">
        <f t="shared" si="36"/>
        <v>4.821565863333982E-2</v>
      </c>
      <c r="AV100" s="83">
        <f t="shared" si="37"/>
        <v>0.21250530751785318</v>
      </c>
      <c r="AW100" s="74">
        <v>-0.14670551102010876</v>
      </c>
      <c r="AX100" s="83">
        <f t="shared" si="38"/>
        <v>-4.3594972562084378</v>
      </c>
      <c r="AY100" s="83">
        <f t="shared" si="39"/>
        <v>-0.21602464037260577</v>
      </c>
      <c r="AZ100" s="102">
        <v>0</v>
      </c>
      <c r="BA100" s="74">
        <v>0.18425465606223809</v>
      </c>
      <c r="BB100" s="74">
        <v>0.24906691945363527</v>
      </c>
      <c r="BC100" s="74">
        <v>6.4812263391397174E-2</v>
      </c>
      <c r="BD100" s="74">
        <v>0.16894193403891047</v>
      </c>
      <c r="BE100" s="74">
        <v>1.4742752938786088</v>
      </c>
      <c r="BF100" s="109">
        <v>0</v>
      </c>
      <c r="BG100" s="74">
        <v>0.17752798881333529</v>
      </c>
      <c r="BH100" s="74">
        <v>4.3423062544167335E-2</v>
      </c>
      <c r="BI100" s="74">
        <v>-0.13410492626916795</v>
      </c>
      <c r="BJ100" s="74">
        <v>0.17907048487730956</v>
      </c>
      <c r="BK100" s="74">
        <v>0.24249145566294031</v>
      </c>
      <c r="BL100" s="109">
        <v>0</v>
      </c>
      <c r="BM100" s="74">
        <v>0.30171617797783501</v>
      </c>
      <c r="BN100" s="74">
        <v>0.32632198878003521</v>
      </c>
      <c r="BO100" s="74">
        <v>2.4605810802200194E-2</v>
      </c>
      <c r="BP100" s="74">
        <v>0.34080000796068827</v>
      </c>
      <c r="BQ100" s="74">
        <v>0.95751755034488406</v>
      </c>
      <c r="BR100" s="74">
        <v>0</v>
      </c>
      <c r="BS100" s="74">
        <v>0.79487321943018097</v>
      </c>
      <c r="BT100" s="74">
        <v>0.40810024433416908</v>
      </c>
      <c r="BU100" s="74">
        <v>-0.38677297509601188</v>
      </c>
      <c r="BV100" s="74">
        <v>0.50509251032147873</v>
      </c>
      <c r="BW100" s="74">
        <v>0.80797128445722444</v>
      </c>
    </row>
    <row r="101" spans="1:75" x14ac:dyDescent="0.2">
      <c r="A101" s="11" t="s">
        <v>682</v>
      </c>
      <c r="B101" s="11">
        <v>353</v>
      </c>
      <c r="C101" s="11">
        <v>67</v>
      </c>
      <c r="D101" s="11">
        <v>9167</v>
      </c>
      <c r="E101" s="112">
        <v>43422</v>
      </c>
      <c r="F101" s="11" t="s">
        <v>683</v>
      </c>
      <c r="G101" s="11">
        <v>5</v>
      </c>
      <c r="H101" s="11">
        <v>18</v>
      </c>
      <c r="I101" s="11">
        <v>50</v>
      </c>
      <c r="J101" s="8">
        <v>0.40537391551225066</v>
      </c>
      <c r="K101" s="8">
        <v>4.054039443438294E-2</v>
      </c>
      <c r="L101" s="8">
        <v>0.12280005932696587</v>
      </c>
      <c r="M101" s="8">
        <v>0.43128563072640058</v>
      </c>
      <c r="N101" s="8">
        <v>0.11501775541311605</v>
      </c>
      <c r="O101" s="8">
        <v>6.8003714647012325E-2</v>
      </c>
      <c r="P101" s="8">
        <v>-3.2283625383370408E-2</v>
      </c>
      <c r="Q101" s="8">
        <v>-1.2904939188475831E-2</v>
      </c>
      <c r="R101" s="21">
        <v>3.985194933028325E-2</v>
      </c>
      <c r="S101" s="8">
        <v>0.24819567658122912</v>
      </c>
      <c r="T101" s="8">
        <v>0.7518043234187709</v>
      </c>
      <c r="U101" s="8">
        <v>0.65477488705405829</v>
      </c>
      <c r="V101" s="8">
        <v>0.47719166510230898</v>
      </c>
      <c r="W101" s="8">
        <v>2.8260507139359292E-2</v>
      </c>
      <c r="X101" s="8">
        <v>0.19517140760767013</v>
      </c>
      <c r="Y101" s="15">
        <v>0.15374484373715552</v>
      </c>
      <c r="Z101" s="5">
        <v>25218</v>
      </c>
      <c r="AA101" s="5">
        <v>254200</v>
      </c>
      <c r="AB101" s="8">
        <v>6.8003714647012325E-2</v>
      </c>
      <c r="AC101" s="8">
        <v>-3.2283625383370408E-2</v>
      </c>
      <c r="AD101" s="8">
        <v>-7.3927411719977819E-3</v>
      </c>
      <c r="AE101" s="12">
        <v>0</v>
      </c>
      <c r="AF101" s="74">
        <v>7.4280600659407297E-3</v>
      </c>
      <c r="AG101" s="74">
        <v>-2.7663259745329332E-2</v>
      </c>
      <c r="AH101" s="74">
        <f t="shared" si="30"/>
        <v>-6.7515209075612578E-2</v>
      </c>
      <c r="AI101" s="74">
        <f t="shared" si="16"/>
        <v>-9.5666974392341661E-2</v>
      </c>
      <c r="AJ101" s="74">
        <f t="shared" si="17"/>
        <v>4.6203656380410761E-3</v>
      </c>
      <c r="AK101" s="116">
        <f t="shared" si="31"/>
        <v>-0.18140810348248484</v>
      </c>
      <c r="AL101" s="83">
        <f t="shared" si="19"/>
        <v>-5.5923766884688628E-2</v>
      </c>
      <c r="AM101" s="83">
        <f t="shared" si="20"/>
        <v>-0.22283466735299945</v>
      </c>
      <c r="AN101" s="83">
        <f t="shared" si="32"/>
        <v>-2.027051857333155E-2</v>
      </c>
      <c r="AO101" s="74">
        <v>-3.5091319811270061E-2</v>
      </c>
      <c r="AP101" s="74">
        <f t="shared" si="29"/>
        <v>-7.4943269141553304E-2</v>
      </c>
      <c r="AQ101" s="83">
        <f t="shared" si="33"/>
        <v>-0.18883616354842558</v>
      </c>
      <c r="AR101" s="83">
        <f t="shared" si="34"/>
        <v>-2.7698578639272279E-2</v>
      </c>
      <c r="AS101" s="74">
        <v>0.21808012348612155</v>
      </c>
      <c r="AT101" s="74">
        <f t="shared" si="35"/>
        <v>0.1782281741558383</v>
      </c>
      <c r="AU101" s="83">
        <f t="shared" si="36"/>
        <v>6.4335279748966023E-2</v>
      </c>
      <c r="AV101" s="83">
        <f t="shared" si="37"/>
        <v>0.22547286465811933</v>
      </c>
      <c r="AW101" s="74">
        <v>-0.12684906493594222</v>
      </c>
      <c r="AX101" s="83">
        <f t="shared" si="38"/>
        <v>-2.8197297686484433</v>
      </c>
      <c r="AY101" s="83">
        <f t="shared" si="39"/>
        <v>-8.9902253222654493E-2</v>
      </c>
      <c r="AZ101" s="102">
        <v>0</v>
      </c>
      <c r="BA101" s="74">
        <v>0.19185036317520074</v>
      </c>
      <c r="BB101" s="74">
        <v>0.17037133149807654</v>
      </c>
      <c r="BC101" s="74">
        <v>-2.1479031677124186E-2</v>
      </c>
      <c r="BD101" s="74">
        <v>0.19745960193971132</v>
      </c>
      <c r="BE101" s="74">
        <v>0.86281613972915117</v>
      </c>
      <c r="BF101" s="109">
        <v>0</v>
      </c>
      <c r="BG101" s="74">
        <v>0.21191450091271505</v>
      </c>
      <c r="BH101" s="74">
        <v>4.8057009275176227E-2</v>
      </c>
      <c r="BI101" s="74">
        <v>-0.16385749163753882</v>
      </c>
      <c r="BJ101" s="74">
        <v>0.1062894217147627</v>
      </c>
      <c r="BK101" s="74">
        <v>0.45213350961812143</v>
      </c>
      <c r="BL101" s="109">
        <v>0</v>
      </c>
      <c r="BM101" s="74">
        <v>0.121644181864821</v>
      </c>
      <c r="BN101" s="74">
        <v>-3.8303064770139492E-2</v>
      </c>
      <c r="BO101" s="74">
        <v>-0.15994724663496049</v>
      </c>
      <c r="BP101" s="74">
        <v>-3.9638178453108755E-2</v>
      </c>
      <c r="BQ101" s="74">
        <v>0.96631748140120322</v>
      </c>
      <c r="BR101" s="74">
        <v>0</v>
      </c>
      <c r="BS101" s="74">
        <v>0.71365886815218216</v>
      </c>
      <c r="BT101" s="74">
        <v>0.14604943253601388</v>
      </c>
      <c r="BU101" s="74">
        <v>-0.56760943561616828</v>
      </c>
      <c r="BV101" s="74">
        <v>0.14604943253601388</v>
      </c>
      <c r="BW101" s="74">
        <v>1</v>
      </c>
    </row>
    <row r="102" spans="1:75" x14ac:dyDescent="0.2">
      <c r="A102" s="11" t="s">
        <v>682</v>
      </c>
      <c r="B102" s="11">
        <v>353</v>
      </c>
      <c r="C102" s="11">
        <v>67</v>
      </c>
      <c r="D102" s="11">
        <v>9167</v>
      </c>
      <c r="E102" s="112">
        <v>43422</v>
      </c>
      <c r="F102" s="11" t="s">
        <v>683</v>
      </c>
      <c r="G102" s="11">
        <v>5</v>
      </c>
      <c r="H102" s="11">
        <v>18</v>
      </c>
      <c r="I102" s="11">
        <v>60</v>
      </c>
      <c r="J102" s="8">
        <v>0.35503577773960376</v>
      </c>
      <c r="K102" s="8">
        <v>6.0641039930801478E-2</v>
      </c>
      <c r="L102" s="8">
        <v>0.13651904216434627</v>
      </c>
      <c r="M102" s="8">
        <v>0.44780414016524844</v>
      </c>
      <c r="N102" s="8">
        <v>3.5981256660107069E-2</v>
      </c>
      <c r="O102" s="8">
        <v>5.8745750000475834E-2</v>
      </c>
      <c r="P102" s="8">
        <v>-9.3986687381899421E-3</v>
      </c>
      <c r="Q102" s="8">
        <v>-3.5733248731677821E-3</v>
      </c>
      <c r="R102" s="21">
        <v>1.3453789887795478E-2</v>
      </c>
      <c r="S102" s="8">
        <v>0.30757260438518502</v>
      </c>
      <c r="T102" s="8">
        <v>0.69242739561481492</v>
      </c>
      <c r="U102" s="8">
        <v>0.96161183871300404</v>
      </c>
      <c r="V102" s="8">
        <v>0.55643449739533091</v>
      </c>
      <c r="W102" s="8">
        <v>-2.8855097881738661E-2</v>
      </c>
      <c r="X102" s="8">
        <v>0.27697319778308238</v>
      </c>
      <c r="Y102" s="15">
        <v>0.18290879239077096</v>
      </c>
      <c r="Z102" s="5">
        <v>37299</v>
      </c>
      <c r="AA102" s="5">
        <v>288400</v>
      </c>
      <c r="AB102" s="8">
        <v>5.8745750000475834E-2</v>
      </c>
      <c r="AC102" s="8">
        <v>-9.3986687381899421E-3</v>
      </c>
      <c r="AD102" s="8">
        <v>1.1560687607576097E-2</v>
      </c>
      <c r="AE102" s="12">
        <v>0</v>
      </c>
      <c r="AF102" s="74">
        <v>0.18804552656638221</v>
      </c>
      <c r="AG102" s="74">
        <v>0.2303479062570718</v>
      </c>
      <c r="AH102" s="74">
        <f t="shared" si="30"/>
        <v>0.21689411636927633</v>
      </c>
      <c r="AI102" s="74">
        <f t="shared" si="16"/>
        <v>0.17160215625659597</v>
      </c>
      <c r="AJ102" s="74">
        <f t="shared" si="17"/>
        <v>0.23974657499526175</v>
      </c>
      <c r="AK102" s="116">
        <f t="shared" si="31"/>
        <v>4.7439113866300842E-2</v>
      </c>
      <c r="AL102" s="83">
        <f t="shared" si="19"/>
        <v>0.25920300413881048</v>
      </c>
      <c r="AM102" s="83">
        <f t="shared" si="20"/>
        <v>-4.6625291526010582E-2</v>
      </c>
      <c r="AN102" s="83">
        <f t="shared" si="32"/>
        <v>0.21878721864949571</v>
      </c>
      <c r="AO102" s="74">
        <v>4.2302379690689583E-2</v>
      </c>
      <c r="AP102" s="74">
        <f t="shared" si="29"/>
        <v>2.884858980289412E-2</v>
      </c>
      <c r="AQ102" s="83">
        <f t="shared" si="33"/>
        <v>-0.14060641270008137</v>
      </c>
      <c r="AR102" s="83">
        <f t="shared" si="34"/>
        <v>3.0741692083113503E-2</v>
      </c>
      <c r="AS102" s="74">
        <v>9.766146509811327E-2</v>
      </c>
      <c r="AT102" s="74">
        <f t="shared" si="35"/>
        <v>8.4207675210317787E-2</v>
      </c>
      <c r="AU102" s="83">
        <f t="shared" si="36"/>
        <v>-8.5247327292657687E-2</v>
      </c>
      <c r="AV102" s="83">
        <f t="shared" si="37"/>
        <v>8.610077749053717E-2</v>
      </c>
      <c r="AW102" s="74">
        <v>2.358636602734336</v>
      </c>
      <c r="AX102" s="83">
        <f t="shared" si="38"/>
        <v>-0.55648799056702802</v>
      </c>
      <c r="AY102" s="83">
        <f t="shared" si="39"/>
        <v>2.5410597328641003</v>
      </c>
      <c r="AZ102" s="102">
        <v>0</v>
      </c>
      <c r="BA102" s="74">
        <v>0.44704101266664198</v>
      </c>
      <c r="BB102" s="74">
        <v>0.39583841358826266</v>
      </c>
      <c r="BC102" s="74">
        <v>-5.1202599078379318E-2</v>
      </c>
      <c r="BD102" s="74">
        <v>0.4014712850897354</v>
      </c>
      <c r="BE102" s="74">
        <v>0.98596942867230541</v>
      </c>
      <c r="BF102" s="109">
        <v>0</v>
      </c>
      <c r="BG102" s="74">
        <v>0.37139667112193847</v>
      </c>
      <c r="BH102" s="74">
        <v>0.17625116658874812</v>
      </c>
      <c r="BI102" s="74">
        <v>-0.19514550453319035</v>
      </c>
      <c r="BJ102" s="74">
        <v>0.17670591875665784</v>
      </c>
      <c r="BK102" s="74">
        <v>0.99742650290884738</v>
      </c>
      <c r="BL102" s="109">
        <v>0</v>
      </c>
      <c r="BM102" s="74">
        <v>0.34704413101822201</v>
      </c>
      <c r="BN102" s="74">
        <v>0.21820097951715492</v>
      </c>
      <c r="BO102" s="74">
        <v>-0.12884315150106709</v>
      </c>
      <c r="BP102" s="74">
        <v>-9.8658029345161657E-3</v>
      </c>
      <c r="BQ102" s="74">
        <v>-22.116900263004883</v>
      </c>
      <c r="BR102" s="74">
        <v>0</v>
      </c>
      <c r="BS102" s="74">
        <v>0.38357609660237441</v>
      </c>
      <c r="BT102" s="74">
        <v>0.21927304531109812</v>
      </c>
      <c r="BU102" s="74">
        <v>-0.16430305129127629</v>
      </c>
      <c r="BV102" s="74">
        <v>-0.16193508515150618</v>
      </c>
      <c r="BW102" s="74">
        <v>-1.354079908661836</v>
      </c>
    </row>
    <row r="103" spans="1:75" ht="17" thickBot="1" x14ac:dyDescent="0.25">
      <c r="A103" s="11" t="s">
        <v>682</v>
      </c>
      <c r="B103" s="11">
        <v>353</v>
      </c>
      <c r="C103" s="11">
        <v>67</v>
      </c>
      <c r="D103" s="11">
        <v>9167</v>
      </c>
      <c r="E103" s="112">
        <v>43422</v>
      </c>
      <c r="F103" s="11" t="s">
        <v>683</v>
      </c>
      <c r="G103" s="11">
        <v>5</v>
      </c>
      <c r="H103" s="11">
        <v>18</v>
      </c>
      <c r="I103" s="11">
        <v>70</v>
      </c>
      <c r="J103" s="8">
        <v>0.42234127655380432</v>
      </c>
      <c r="K103" s="8">
        <v>0.10200647588224346</v>
      </c>
      <c r="L103" s="8">
        <v>0.11389379071660372</v>
      </c>
      <c r="M103" s="8">
        <v>0.36175845684734842</v>
      </c>
      <c r="N103" s="8">
        <v>1.2170744498059004E-2</v>
      </c>
      <c r="O103" s="8">
        <v>6.900787282639079E-3</v>
      </c>
      <c r="P103" s="8">
        <v>4.8529086265768663E-3</v>
      </c>
      <c r="Q103" s="8">
        <v>-3.2683041121702193E-2</v>
      </c>
      <c r="R103" s="21">
        <v>-5.426517602347824E-3</v>
      </c>
      <c r="S103" s="8">
        <v>0.47247035628620265</v>
      </c>
      <c r="T103" s="8">
        <v>0.5275296437137974</v>
      </c>
      <c r="U103" s="8">
        <v>1.1875383805596982</v>
      </c>
      <c r="V103" s="8">
        <v>0.7675070028011205</v>
      </c>
      <c r="W103" s="8">
        <v>-9.0082711085859735E-3</v>
      </c>
      <c r="X103" s="8">
        <v>0.21587147624931904</v>
      </c>
      <c r="Y103" s="15">
        <v>0.10962246189357842</v>
      </c>
      <c r="Z103" s="5">
        <v>54147</v>
      </c>
      <c r="AA103" s="5">
        <v>274000</v>
      </c>
      <c r="AB103" s="8">
        <v>6.900787282639079E-3</v>
      </c>
      <c r="AC103" s="8">
        <v>4.8529086265768663E-3</v>
      </c>
      <c r="AD103" s="8">
        <v>5.8204705848374904E-3</v>
      </c>
      <c r="AE103" s="12">
        <v>0</v>
      </c>
      <c r="AF103" s="74">
        <v>-0.12425836919726263</v>
      </c>
      <c r="AG103" s="74">
        <v>-0.35605998325458676</v>
      </c>
      <c r="AH103" s="74">
        <f t="shared" si="30"/>
        <v>-0.35063346565223896</v>
      </c>
      <c r="AI103" s="74">
        <f t="shared" si="16"/>
        <v>-0.36296077053722586</v>
      </c>
      <c r="AJ103" s="74">
        <f t="shared" si="17"/>
        <v>-0.36091289188116366</v>
      </c>
      <c r="AK103" s="119">
        <f t="shared" si="31"/>
        <v>-0.4656824451481652</v>
      </c>
      <c r="AL103" s="83">
        <f t="shared" si="19"/>
        <v>-0.34705171214600078</v>
      </c>
      <c r="AM103" s="83">
        <f t="shared" si="20"/>
        <v>-0.57193145950390578</v>
      </c>
      <c r="AN103" s="83">
        <f t="shared" si="32"/>
        <v>-0.36188045383942424</v>
      </c>
      <c r="AO103" s="74">
        <v>-0.23180161405732416</v>
      </c>
      <c r="AP103" s="74">
        <f t="shared" si="29"/>
        <v>-0.22637509645497633</v>
      </c>
      <c r="AQ103" s="83">
        <f t="shared" si="33"/>
        <v>-0.34142407595090257</v>
      </c>
      <c r="AR103" s="83">
        <f t="shared" si="34"/>
        <v>-0.23762208464216161</v>
      </c>
      <c r="AS103" s="74">
        <v>-0.10716393583796259</v>
      </c>
      <c r="AT103" s="74">
        <f t="shared" si="35"/>
        <v>-0.10173741823561476</v>
      </c>
      <c r="AU103" s="83">
        <f t="shared" si="36"/>
        <v>-0.21678639773154101</v>
      </c>
      <c r="AV103" s="83">
        <f t="shared" si="37"/>
        <v>-0.11298440642280008</v>
      </c>
      <c r="AW103" s="74">
        <v>3.3225728457096597</v>
      </c>
      <c r="AX103" s="83">
        <f t="shared" si="38"/>
        <v>2.1481165332376913</v>
      </c>
      <c r="AY103" s="83">
        <f t="shared" si="39"/>
        <v>3.2029238838962235</v>
      </c>
      <c r="AZ103" s="102">
        <v>0</v>
      </c>
      <c r="BA103" s="74">
        <v>8.6976827178809446E-2</v>
      </c>
      <c r="BB103" s="74">
        <v>-6.3507004324630273E-2</v>
      </c>
      <c r="BC103" s="74">
        <v>-0.15048383150343972</v>
      </c>
      <c r="BD103" s="74">
        <v>-2.0640560334196242E-2</v>
      </c>
      <c r="BE103" s="74">
        <v>3.0768062153533235</v>
      </c>
      <c r="BF103" s="109">
        <v>0</v>
      </c>
      <c r="BG103" s="74">
        <v>1.9705782703208181E-2</v>
      </c>
      <c r="BH103" s="74">
        <v>-0.23390094171904333</v>
      </c>
      <c r="BI103" s="74">
        <v>-0.25360672442225152</v>
      </c>
      <c r="BJ103" s="74">
        <v>-0.14995108712400462</v>
      </c>
      <c r="BK103" s="74">
        <v>1.559848255889035</v>
      </c>
      <c r="BL103" s="109">
        <v>0</v>
      </c>
      <c r="BM103" s="74">
        <v>-0.10549473149615858</v>
      </c>
      <c r="BN103" s="74">
        <v>-0.34627728166712551</v>
      </c>
      <c r="BO103" s="74">
        <v>-0.24078255017096692</v>
      </c>
      <c r="BP103" s="74">
        <v>-0.38693328730825449</v>
      </c>
      <c r="BQ103" s="74">
        <v>0.89492760903576651</v>
      </c>
      <c r="BR103" s="74">
        <v>3</v>
      </c>
      <c r="BS103" s="74">
        <v>1.2431691595010392</v>
      </c>
      <c r="BT103" s="74">
        <v>0.71707606360426013</v>
      </c>
      <c r="BU103" s="74">
        <v>-0.52609309589677911</v>
      </c>
      <c r="BV103" s="74">
        <v>0.84675388691279274</v>
      </c>
      <c r="BW103" s="74">
        <v>0.84685299316271323</v>
      </c>
    </row>
  </sheetData>
  <phoneticPr fontId="11"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Z89"/>
  <sheetViews>
    <sheetView workbookViewId="0">
      <selection activeCell="B3" sqref="B3"/>
    </sheetView>
  </sheetViews>
  <sheetFormatPr baseColWidth="10" defaultRowHeight="16" x14ac:dyDescent="0.2"/>
  <cols>
    <col min="1" max="1" width="19" style="5" customWidth="1"/>
    <col min="2" max="2" width="9.5" style="5" bestFit="1"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576</v>
      </c>
      <c r="B1" s="4">
        <v>1.1040000000000001</v>
      </c>
      <c r="C1" s="5" t="s">
        <v>507</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216</v>
      </c>
      <c r="B4" s="5">
        <v>5</v>
      </c>
      <c r="C4" s="5">
        <v>36707</v>
      </c>
      <c r="D4" s="5">
        <v>6120</v>
      </c>
      <c r="E4" s="5">
        <v>1371</v>
      </c>
      <c r="F4" s="5">
        <v>320</v>
      </c>
      <c r="G4" s="5">
        <v>5793</v>
      </c>
      <c r="H4" s="5">
        <v>35380</v>
      </c>
      <c r="I4" s="7">
        <v>248300</v>
      </c>
      <c r="J4" s="7">
        <v>292000</v>
      </c>
      <c r="K4" s="5">
        <v>14581</v>
      </c>
      <c r="L4" s="5">
        <v>87192</v>
      </c>
      <c r="M4" s="7">
        <v>742100</v>
      </c>
      <c r="N4" s="7">
        <v>3048000</v>
      </c>
      <c r="O4" s="8">
        <f>(224333+K4)/235871</f>
        <v>1.012901119679825</v>
      </c>
      <c r="P4" s="8">
        <f>(224333+L4)/235871</f>
        <v>1.3207431180602958</v>
      </c>
      <c r="Q4" s="8">
        <f t="shared" ref="Q4:R9" si="0">(224333+M4)/235871</f>
        <v>4.0972947077003958</v>
      </c>
      <c r="R4" s="8">
        <f t="shared" si="0"/>
        <v>13.87340113875805</v>
      </c>
      <c r="S4" s="8">
        <f>4/3*3.14*((O4/2)^3)</f>
        <v>0.54385052401284495</v>
      </c>
      <c r="T4" s="8">
        <f t="shared" ref="T4:V9" si="1">4/3*3.14*((P4/2)^3)</f>
        <v>1.2056839146306797</v>
      </c>
      <c r="U4" s="8">
        <f t="shared" si="1"/>
        <v>35.997306503391314</v>
      </c>
      <c r="V4" s="8">
        <f>4/3*3.14*((R4/2)^3)</f>
        <v>1397.4208826552456</v>
      </c>
      <c r="W4" s="8">
        <f>(S4*265)/1000</f>
        <v>0.14412038886340392</v>
      </c>
      <c r="X4" s="8">
        <f>(10^(-0.665+LOG(T4, 10)*0.959))</f>
        <v>0.25876342733651941</v>
      </c>
      <c r="Y4" s="8">
        <f>(10^(-0.665+LOG(U4, 10)*0.959))</f>
        <v>6.7214494329004122</v>
      </c>
      <c r="Z4" s="8">
        <f>(10^(-0.665+LOG(V4, 10)*0.959))</f>
        <v>224.57882876647051</v>
      </c>
      <c r="AA4" s="8">
        <f>W4*C4</f>
        <v>5290.2271140089679</v>
      </c>
      <c r="AB4" s="8">
        <f>X4*D4</f>
        <v>1583.6321752994988</v>
      </c>
      <c r="AC4" s="8">
        <f t="shared" ref="AC4:AD9" si="2">Y4*E4</f>
        <v>9215.1071725064648</v>
      </c>
      <c r="AD4" s="8">
        <f>Z4*F4</f>
        <v>71865.225205270559</v>
      </c>
      <c r="AE4" s="8">
        <f>AA4/(AA4+AB4+AC4+AD4)</f>
        <v>6.0147526953950675E-2</v>
      </c>
      <c r="AF4" s="8">
        <f>AB4/(AA4+AB4+AC4+AD4)</f>
        <v>1.8005192763224848E-2</v>
      </c>
      <c r="AG4" s="8">
        <f>AC4/(AA4+AB4+AC4+AD4)</f>
        <v>0.10477166577104674</v>
      </c>
      <c r="AH4" s="8">
        <f>AD4/(AA4+AB4+AC4+AD4)</f>
        <v>0.81707561451177779</v>
      </c>
      <c r="AI4" s="8">
        <f>LN((AVERAGE(G14:G16))/G4)/1.104</f>
        <v>0.11740122231568691</v>
      </c>
      <c r="AJ4" s="8">
        <f>LN((AVERAGE(H14:H16))/H4)/1.104</f>
        <v>8.0478672950448651E-2</v>
      </c>
      <c r="AK4" s="8">
        <f>LN((AVERAGE(I14:I16))/I4)/1.104</f>
        <v>9.5558035225900353E-3</v>
      </c>
      <c r="AL4" s="8">
        <f>LN((AVERAGE(J14:J16))/J4)/1.104</f>
        <v>-1.6275990527913439E-2</v>
      </c>
      <c r="AM4" s="15">
        <f>(AI4*AE4)+(AJ4*AF4)+(AG4*AK4)+(AH4*AL4)</f>
        <v>-3.7871103060792624E-3</v>
      </c>
      <c r="AN4" s="10">
        <v>5</v>
      </c>
      <c r="AO4" s="50">
        <f>H4/L4</f>
        <v>0.40577117166712545</v>
      </c>
      <c r="AP4" s="50">
        <f>I4/M4</f>
        <v>0.33459102546826575</v>
      </c>
      <c r="AQ4" s="50">
        <f>LN((AVERAGE(AO14:AO16))/AO4)/1.104</f>
        <v>-9.2317778326715144E-2</v>
      </c>
      <c r="AR4" s="50">
        <f>LN((AVERAGE(AP14:AP16))/AP4)/1.104</f>
        <v>-1.6726931610874317E-2</v>
      </c>
      <c r="AS4" s="8">
        <f>AB4/(AB4+AC4)</f>
        <v>0.1466497268147558</v>
      </c>
      <c r="AT4" s="8">
        <f>AC4/(AC4+AB4)</f>
        <v>0.85335027318524415</v>
      </c>
      <c r="AU4" s="50">
        <f>(AQ4*AS4)+(AR4*AT4)</f>
        <v>-2.7812308631448457E-2</v>
      </c>
      <c r="AV4" s="46">
        <f>H4</f>
        <v>35380</v>
      </c>
      <c r="AW4" s="46">
        <f t="shared" ref="AW4:AW11" si="3">I4</f>
        <v>248300</v>
      </c>
      <c r="AX4" s="48">
        <f>LN((AVERAGE(AV14:AV16))/AV4)/1.104</f>
        <v>8.0478672950448651E-2</v>
      </c>
      <c r="AY4" s="48">
        <f>LN((AVERAGE(AW14:AW16))/AW4)/1.04</f>
        <v>1.0143852970134037E-2</v>
      </c>
      <c r="AZ4" s="48">
        <f t="shared" ref="AZ4:AZ9" si="4">(AX4*AS4)+(AY4*AT4)</f>
        <v>2.0458435105812203E-2</v>
      </c>
    </row>
    <row r="5" spans="1:52" x14ac:dyDescent="0.2">
      <c r="A5" s="5" t="s">
        <v>217</v>
      </c>
      <c r="B5" s="5">
        <v>12</v>
      </c>
      <c r="C5" s="5">
        <v>38201</v>
      </c>
      <c r="D5" s="5">
        <v>6101</v>
      </c>
      <c r="E5" s="5">
        <v>1226</v>
      </c>
      <c r="F5" s="5">
        <v>293</v>
      </c>
      <c r="G5" s="5">
        <v>5873</v>
      </c>
      <c r="H5" s="5">
        <v>35273</v>
      </c>
      <c r="I5" s="7">
        <v>242000</v>
      </c>
      <c r="J5" s="7">
        <v>281300</v>
      </c>
      <c r="K5" s="5">
        <v>35077</v>
      </c>
      <c r="L5" s="5">
        <v>83690</v>
      </c>
      <c r="M5" s="7">
        <v>682800</v>
      </c>
      <c r="N5" s="7">
        <v>2771000</v>
      </c>
      <c r="O5" s="8">
        <f t="shared" ref="O5:P9" si="5">(224333+K5)/235871</f>
        <v>1.0997960749731845</v>
      </c>
      <c r="P5" s="8">
        <f t="shared" si="5"/>
        <v>1.3058960194343519</v>
      </c>
      <c r="Q5" s="8">
        <f t="shared" si="0"/>
        <v>3.8458860987573718</v>
      </c>
      <c r="R5" s="8">
        <f t="shared" si="0"/>
        <v>12.699030402211378</v>
      </c>
      <c r="S5" s="8">
        <f t="shared" ref="S5:S9" si="6">4/3*3.14*((O5/2)^3)</f>
        <v>0.6961693421068017</v>
      </c>
      <c r="T5" s="8">
        <f t="shared" si="1"/>
        <v>1.1654783003379703</v>
      </c>
      <c r="U5" s="8">
        <f t="shared" si="1"/>
        <v>29.769233412288216</v>
      </c>
      <c r="V5" s="8">
        <f t="shared" si="1"/>
        <v>1071.7415953870031</v>
      </c>
      <c r="W5" s="8">
        <f t="shared" ref="W5:W9" si="7">(S5*265)/1000</f>
        <v>0.18448487565830246</v>
      </c>
      <c r="X5" s="8">
        <f t="shared" ref="X5:Z9" si="8">(10^(-0.665+LOG(T5, 10)*0.959))</f>
        <v>0.2504825754771548</v>
      </c>
      <c r="Y5" s="8">
        <f t="shared" si="8"/>
        <v>5.6020009426804469</v>
      </c>
      <c r="Z5" s="8">
        <f t="shared" si="8"/>
        <v>174.12310095960521</v>
      </c>
      <c r="AA5" s="8">
        <f t="shared" ref="AA5:AB9" si="9">W5*C5</f>
        <v>7047.5067350228119</v>
      </c>
      <c r="AB5" s="8">
        <f t="shared" si="9"/>
        <v>1528.1941929861214</v>
      </c>
      <c r="AC5" s="8">
        <f t="shared" si="2"/>
        <v>6868.0531557262275</v>
      </c>
      <c r="AD5" s="8">
        <f t="shared" si="2"/>
        <v>51018.068581164327</v>
      </c>
      <c r="AE5" s="8">
        <f t="shared" ref="AE5:AE9" si="10">AA5/(AA5+AB5+AC5+AD5)</f>
        <v>0.10603842104295486</v>
      </c>
      <c r="AF5" s="8">
        <f t="shared" ref="AF5:AF9" si="11">AB5/(AA5+AB5+AC5+AD5)</f>
        <v>2.2993564300685471E-2</v>
      </c>
      <c r="AG5" s="8">
        <f t="shared" ref="AG5:AG9" si="12">AC5/(AA5+AB5+AC5+AD5)</f>
        <v>0.10333832086361747</v>
      </c>
      <c r="AH5" s="8">
        <f t="shared" ref="AH5:AH9" si="13">AD5/(AA5+AB5+AC5+AD5)</f>
        <v>0.76762969379274215</v>
      </c>
      <c r="AI5" s="8">
        <f>LN((AVERAGE(G17:G19))/G5)/1.104</f>
        <v>0.12221102446729361</v>
      </c>
      <c r="AJ5" s="8">
        <f>LN((AVERAGE(H17:H19))/H5)/1.104</f>
        <v>8.8353447269261101E-2</v>
      </c>
      <c r="AK5" s="8">
        <f>LN((AVERAGE(I17:I19))/I5)/1.104</f>
        <v>2.400826030796838E-2</v>
      </c>
      <c r="AL5" s="8">
        <f>LN((AVERAGE(J17:J19))/J5)/1.104</f>
        <v>2.613108327608743E-2</v>
      </c>
      <c r="AM5" s="15">
        <f t="shared" ref="AM5:AM9" si="14">(AI5*AE5)+(AJ5*AF5)+(AG5*AK5)+(AH5*AL5)</f>
        <v>3.7530593500304445E-2</v>
      </c>
      <c r="AN5" s="10">
        <v>12</v>
      </c>
      <c r="AO5" s="50">
        <f t="shared" ref="AO5:AO11" si="15">H5/L5</f>
        <v>0.42147209941450592</v>
      </c>
      <c r="AP5" s="50">
        <f t="shared" ref="AP5:AP11" si="16">I5/M5</f>
        <v>0.35442296426479203</v>
      </c>
      <c r="AQ5" s="50">
        <f>LN((AVERAGE(AO17:AO19))/AO5)/1.104</f>
        <v>-5.9452664606357848E-2</v>
      </c>
      <c r="AR5" s="50">
        <f>LN((AVERAGE(AP17:AP19))/AP5)/1.104</f>
        <v>5.6018781474990904E-2</v>
      </c>
      <c r="AS5" s="8">
        <f t="shared" ref="AS5:AS9" si="17">AB5/(AB5+AC5)</f>
        <v>0.18200919166828566</v>
      </c>
      <c r="AT5" s="8">
        <f t="shared" ref="AT5:AT9" si="18">AC5/(AC5+AB5)</f>
        <v>0.81799080833171423</v>
      </c>
      <c r="AU5" s="50">
        <f t="shared" ref="AU5:AU9" si="19">(AQ5*AS5)+(AR5*AT5)</f>
        <v>3.5001916912956579E-2</v>
      </c>
      <c r="AV5" s="46">
        <f t="shared" ref="AV5:AV11" si="20">H5</f>
        <v>35273</v>
      </c>
      <c r="AW5" s="46">
        <f t="shared" si="3"/>
        <v>242000</v>
      </c>
      <c r="AX5" s="48">
        <f>LN((AVERAGE(AV17:AV19))/AV5)/1.104</f>
        <v>8.8353447269261101E-2</v>
      </c>
      <c r="AY5" s="48">
        <f>LN((AVERAGE(AW17:AW19))/AW5)/1.04</f>
        <v>2.5485691711535665E-2</v>
      </c>
      <c r="AZ5" s="48">
        <f t="shared" si="4"/>
        <v>3.6928201082596646E-2</v>
      </c>
    </row>
    <row r="6" spans="1:52" x14ac:dyDescent="0.2">
      <c r="A6" s="5" t="s">
        <v>218</v>
      </c>
      <c r="B6" s="5">
        <v>20</v>
      </c>
      <c r="C6" s="5">
        <v>38119</v>
      </c>
      <c r="D6" s="5">
        <v>6004</v>
      </c>
      <c r="E6" s="5">
        <v>1179</v>
      </c>
      <c r="F6" s="5">
        <v>292</v>
      </c>
      <c r="G6" s="5">
        <v>5958</v>
      </c>
      <c r="H6" s="5">
        <v>35911</v>
      </c>
      <c r="I6" s="7">
        <v>246800</v>
      </c>
      <c r="J6" s="7">
        <v>283500</v>
      </c>
      <c r="K6" s="5">
        <v>49840</v>
      </c>
      <c r="L6" s="5">
        <v>86157</v>
      </c>
      <c r="M6" s="7">
        <v>701300</v>
      </c>
      <c r="N6" s="7">
        <v>3045000</v>
      </c>
      <c r="O6" s="8">
        <f t="shared" si="5"/>
        <v>1.1623853716650203</v>
      </c>
      <c r="P6" s="8">
        <f t="shared" si="5"/>
        <v>1.3163551263190474</v>
      </c>
      <c r="Q6" s="8">
        <f t="shared" si="0"/>
        <v>3.9243188013787198</v>
      </c>
      <c r="R6" s="8">
        <f t="shared" si="0"/>
        <v>13.86068232211675</v>
      </c>
      <c r="S6" s="8">
        <f t="shared" si="6"/>
        <v>0.82191859349061469</v>
      </c>
      <c r="T6" s="8">
        <f t="shared" si="1"/>
        <v>1.1937066269030623</v>
      </c>
      <c r="U6" s="8">
        <f t="shared" si="1"/>
        <v>31.627964375295761</v>
      </c>
      <c r="V6" s="8">
        <f t="shared" si="1"/>
        <v>1393.5810346458677</v>
      </c>
      <c r="W6" s="8">
        <f t="shared" si="7"/>
        <v>0.2178084272750129</v>
      </c>
      <c r="X6" s="8">
        <f t="shared" si="8"/>
        <v>0.25629775559432749</v>
      </c>
      <c r="Y6" s="8">
        <f t="shared" si="8"/>
        <v>5.9370173771549979</v>
      </c>
      <c r="Z6" s="8">
        <f t="shared" si="8"/>
        <v>223.986996401151</v>
      </c>
      <c r="AA6" s="8">
        <f t="shared" si="9"/>
        <v>8302.6394392962175</v>
      </c>
      <c r="AB6" s="8">
        <f t="shared" si="9"/>
        <v>1538.8117245883423</v>
      </c>
      <c r="AC6" s="8">
        <f t="shared" si="2"/>
        <v>6999.7434876657426</v>
      </c>
      <c r="AD6" s="8">
        <f t="shared" si="2"/>
        <v>65404.202949136095</v>
      </c>
      <c r="AE6" s="8">
        <f t="shared" si="10"/>
        <v>0.10094959330863429</v>
      </c>
      <c r="AF6" s="8">
        <f t="shared" si="11"/>
        <v>1.8710004079006359E-2</v>
      </c>
      <c r="AG6" s="8">
        <f t="shared" si="12"/>
        <v>8.5108026611416421E-2</v>
      </c>
      <c r="AH6" s="8">
        <f t="shared" si="13"/>
        <v>0.79523237600094299</v>
      </c>
      <c r="AI6" s="8">
        <f>LN((AVERAGE(G20:G22))/G6)/1.104</f>
        <v>0.13810765773014166</v>
      </c>
      <c r="AJ6" s="8">
        <f>LN((AVERAGE(H20:H22))/H6)/1.104</f>
        <v>9.5659710033565465E-2</v>
      </c>
      <c r="AK6" s="8">
        <f>LN((AVERAGE(I20:I22))/I6)/1.104</f>
        <v>8.038590972350412E-3</v>
      </c>
      <c r="AL6" s="8">
        <f>LN((AVERAGE(J20:J22))/J6)/1.104</f>
        <v>1.8344283346270491E-2</v>
      </c>
      <c r="AM6" s="15">
        <f t="shared" si="14"/>
        <v>3.1003822091472739E-2</v>
      </c>
      <c r="AN6" s="10">
        <v>20</v>
      </c>
      <c r="AO6" s="50">
        <f t="shared" si="15"/>
        <v>0.41680884896177905</v>
      </c>
      <c r="AP6" s="50">
        <f t="shared" si="16"/>
        <v>0.35191786681876513</v>
      </c>
      <c r="AQ6" s="50">
        <f>LN((AVERAGE(AO20:AO22))/AO6)/1.104</f>
        <v>-1.5786526864162761E-2</v>
      </c>
      <c r="AR6" s="50">
        <f>LN((AVERAGE(AP20:AP22))/AP6)/1.104</f>
        <v>3.1359500041254155E-3</v>
      </c>
      <c r="AS6" s="8">
        <f t="shared" si="17"/>
        <v>0.1802192158200161</v>
      </c>
      <c r="AT6" s="8">
        <f t="shared" si="18"/>
        <v>0.8197807841799839</v>
      </c>
      <c r="AU6" s="50">
        <f t="shared" si="19"/>
        <v>-2.7424393844987377E-4</v>
      </c>
      <c r="AV6" s="46">
        <f t="shared" si="20"/>
        <v>35911</v>
      </c>
      <c r="AW6" s="46">
        <f t="shared" si="3"/>
        <v>246800</v>
      </c>
      <c r="AX6" s="48">
        <f>LN((AVERAGE(AV20:AV22))/AV6)/1.104</f>
        <v>9.5659710033565465E-2</v>
      </c>
      <c r="AY6" s="48">
        <f>LN((AVERAGE(AW20:AW22))/AW6)/1.04</f>
        <v>8.5332734937258233E-3</v>
      </c>
      <c r="AZ6" s="48">
        <f t="shared" si="4"/>
        <v>2.4235131564128123E-2</v>
      </c>
    </row>
    <row r="7" spans="1:52" x14ac:dyDescent="0.2">
      <c r="A7" s="5" t="s">
        <v>219</v>
      </c>
      <c r="B7" s="5">
        <v>30</v>
      </c>
      <c r="C7" s="5">
        <v>38002</v>
      </c>
      <c r="D7" s="5">
        <v>5972</v>
      </c>
      <c r="E7" s="5">
        <v>1130</v>
      </c>
      <c r="F7" s="5">
        <v>224</v>
      </c>
      <c r="G7" s="5">
        <v>5934</v>
      </c>
      <c r="H7" s="5">
        <v>35332</v>
      </c>
      <c r="I7" s="7">
        <v>244400</v>
      </c>
      <c r="J7" s="7">
        <v>291200</v>
      </c>
      <c r="K7" s="5">
        <v>25146</v>
      </c>
      <c r="L7" s="5">
        <v>84192</v>
      </c>
      <c r="M7" s="7">
        <v>703300</v>
      </c>
      <c r="N7" s="7">
        <v>2746000</v>
      </c>
      <c r="O7" s="8">
        <f t="shared" si="5"/>
        <v>1.0576925522849354</v>
      </c>
      <c r="P7" s="8">
        <f t="shared" si="5"/>
        <v>1.3080243014189961</v>
      </c>
      <c r="Q7" s="8">
        <f t="shared" si="0"/>
        <v>3.9327980124729196</v>
      </c>
      <c r="R7" s="8">
        <f t="shared" si="0"/>
        <v>12.593040263533881</v>
      </c>
      <c r="S7" s="8">
        <f t="shared" si="6"/>
        <v>0.61923676987217824</v>
      </c>
      <c r="T7" s="8">
        <f t="shared" si="1"/>
        <v>1.1711859014767234</v>
      </c>
      <c r="U7" s="8">
        <f t="shared" si="1"/>
        <v>31.833421732261495</v>
      </c>
      <c r="V7" s="8">
        <f t="shared" si="1"/>
        <v>1045.1296614374039</v>
      </c>
      <c r="W7" s="8">
        <f t="shared" si="7"/>
        <v>0.16409774401612723</v>
      </c>
      <c r="X7" s="8">
        <f t="shared" si="8"/>
        <v>0.25165883194057126</v>
      </c>
      <c r="Y7" s="8">
        <f t="shared" si="8"/>
        <v>5.9739984643471784</v>
      </c>
      <c r="Z7" s="8">
        <f t="shared" si="8"/>
        <v>169.97466595847541</v>
      </c>
      <c r="AA7" s="8">
        <f t="shared" si="9"/>
        <v>6236.0424681008672</v>
      </c>
      <c r="AB7" s="8">
        <f t="shared" si="9"/>
        <v>1502.9065443490915</v>
      </c>
      <c r="AC7" s="8">
        <f t="shared" si="2"/>
        <v>6750.6182647123114</v>
      </c>
      <c r="AD7" s="8">
        <f t="shared" si="2"/>
        <v>38074.32517469849</v>
      </c>
      <c r="AE7" s="8">
        <f t="shared" si="10"/>
        <v>0.11863737971482954</v>
      </c>
      <c r="AF7" s="8">
        <f t="shared" si="11"/>
        <v>2.8591994889371794E-2</v>
      </c>
      <c r="AG7" s="8">
        <f t="shared" si="12"/>
        <v>0.12842690961090231</v>
      </c>
      <c r="AH7" s="8">
        <f t="shared" si="13"/>
        <v>0.72434371578489631</v>
      </c>
      <c r="AI7" s="8">
        <f>LN((AVERAGE(G23:G25))/G7)/1.104</f>
        <v>0.19867662773907374</v>
      </c>
      <c r="AJ7" s="8">
        <f>LN((AVERAGE(H23:H25))/H7)/1.104</f>
        <v>0.14835483974681524</v>
      </c>
      <c r="AK7" s="8">
        <f>LN((AVERAGE(I23:I25))/I7)/1.104</f>
        <v>1.6046011307808159E-3</v>
      </c>
      <c r="AL7" s="8">
        <f>LN((AVERAGE(J23:J25))/J7)/1.104</f>
        <v>-3.0118832935423752E-3</v>
      </c>
      <c r="AM7" s="15">
        <f t="shared" si="14"/>
        <v>2.5836670573426247E-2</v>
      </c>
      <c r="AN7" s="10">
        <v>30</v>
      </c>
      <c r="AO7" s="50">
        <f t="shared" si="15"/>
        <v>0.41965982516153555</v>
      </c>
      <c r="AP7" s="50">
        <f t="shared" si="16"/>
        <v>0.34750462107208874</v>
      </c>
      <c r="AQ7" s="50">
        <f>LN((AVERAGE(AO23:AO25))/AO7)/1.104</f>
        <v>0.10036986659267803</v>
      </c>
      <c r="AR7" s="50">
        <f>LN((AVERAGE(AP23:AP25))/AP7)/1.104</f>
        <v>0.20614793553996799</v>
      </c>
      <c r="AS7" s="8">
        <f t="shared" si="17"/>
        <v>0.18209269119771426</v>
      </c>
      <c r="AT7" s="8">
        <f t="shared" si="18"/>
        <v>0.81790730880228579</v>
      </c>
      <c r="AU7" s="50">
        <f t="shared" si="19"/>
        <v>0.18688652229565861</v>
      </c>
      <c r="AV7" s="46">
        <f t="shared" si="20"/>
        <v>35332</v>
      </c>
      <c r="AW7" s="46">
        <f t="shared" si="3"/>
        <v>244400</v>
      </c>
      <c r="AX7" s="48">
        <f>LN((AVERAGE(AV23:AV25))/AV7)/1.04</f>
        <v>0.15748436834661927</v>
      </c>
      <c r="AY7" s="48">
        <f>LN((AVERAGE(AW23:AW25))/AW7)/1.04</f>
        <v>1.7033458157519432E-3</v>
      </c>
      <c r="AZ7" s="48">
        <f t="shared" si="4"/>
        <v>3.0069931445929336E-2</v>
      </c>
    </row>
    <row r="8" spans="1:52" x14ac:dyDescent="0.2">
      <c r="A8" s="5" t="s">
        <v>220</v>
      </c>
      <c r="B8" s="5">
        <v>40</v>
      </c>
      <c r="C8" s="5">
        <v>38718</v>
      </c>
      <c r="D8" s="5">
        <v>5912</v>
      </c>
      <c r="E8" s="5">
        <v>1049</v>
      </c>
      <c r="F8" s="5">
        <v>135</v>
      </c>
      <c r="G8" s="5">
        <v>6597</v>
      </c>
      <c r="H8" s="5">
        <v>37264</v>
      </c>
      <c r="I8" s="7">
        <v>243100</v>
      </c>
      <c r="J8" s="7">
        <v>283400</v>
      </c>
      <c r="K8" s="5">
        <v>17660</v>
      </c>
      <c r="L8" s="5">
        <v>81240</v>
      </c>
      <c r="M8" s="7">
        <v>637700</v>
      </c>
      <c r="N8" s="7">
        <v>2822000</v>
      </c>
      <c r="O8" s="8">
        <f t="shared" si="5"/>
        <v>1.0259548651593455</v>
      </c>
      <c r="P8" s="8">
        <f t="shared" si="5"/>
        <v>1.295508985843957</v>
      </c>
      <c r="Q8" s="8">
        <f t="shared" si="0"/>
        <v>3.6546798885831664</v>
      </c>
      <c r="R8" s="8">
        <f t="shared" si="0"/>
        <v>12.915250285113473</v>
      </c>
      <c r="S8" s="8">
        <f t="shared" si="6"/>
        <v>0.56514926031071233</v>
      </c>
      <c r="T8" s="8">
        <f t="shared" si="1"/>
        <v>1.1378884434233005</v>
      </c>
      <c r="U8" s="8">
        <f t="shared" si="1"/>
        <v>25.546207046602643</v>
      </c>
      <c r="V8" s="8">
        <f t="shared" si="1"/>
        <v>1127.4229680353808</v>
      </c>
      <c r="W8" s="8">
        <f t="shared" si="7"/>
        <v>0.14976455398233876</v>
      </c>
      <c r="X8" s="8">
        <f t="shared" si="8"/>
        <v>0.24479334088980623</v>
      </c>
      <c r="Y8" s="8">
        <f t="shared" si="8"/>
        <v>4.8375564309942867</v>
      </c>
      <c r="Z8" s="8">
        <f t="shared" si="8"/>
        <v>182.78952996927359</v>
      </c>
      <c r="AA8" s="8">
        <f t="shared" si="9"/>
        <v>5798.5840010881921</v>
      </c>
      <c r="AB8" s="8">
        <f t="shared" si="9"/>
        <v>1447.2182313405344</v>
      </c>
      <c r="AC8" s="8">
        <f t="shared" si="2"/>
        <v>5074.5966961130071</v>
      </c>
      <c r="AD8" s="8">
        <f t="shared" si="2"/>
        <v>24676.586545851933</v>
      </c>
      <c r="AE8" s="8">
        <f t="shared" si="10"/>
        <v>0.15673125598574794</v>
      </c>
      <c r="AF8" s="8">
        <f t="shared" si="11"/>
        <v>3.9117193273548796E-2</v>
      </c>
      <c r="AG8" s="8">
        <f t="shared" si="12"/>
        <v>0.13716243718357091</v>
      </c>
      <c r="AH8" s="8">
        <f t="shared" si="13"/>
        <v>0.66698911355713231</v>
      </c>
      <c r="AI8" s="8">
        <f>LN((AVERAGE(G26:G28))/G8)/1.104</f>
        <v>0.16208232441470172</v>
      </c>
      <c r="AJ8" s="8">
        <f>LN((AVERAGE(H26:H28))/H8)/1.104</f>
        <v>0.12082269876707355</v>
      </c>
      <c r="AK8" s="8">
        <f>LN((AVERAGE(I26:I28))/I8)/1.104</f>
        <v>-3.8584338858260892E-3</v>
      </c>
      <c r="AL8" s="8">
        <f>LN((AVERAGE(J26:J28))/J8)/1.104</f>
        <v>3.0843822372820808E-3</v>
      </c>
      <c r="AM8" s="15">
        <f t="shared" si="14"/>
        <v>3.1657628316933598E-2</v>
      </c>
      <c r="AN8" s="10">
        <v>40</v>
      </c>
      <c r="AO8" s="50">
        <f t="shared" si="15"/>
        <v>0.4586903003446578</v>
      </c>
      <c r="AP8" s="50">
        <f t="shared" si="16"/>
        <v>0.38121373686686527</v>
      </c>
      <c r="AQ8" s="50">
        <f>LN((AVERAGE(AO26:AO28))/AO8)/1.104</f>
        <v>0.10787199078243205</v>
      </c>
      <c r="AR8" s="50">
        <f>LN((AVERAGE(AP26:AP28))/AP8)/1.104</f>
        <v>0.20322445284073654</v>
      </c>
      <c r="AS8" s="8">
        <f t="shared" si="17"/>
        <v>0.22190421645491315</v>
      </c>
      <c r="AT8" s="8">
        <f t="shared" si="18"/>
        <v>0.77809578354508679</v>
      </c>
      <c r="AU8" s="50">
        <f t="shared" si="19"/>
        <v>0.18206533946064163</v>
      </c>
      <c r="AV8" s="46">
        <f t="shared" si="20"/>
        <v>37264</v>
      </c>
      <c r="AW8" s="46">
        <f t="shared" si="3"/>
        <v>243100</v>
      </c>
      <c r="AX8" s="48">
        <f>LN((AVERAGE(AV26:AV28))/AV8)/1.04</f>
        <v>0.12825794176812425</v>
      </c>
      <c r="AY8" s="48">
        <f>LN((AVERAGE(AW26:AW28))/AW8)/1.04</f>
        <v>-4.0958759711076948E-3</v>
      </c>
      <c r="AZ8" s="48">
        <f t="shared" si="4"/>
        <v>2.5273994249132955E-2</v>
      </c>
    </row>
    <row r="9" spans="1:52" x14ac:dyDescent="0.2">
      <c r="A9" s="5" t="s">
        <v>221</v>
      </c>
      <c r="B9" s="5">
        <v>60</v>
      </c>
      <c r="C9" s="5">
        <v>39314</v>
      </c>
      <c r="D9" s="5">
        <v>6503</v>
      </c>
      <c r="E9" s="5">
        <v>1104</v>
      </c>
      <c r="F9" s="5">
        <v>153</v>
      </c>
      <c r="G9" s="5">
        <v>9693</v>
      </c>
      <c r="H9" s="5">
        <v>50933</v>
      </c>
      <c r="I9" s="7">
        <v>251600</v>
      </c>
      <c r="J9" s="7">
        <v>284400</v>
      </c>
      <c r="K9" s="5">
        <v>10890</v>
      </c>
      <c r="L9" s="5">
        <v>75436</v>
      </c>
      <c r="M9" s="7">
        <v>523000</v>
      </c>
      <c r="N9" s="7">
        <v>2030000</v>
      </c>
      <c r="O9" s="8">
        <f t="shared" si="5"/>
        <v>0.99725273560547922</v>
      </c>
      <c r="P9" s="8">
        <f t="shared" si="5"/>
        <v>1.2709023152485892</v>
      </c>
      <c r="Q9" s="8">
        <f t="shared" si="0"/>
        <v>3.1683971323308078</v>
      </c>
      <c r="R9" s="8">
        <f t="shared" si="0"/>
        <v>9.5574826918103533</v>
      </c>
      <c r="S9" s="8">
        <f t="shared" si="6"/>
        <v>0.51903196689748154</v>
      </c>
      <c r="T9" s="8">
        <f t="shared" si="1"/>
        <v>1.0742736175921423</v>
      </c>
      <c r="U9" s="8">
        <f t="shared" si="1"/>
        <v>16.645514841721319</v>
      </c>
      <c r="V9" s="8">
        <f t="shared" si="1"/>
        <v>456.88716541254007</v>
      </c>
      <c r="W9" s="8">
        <f t="shared" si="7"/>
        <v>0.13754347122783261</v>
      </c>
      <c r="X9" s="8">
        <f t="shared" si="8"/>
        <v>0.23165367747939281</v>
      </c>
      <c r="Y9" s="8">
        <f t="shared" si="8"/>
        <v>3.2079238159245249</v>
      </c>
      <c r="Z9" s="8">
        <f t="shared" si="8"/>
        <v>76.869984059327905</v>
      </c>
      <c r="AA9" s="8">
        <f t="shared" si="9"/>
        <v>5407.3840278510115</v>
      </c>
      <c r="AB9" s="8">
        <f t="shared" si="9"/>
        <v>1506.4438646484914</v>
      </c>
      <c r="AC9" s="8">
        <f t="shared" si="2"/>
        <v>3541.5478927806753</v>
      </c>
      <c r="AD9" s="8">
        <f t="shared" si="2"/>
        <v>11761.10756107717</v>
      </c>
      <c r="AE9" s="8">
        <f t="shared" si="10"/>
        <v>0.2433951379050103</v>
      </c>
      <c r="AF9" s="8">
        <f t="shared" si="11"/>
        <v>6.7807485152482083E-2</v>
      </c>
      <c r="AG9" s="8">
        <f t="shared" si="12"/>
        <v>0.15941082292672362</v>
      </c>
      <c r="AH9" s="8">
        <f t="shared" si="13"/>
        <v>0.52938655401578394</v>
      </c>
      <c r="AI9" s="8">
        <f>LN((AVERAGE(G29:G31))/G9)/1.104</f>
        <v>8.3128954944620637E-2</v>
      </c>
      <c r="AJ9" s="8">
        <f>LN((AVERAGE(H29:H31))/H9)/1.104</f>
        <v>8.0758934836389143E-2</v>
      </c>
      <c r="AK9" s="8">
        <f>LN((AVERAGE(I29:I31))/I9)/1.104</f>
        <v>-1.7203029904785165E-2</v>
      </c>
      <c r="AL9" s="8">
        <f>LN((AVERAGE(J29:J31))/J9)/1.104</f>
        <v>-7.6762925642864417E-3</v>
      </c>
      <c r="AM9" s="15">
        <f t="shared" si="14"/>
        <v>1.8903168505314628E-2</v>
      </c>
      <c r="AN9" s="10">
        <v>60</v>
      </c>
      <c r="AO9" s="50">
        <f t="shared" si="15"/>
        <v>0.67518161090195661</v>
      </c>
      <c r="AP9" s="50">
        <f t="shared" si="16"/>
        <v>0.48107074569789676</v>
      </c>
      <c r="AQ9" s="50">
        <f>LN((AVERAGE(AO29:AO31))/AO9)/1.104</f>
        <v>5.4316534779923917E-2</v>
      </c>
      <c r="AR9" s="50">
        <f>LN((AVERAGE(AP29:AP31))/AP9)/1.104</f>
        <v>0.26961951809772655</v>
      </c>
      <c r="AS9" s="8">
        <f t="shared" si="17"/>
        <v>0.29842439073547355</v>
      </c>
      <c r="AT9" s="8">
        <f t="shared" si="18"/>
        <v>0.70157560926452645</v>
      </c>
      <c r="AU9" s="50">
        <f t="shared" si="19"/>
        <v>0.20536785647758149</v>
      </c>
      <c r="AV9" s="46">
        <f t="shared" si="20"/>
        <v>50933</v>
      </c>
      <c r="AW9" s="46">
        <f t="shared" si="3"/>
        <v>251600</v>
      </c>
      <c r="AX9" s="48">
        <f>LN((AVERAGE(AV29:AV31))/AV9)/1.04</f>
        <v>8.5728715441705405E-2</v>
      </c>
      <c r="AY9" s="48">
        <f>LN((AVERAGE(AW29:AW31))/AW9)/1.04</f>
        <v>-1.8261677898925792E-2</v>
      </c>
      <c r="AZ9" s="48">
        <f t="shared" si="4"/>
        <v>1.2771591876094319E-2</v>
      </c>
    </row>
    <row r="10" spans="1:52" x14ac:dyDescent="0.2">
      <c r="A10" s="5" t="s">
        <v>222</v>
      </c>
      <c r="B10" s="5">
        <v>80</v>
      </c>
      <c r="C10" s="5">
        <v>5542</v>
      </c>
      <c r="D10" s="5">
        <v>1694</v>
      </c>
      <c r="E10" s="5">
        <v>764</v>
      </c>
      <c r="F10" s="5">
        <v>91</v>
      </c>
      <c r="G10" s="5">
        <v>26854</v>
      </c>
      <c r="H10" s="7">
        <v>108700</v>
      </c>
      <c r="I10" s="7">
        <v>275500</v>
      </c>
      <c r="J10" s="7">
        <v>286700</v>
      </c>
      <c r="K10" s="5">
        <v>24025</v>
      </c>
      <c r="L10" s="5">
        <v>94551</v>
      </c>
      <c r="M10" s="7">
        <v>303100</v>
      </c>
      <c r="N10" s="7">
        <v>1906000</v>
      </c>
      <c r="O10" s="8">
        <f t="shared" ref="O10:O11" si="21">(224333+K10)/235871</f>
        <v>1.0529399544666365</v>
      </c>
      <c r="P10" s="8">
        <f t="shared" ref="P10:P11" si="22">(224333+L10)/235871</f>
        <v>1.3519423752814037</v>
      </c>
      <c r="Q10" s="8">
        <f t="shared" ref="Q10:Q11" si="23">(224333+M10)/235871</f>
        <v>2.2361078725235406</v>
      </c>
      <c r="R10" s="8">
        <f t="shared" ref="R10:R11" si="24">(224333+N10)/235871</f>
        <v>9.0317716039699665</v>
      </c>
      <c r="S10" s="8">
        <f t="shared" ref="S10:S11" si="25">4/3*3.14*((O10/2)^3)</f>
        <v>0.6109268525168281</v>
      </c>
      <c r="T10" s="8">
        <f t="shared" ref="T10:T11" si="26">4/3*3.14*((P10/2)^3)</f>
        <v>1.2931620172828373</v>
      </c>
      <c r="U10" s="8">
        <f t="shared" ref="U10:U11" si="27">4/3*3.14*((Q10/2)^3)</f>
        <v>5.8513577226484861</v>
      </c>
      <c r="V10" s="8">
        <f t="shared" ref="V10:V11" si="28">4/3*3.14*((R10/2)^3)</f>
        <v>385.56467497486409</v>
      </c>
      <c r="W10" s="8">
        <f t="shared" ref="W10:W11" si="29">(S10*265)/1000</f>
        <v>0.16189561591695945</v>
      </c>
      <c r="X10" s="8">
        <f t="shared" ref="X10:X11" si="30">(10^(-0.665+LOG(T10, 10)*0.959))</f>
        <v>0.27674206006601626</v>
      </c>
      <c r="Y10" s="8">
        <f t="shared" ref="Y10:Y11" si="31">(10^(-0.665+LOG(U10, 10)*0.959))</f>
        <v>1.1770614243690247</v>
      </c>
      <c r="Z10" s="8">
        <f t="shared" ref="Z10:Z11" si="32">(10^(-0.665+LOG(V10, 10)*0.959))</f>
        <v>65.323169807399111</v>
      </c>
      <c r="AA10" s="8">
        <f t="shared" ref="AA10:AA11" si="33">W10*C10</f>
        <v>897.22550341178919</v>
      </c>
      <c r="AB10" s="8">
        <f t="shared" ref="AB10:AB11" si="34">X10*D10</f>
        <v>468.80104975183156</v>
      </c>
      <c r="AC10" s="8">
        <f t="shared" ref="AC10:AC11" si="35">Y10*E10</f>
        <v>899.27492821793487</v>
      </c>
      <c r="AD10" s="8">
        <f t="shared" ref="AD10:AD11" si="36">Z10*F10</f>
        <v>5944.4084524733189</v>
      </c>
      <c r="AE10" s="8">
        <f t="shared" ref="AE10:AE11" si="37">AA10/(AA10+AB10+AC10+AD10)</f>
        <v>0.10928833182179147</v>
      </c>
      <c r="AF10" s="8">
        <f t="shared" ref="AF10:AF11" si="38">AB10/(AA10+AB10+AC10+AD10)</f>
        <v>5.7103241591838522E-2</v>
      </c>
      <c r="AG10" s="8">
        <f t="shared" ref="AG10:AG11" si="39">AC10/(AA10+AB10+AC10+AD10)</f>
        <v>0.10953796607472584</v>
      </c>
      <c r="AH10" s="8">
        <f t="shared" ref="AH10:AH11" si="40">AD10/(AA10+AB10+AC10+AD10)</f>
        <v>0.72407046051164425</v>
      </c>
      <c r="AI10" s="8"/>
      <c r="AN10" s="10">
        <v>80</v>
      </c>
      <c r="AO10" s="50">
        <f t="shared" si="15"/>
        <v>1.1496441074129307</v>
      </c>
      <c r="AP10" s="50">
        <f t="shared" si="16"/>
        <v>0.90894094358297595</v>
      </c>
      <c r="AQ10" s="51"/>
      <c r="AR10" s="51"/>
      <c r="AU10" s="51"/>
      <c r="AV10" s="46">
        <f t="shared" si="20"/>
        <v>108700</v>
      </c>
      <c r="AW10" s="46">
        <f t="shared" si="3"/>
        <v>275500</v>
      </c>
    </row>
    <row r="11" spans="1:52" x14ac:dyDescent="0.2">
      <c r="A11" s="5" t="s">
        <v>223</v>
      </c>
      <c r="B11" s="5">
        <v>100</v>
      </c>
      <c r="C11" s="5">
        <v>1776</v>
      </c>
      <c r="D11" s="5">
        <v>450</v>
      </c>
      <c r="E11" s="5">
        <v>244</v>
      </c>
      <c r="F11" s="5">
        <v>34</v>
      </c>
      <c r="G11" s="5">
        <v>27445</v>
      </c>
      <c r="H11" s="7">
        <v>127400</v>
      </c>
      <c r="I11" s="7">
        <v>298000</v>
      </c>
      <c r="J11" s="7">
        <v>294700</v>
      </c>
      <c r="K11" s="5">
        <v>52805</v>
      </c>
      <c r="L11" s="7">
        <v>106800</v>
      </c>
      <c r="M11" s="7">
        <v>329800</v>
      </c>
      <c r="N11" s="7">
        <v>2274000</v>
      </c>
      <c r="O11" s="8">
        <f t="shared" si="21"/>
        <v>1.1749558021121715</v>
      </c>
      <c r="P11" s="8">
        <f t="shared" si="22"/>
        <v>1.4038733036278304</v>
      </c>
      <c r="Q11" s="8">
        <f t="shared" si="23"/>
        <v>2.3493053406311075</v>
      </c>
      <c r="R11" s="8">
        <f t="shared" si="24"/>
        <v>10.59194644530273</v>
      </c>
      <c r="S11" s="8">
        <f t="shared" si="25"/>
        <v>0.84887352400730787</v>
      </c>
      <c r="T11" s="8">
        <f t="shared" si="26"/>
        <v>1.4479786024539121</v>
      </c>
      <c r="U11" s="8">
        <f t="shared" si="27"/>
        <v>6.7857334410395858</v>
      </c>
      <c r="V11" s="8">
        <f t="shared" si="28"/>
        <v>621.87876352873388</v>
      </c>
      <c r="W11" s="8">
        <f t="shared" si="29"/>
        <v>0.22495148386193659</v>
      </c>
      <c r="X11" s="8">
        <f t="shared" si="30"/>
        <v>0.30844014328323133</v>
      </c>
      <c r="Y11" s="8">
        <f t="shared" si="31"/>
        <v>1.3567546757609283</v>
      </c>
      <c r="Z11" s="8">
        <f t="shared" si="32"/>
        <v>103.31509791080762</v>
      </c>
      <c r="AA11" s="8">
        <f t="shared" si="33"/>
        <v>399.51383533879937</v>
      </c>
      <c r="AB11" s="8">
        <f t="shared" si="34"/>
        <v>138.79806447745409</v>
      </c>
      <c r="AC11" s="8">
        <f t="shared" si="35"/>
        <v>331.0481408856665</v>
      </c>
      <c r="AD11" s="8">
        <f t="shared" si="36"/>
        <v>3512.7133289674593</v>
      </c>
      <c r="AE11" s="8">
        <f t="shared" si="37"/>
        <v>9.1170047061293738E-2</v>
      </c>
      <c r="AF11" s="8">
        <f t="shared" si="38"/>
        <v>3.1674062200361147E-2</v>
      </c>
      <c r="AG11" s="8">
        <f t="shared" si="39"/>
        <v>7.5546005956226958E-2</v>
      </c>
      <c r="AH11" s="8">
        <f t="shared" si="40"/>
        <v>0.80160988478211803</v>
      </c>
      <c r="AI11" s="8"/>
      <c r="AN11" s="10">
        <v>100</v>
      </c>
      <c r="AO11" s="50">
        <f t="shared" si="15"/>
        <v>1.1928838951310861</v>
      </c>
      <c r="AP11" s="50">
        <f t="shared" si="16"/>
        <v>0.90357792601576714</v>
      </c>
      <c r="AQ11" s="51"/>
      <c r="AR11" s="51"/>
      <c r="AU11" s="51"/>
      <c r="AV11" s="46">
        <f t="shared" si="20"/>
        <v>127400</v>
      </c>
      <c r="AW11" s="46">
        <f t="shared" si="3"/>
        <v>298000</v>
      </c>
    </row>
    <row r="12" spans="1:52" x14ac:dyDescent="0.2">
      <c r="AN12" s="10"/>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x14ac:dyDescent="0.2">
      <c r="A14" s="5" t="s">
        <v>224</v>
      </c>
      <c r="B14" s="5">
        <v>5</v>
      </c>
      <c r="C14" s="30">
        <v>12222</v>
      </c>
      <c r="D14" s="30">
        <v>2440</v>
      </c>
      <c r="E14" s="30">
        <v>532</v>
      </c>
      <c r="F14" s="30">
        <v>133</v>
      </c>
      <c r="G14" s="5">
        <v>6544</v>
      </c>
      <c r="H14" s="5">
        <v>39616</v>
      </c>
      <c r="I14" s="7">
        <v>250500</v>
      </c>
      <c r="J14" s="7">
        <v>280700</v>
      </c>
      <c r="K14" s="5">
        <v>11141</v>
      </c>
      <c r="L14" s="7">
        <v>109300</v>
      </c>
      <c r="M14" s="7">
        <v>761200</v>
      </c>
      <c r="N14" s="7">
        <v>2142000</v>
      </c>
      <c r="O14" s="8">
        <f t="shared" ref="O14:O31" si="41">(224333+K14)/235871</f>
        <v>0.99831687659780133</v>
      </c>
      <c r="P14" s="8">
        <f t="shared" ref="P14:P31" si="42">(224333+L14)/235871</f>
        <v>1.4144723174955802</v>
      </c>
      <c r="Q14" s="8">
        <f t="shared" ref="Q14:Q31" si="43">(224333+M14)/235871</f>
        <v>4.1782711736500033</v>
      </c>
      <c r="R14" s="8">
        <f t="shared" ref="R14:R31" si="44">(224333+N14)/235871</f>
        <v>10.032318513085542</v>
      </c>
      <c r="S14" s="8">
        <f t="shared" ref="S14:S31" si="45">4/3*3.14*((O14/2)^3)</f>
        <v>0.52069527475644894</v>
      </c>
      <c r="T14" s="8">
        <f t="shared" ref="T14:T31" si="46">4/3*3.14*((P14/2)^3)</f>
        <v>1.4810228350369734</v>
      </c>
      <c r="U14" s="8">
        <f t="shared" ref="U14:U31" si="47">4/3*3.14*((Q14/2)^3)</f>
        <v>38.174052434731394</v>
      </c>
      <c r="V14" s="8">
        <f t="shared" ref="V14:V31" si="48">4/3*3.14*((R14/2)^3)</f>
        <v>528.42375598825356</v>
      </c>
      <c r="W14" s="8">
        <f t="shared" ref="W14:W31" si="49">(S14*265)/1000</f>
        <v>0.13798424781045898</v>
      </c>
      <c r="X14" s="8">
        <f t="shared" ref="X14:X31" si="50">(10^(-0.665+LOG(T14, 10)*0.959))</f>
        <v>0.315187309319509</v>
      </c>
      <c r="Y14" s="8">
        <f t="shared" ref="Y14:Y31" si="51">(10^(-0.665+LOG(U14, 10)*0.959))</f>
        <v>7.1107558426012778</v>
      </c>
      <c r="Z14" s="8">
        <f t="shared" ref="Z14:Z31" si="52">(10^(-0.665+LOG(V14, 10)*0.959))</f>
        <v>88.377163375182391</v>
      </c>
      <c r="AA14" s="8">
        <f t="shared" ref="AA14:AA31" si="53">W14*C14</f>
        <v>1686.4434767394296</v>
      </c>
      <c r="AB14" s="8">
        <f t="shared" ref="AB14:AB31" si="54">X14*D14</f>
        <v>769.05703473960193</v>
      </c>
      <c r="AC14" s="8">
        <f t="shared" ref="AC14:AC31" si="55">Y14*E14</f>
        <v>3782.9221082638796</v>
      </c>
      <c r="AD14" s="8">
        <f t="shared" ref="AD14:AD31" si="56">Z14*F14</f>
        <v>11754.162728899259</v>
      </c>
      <c r="AE14" s="8">
        <f t="shared" ref="AE14:AE31" si="57">AA14/(AA14+AB14+AC14+AD14)</f>
        <v>9.3729913965182265E-2</v>
      </c>
      <c r="AF14" s="8">
        <f t="shared" ref="AF14:AF31" si="58">AB14/(AA14+AB14+AC14+AD14)</f>
        <v>4.2742997731431615E-2</v>
      </c>
      <c r="AG14" s="8">
        <f t="shared" ref="AG14:AG31" si="59">AC14/(AA14+AB14+AC14+AD14)</f>
        <v>0.21024894616100082</v>
      </c>
      <c r="AH14" s="8">
        <f t="shared" ref="AH14:AH31" si="60">AD14/(AA14+AB14+AC14+AD14)</f>
        <v>0.65327814214238533</v>
      </c>
      <c r="AI14" s="8"/>
      <c r="AN14" s="10">
        <v>5</v>
      </c>
      <c r="AO14" s="8">
        <f t="shared" ref="AO14:AO31" si="61">H14/L14</f>
        <v>0.36245196706312899</v>
      </c>
      <c r="AP14" s="8">
        <f t="shared" ref="AP14:AP31" si="62">I14/M14</f>
        <v>0.32908565423016289</v>
      </c>
      <c r="AV14" s="5">
        <f t="shared" ref="AV14:AW29" si="63">H14</f>
        <v>39616</v>
      </c>
      <c r="AW14" s="5">
        <f t="shared" si="63"/>
        <v>250500</v>
      </c>
    </row>
    <row r="15" spans="1:52" x14ac:dyDescent="0.2">
      <c r="A15" s="5" t="s">
        <v>225</v>
      </c>
      <c r="B15" s="5">
        <v>5</v>
      </c>
      <c r="C15" s="30">
        <v>33916</v>
      </c>
      <c r="D15" s="30">
        <v>6452</v>
      </c>
      <c r="E15" s="30">
        <v>1371</v>
      </c>
      <c r="F15" s="30">
        <v>274</v>
      </c>
      <c r="G15" s="5">
        <v>6949</v>
      </c>
      <c r="H15" s="5">
        <v>37519</v>
      </c>
      <c r="I15" s="7">
        <v>248900</v>
      </c>
      <c r="J15" s="7">
        <v>291400</v>
      </c>
      <c r="K15" s="5">
        <v>5384</v>
      </c>
      <c r="L15" s="7">
        <v>102500</v>
      </c>
      <c r="M15" s="7">
        <v>774100</v>
      </c>
      <c r="N15" s="7">
        <v>2366000</v>
      </c>
      <c r="O15" s="8">
        <f t="shared" si="41"/>
        <v>0.97390946746314722</v>
      </c>
      <c r="P15" s="8">
        <f t="shared" si="42"/>
        <v>1.3856429997753008</v>
      </c>
      <c r="Q15" s="8">
        <f t="shared" si="43"/>
        <v>4.2329620852075927</v>
      </c>
      <c r="R15" s="8">
        <f t="shared" si="44"/>
        <v>10.98199015563592</v>
      </c>
      <c r="S15" s="8">
        <f t="shared" si="45"/>
        <v>0.48343062666910985</v>
      </c>
      <c r="T15" s="8">
        <f t="shared" si="46"/>
        <v>1.3922988162223862</v>
      </c>
      <c r="U15" s="8">
        <f t="shared" si="47"/>
        <v>39.692781474497401</v>
      </c>
      <c r="V15" s="8">
        <f t="shared" si="48"/>
        <v>693.14093507784366</v>
      </c>
      <c r="W15" s="8">
        <f t="shared" si="49"/>
        <v>0.12810911606731412</v>
      </c>
      <c r="X15" s="8">
        <f t="shared" si="50"/>
        <v>0.29705674863875958</v>
      </c>
      <c r="Y15" s="8">
        <f t="shared" si="51"/>
        <v>7.3818354552507772</v>
      </c>
      <c r="Z15" s="8">
        <f t="shared" si="52"/>
        <v>114.6430850501646</v>
      </c>
      <c r="AA15" s="8">
        <f t="shared" si="53"/>
        <v>4344.9487805390254</v>
      </c>
      <c r="AB15" s="8">
        <f t="shared" si="54"/>
        <v>1916.6101422172769</v>
      </c>
      <c r="AC15" s="8">
        <f t="shared" si="55"/>
        <v>10120.496409148816</v>
      </c>
      <c r="AD15" s="8">
        <f t="shared" si="56"/>
        <v>31412.205303745101</v>
      </c>
      <c r="AE15" s="8">
        <f t="shared" si="57"/>
        <v>9.0909425582746312E-2</v>
      </c>
      <c r="AF15" s="8">
        <f t="shared" si="58"/>
        <v>4.0101261463759481E-2</v>
      </c>
      <c r="AG15" s="8">
        <f t="shared" si="59"/>
        <v>0.2117512913590264</v>
      </c>
      <c r="AH15" s="8">
        <f t="shared" si="60"/>
        <v>0.65723802159446776</v>
      </c>
      <c r="AI15" s="8"/>
      <c r="AN15" s="10">
        <v>5</v>
      </c>
      <c r="AO15" s="8">
        <f t="shared" si="61"/>
        <v>0.36603902439024388</v>
      </c>
      <c r="AP15" s="8">
        <f t="shared" si="62"/>
        <v>0.32153468544115749</v>
      </c>
      <c r="AV15" s="5">
        <f t="shared" si="63"/>
        <v>37519</v>
      </c>
      <c r="AW15" s="5">
        <f t="shared" si="63"/>
        <v>248900</v>
      </c>
    </row>
    <row r="16" spans="1:52" x14ac:dyDescent="0.2">
      <c r="A16" s="5" t="s">
        <v>226</v>
      </c>
      <c r="B16" s="5">
        <v>5</v>
      </c>
      <c r="C16" s="30">
        <v>39051</v>
      </c>
      <c r="D16" s="30">
        <v>6743</v>
      </c>
      <c r="E16" s="30">
        <v>1457</v>
      </c>
      <c r="F16" s="30">
        <v>315</v>
      </c>
      <c r="G16" s="5">
        <v>6291</v>
      </c>
      <c r="H16" s="5">
        <v>38867</v>
      </c>
      <c r="I16" s="7">
        <v>253400</v>
      </c>
      <c r="J16" s="7">
        <v>288300</v>
      </c>
      <c r="K16" s="5">
        <v>6008</v>
      </c>
      <c r="L16" s="7">
        <v>104800</v>
      </c>
      <c r="M16" s="7">
        <v>756900</v>
      </c>
      <c r="N16" s="7">
        <v>2184000</v>
      </c>
      <c r="O16" s="8">
        <f t="shared" si="41"/>
        <v>0.97655498132453755</v>
      </c>
      <c r="P16" s="8">
        <f t="shared" si="42"/>
        <v>1.3953940925336308</v>
      </c>
      <c r="Q16" s="8">
        <f t="shared" si="43"/>
        <v>4.1600408697974744</v>
      </c>
      <c r="R16" s="8">
        <f t="shared" si="44"/>
        <v>10.210381946063738</v>
      </c>
      <c r="S16" s="8">
        <f t="shared" si="45"/>
        <v>0.48738088999151225</v>
      </c>
      <c r="T16" s="8">
        <f t="shared" si="46"/>
        <v>1.4218999462906048</v>
      </c>
      <c r="U16" s="8">
        <f t="shared" si="47"/>
        <v>37.676555341472486</v>
      </c>
      <c r="V16" s="8">
        <f t="shared" si="48"/>
        <v>557.06306279097066</v>
      </c>
      <c r="W16" s="8">
        <f t="shared" si="49"/>
        <v>0.12915593584775076</v>
      </c>
      <c r="X16" s="8">
        <f t="shared" si="50"/>
        <v>0.30311079753908299</v>
      </c>
      <c r="Y16" s="8">
        <f t="shared" si="51"/>
        <v>7.0218616896831882</v>
      </c>
      <c r="Z16" s="8">
        <f t="shared" si="52"/>
        <v>92.965601537704103</v>
      </c>
      <c r="AA16" s="8">
        <f t="shared" si="53"/>
        <v>5043.6684507905147</v>
      </c>
      <c r="AB16" s="8">
        <f t="shared" si="54"/>
        <v>2043.8761078060365</v>
      </c>
      <c r="AC16" s="8">
        <f t="shared" si="55"/>
        <v>10230.852481868405</v>
      </c>
      <c r="AD16" s="8">
        <f t="shared" si="56"/>
        <v>29284.164484376794</v>
      </c>
      <c r="AE16" s="8">
        <f t="shared" si="57"/>
        <v>0.10822727948338118</v>
      </c>
      <c r="AF16" s="8">
        <f t="shared" si="58"/>
        <v>4.3857591534245108E-2</v>
      </c>
      <c r="AG16" s="8">
        <f t="shared" si="59"/>
        <v>0.21953412317077878</v>
      </c>
      <c r="AH16" s="8">
        <f t="shared" si="60"/>
        <v>0.62838100581159484</v>
      </c>
      <c r="AI16" s="8"/>
      <c r="AN16" s="10">
        <v>5</v>
      </c>
      <c r="AO16" s="8">
        <f t="shared" si="61"/>
        <v>0.37086832061068703</v>
      </c>
      <c r="AP16" s="8">
        <f t="shared" si="62"/>
        <v>0.3347866296736689</v>
      </c>
      <c r="AV16" s="5">
        <f t="shared" si="63"/>
        <v>38867</v>
      </c>
      <c r="AW16" s="5">
        <f t="shared" si="63"/>
        <v>253400</v>
      </c>
    </row>
    <row r="17" spans="1:49" x14ac:dyDescent="0.2">
      <c r="A17" s="5" t="s">
        <v>227</v>
      </c>
      <c r="B17" s="5">
        <v>12</v>
      </c>
      <c r="C17" s="30">
        <v>15574</v>
      </c>
      <c r="D17" s="30">
        <v>2542</v>
      </c>
      <c r="E17" s="30">
        <v>541</v>
      </c>
      <c r="F17" s="30">
        <v>104</v>
      </c>
      <c r="G17" s="5">
        <v>6697</v>
      </c>
      <c r="H17" s="5">
        <v>38966</v>
      </c>
      <c r="I17" s="7">
        <v>257400</v>
      </c>
      <c r="J17" s="7">
        <v>290600</v>
      </c>
      <c r="K17" s="5">
        <v>3139</v>
      </c>
      <c r="L17" s="5">
        <v>98992</v>
      </c>
      <c r="M17" s="7">
        <v>806500</v>
      </c>
      <c r="N17" s="7">
        <v>2220000</v>
      </c>
      <c r="O17" s="8">
        <f t="shared" si="41"/>
        <v>0.96439155300990798</v>
      </c>
      <c r="P17" s="8">
        <f t="shared" si="42"/>
        <v>1.3707704635160745</v>
      </c>
      <c r="Q17" s="8">
        <f t="shared" si="43"/>
        <v>4.3703253049336288</v>
      </c>
      <c r="R17" s="8">
        <f t="shared" si="44"/>
        <v>10.363007745759335</v>
      </c>
      <c r="S17" s="8">
        <f t="shared" si="45"/>
        <v>0.46939514253611392</v>
      </c>
      <c r="T17" s="8">
        <f t="shared" si="46"/>
        <v>1.3479463639785463</v>
      </c>
      <c r="U17" s="8">
        <f t="shared" si="47"/>
        <v>43.683727798513374</v>
      </c>
      <c r="V17" s="8">
        <f t="shared" si="48"/>
        <v>582.41944476559104</v>
      </c>
      <c r="W17" s="8">
        <f t="shared" si="49"/>
        <v>0.12438971277207019</v>
      </c>
      <c r="X17" s="8">
        <f t="shared" si="50"/>
        <v>0.28797582723144444</v>
      </c>
      <c r="Y17" s="8">
        <f t="shared" si="51"/>
        <v>8.0921995714373018</v>
      </c>
      <c r="Z17" s="8">
        <f t="shared" si="52"/>
        <v>97.019983287510968</v>
      </c>
      <c r="AA17" s="8">
        <f t="shared" si="53"/>
        <v>1937.245386712221</v>
      </c>
      <c r="AB17" s="8">
        <f t="shared" si="54"/>
        <v>732.03455282233176</v>
      </c>
      <c r="AC17" s="8">
        <f t="shared" si="55"/>
        <v>4377.8799681475803</v>
      </c>
      <c r="AD17" s="8">
        <f t="shared" si="56"/>
        <v>10090.078261901141</v>
      </c>
      <c r="AE17" s="8">
        <f t="shared" si="57"/>
        <v>0.11304303339558062</v>
      </c>
      <c r="AF17" s="8">
        <f t="shared" si="58"/>
        <v>4.2716016757099934E-2</v>
      </c>
      <c r="AG17" s="8">
        <f t="shared" si="59"/>
        <v>0.25546006449964842</v>
      </c>
      <c r="AH17" s="8">
        <f t="shared" si="60"/>
        <v>0.58878088534767103</v>
      </c>
      <c r="AI17" s="8"/>
      <c r="AN17" s="10">
        <v>12</v>
      </c>
      <c r="AO17" s="8">
        <f t="shared" si="61"/>
        <v>0.39362776790043641</v>
      </c>
      <c r="AP17" s="8">
        <f t="shared" si="62"/>
        <v>0.31915685058896465</v>
      </c>
      <c r="AV17" s="5">
        <f t="shared" si="63"/>
        <v>38966</v>
      </c>
      <c r="AW17" s="5">
        <f t="shared" si="63"/>
        <v>257400</v>
      </c>
    </row>
    <row r="18" spans="1:49" x14ac:dyDescent="0.2">
      <c r="A18" s="5" t="s">
        <v>228</v>
      </c>
      <c r="B18" s="5">
        <v>12</v>
      </c>
      <c r="C18" s="30">
        <v>34755</v>
      </c>
      <c r="D18" s="30">
        <v>6177</v>
      </c>
      <c r="E18" s="30">
        <v>1286</v>
      </c>
      <c r="F18" s="30">
        <v>267</v>
      </c>
      <c r="G18" s="5">
        <v>7053</v>
      </c>
      <c r="H18" s="5">
        <v>39082</v>
      </c>
      <c r="I18" s="7">
        <v>244900</v>
      </c>
      <c r="J18" s="7">
        <v>290000</v>
      </c>
      <c r="K18" s="5">
        <v>4749</v>
      </c>
      <c r="L18" s="5">
        <v>97413</v>
      </c>
      <c r="M18" s="7">
        <v>616000</v>
      </c>
      <c r="N18" s="7">
        <v>1999000</v>
      </c>
      <c r="O18" s="8">
        <f t="shared" si="41"/>
        <v>0.97121731794073884</v>
      </c>
      <c r="P18" s="8">
        <f t="shared" si="42"/>
        <v>1.3640761263572037</v>
      </c>
      <c r="Q18" s="8">
        <f t="shared" si="43"/>
        <v>3.5626804482110983</v>
      </c>
      <c r="R18" s="8">
        <f t="shared" si="44"/>
        <v>9.426054919850257</v>
      </c>
      <c r="S18" s="8">
        <f t="shared" si="45"/>
        <v>0.47943269889368134</v>
      </c>
      <c r="T18" s="8">
        <f t="shared" si="46"/>
        <v>1.3282940339066731</v>
      </c>
      <c r="U18" s="8">
        <f t="shared" si="47"/>
        <v>23.66513623170767</v>
      </c>
      <c r="V18" s="8">
        <f t="shared" si="48"/>
        <v>438.29679515594631</v>
      </c>
      <c r="W18" s="8">
        <f t="shared" si="49"/>
        <v>0.12704966520682556</v>
      </c>
      <c r="X18" s="8">
        <f t="shared" si="50"/>
        <v>0.28394822545886567</v>
      </c>
      <c r="Y18" s="8">
        <f t="shared" si="51"/>
        <v>4.495422754540999</v>
      </c>
      <c r="Z18" s="8">
        <f t="shared" si="52"/>
        <v>73.867907212556219</v>
      </c>
      <c r="AA18" s="8">
        <f t="shared" si="53"/>
        <v>4415.6111142632226</v>
      </c>
      <c r="AB18" s="8">
        <f t="shared" si="54"/>
        <v>1753.9481886594133</v>
      </c>
      <c r="AC18" s="8">
        <f t="shared" si="55"/>
        <v>5781.1136623397251</v>
      </c>
      <c r="AD18" s="8">
        <f t="shared" si="56"/>
        <v>19722.731225752512</v>
      </c>
      <c r="AE18" s="8">
        <f t="shared" si="57"/>
        <v>0.13941068941101839</v>
      </c>
      <c r="AF18" s="8">
        <f t="shared" si="58"/>
        <v>5.5376055509592938E-2</v>
      </c>
      <c r="AG18" s="8">
        <f t="shared" si="59"/>
        <v>0.1825226498381792</v>
      </c>
      <c r="AH18" s="8">
        <f t="shared" si="60"/>
        <v>0.62269060524120945</v>
      </c>
      <c r="AI18" s="8"/>
      <c r="AN18" s="10">
        <v>12</v>
      </c>
      <c r="AO18" s="8">
        <f t="shared" si="61"/>
        <v>0.40119901861147894</v>
      </c>
      <c r="AP18" s="8">
        <f t="shared" si="62"/>
        <v>0.39756493506493507</v>
      </c>
      <c r="AV18" s="5">
        <f t="shared" si="63"/>
        <v>39082</v>
      </c>
      <c r="AW18" s="5">
        <f t="shared" si="63"/>
        <v>244900</v>
      </c>
    </row>
    <row r="19" spans="1:49" x14ac:dyDescent="0.2">
      <c r="A19" s="5" t="s">
        <v>229</v>
      </c>
      <c r="B19" s="5">
        <v>12</v>
      </c>
      <c r="C19" s="30">
        <v>40227</v>
      </c>
      <c r="D19" s="30">
        <v>6771</v>
      </c>
      <c r="E19" s="30">
        <v>1297</v>
      </c>
      <c r="F19" s="30">
        <v>261</v>
      </c>
      <c r="G19" s="5">
        <v>6414</v>
      </c>
      <c r="H19" s="5">
        <v>38613</v>
      </c>
      <c r="I19" s="7">
        <v>243200</v>
      </c>
      <c r="J19" s="7">
        <v>288000</v>
      </c>
      <c r="K19" s="5">
        <v>4031</v>
      </c>
      <c r="L19" s="5">
        <v>99195</v>
      </c>
      <c r="M19" s="7">
        <v>586900</v>
      </c>
      <c r="N19" s="7">
        <v>1948000</v>
      </c>
      <c r="O19" s="8">
        <f t="shared" si="41"/>
        <v>0.96817328115792112</v>
      </c>
      <c r="P19" s="8">
        <f t="shared" si="42"/>
        <v>1.3716311034421358</v>
      </c>
      <c r="Q19" s="8">
        <f t="shared" si="43"/>
        <v>3.4393079267904914</v>
      </c>
      <c r="R19" s="8">
        <f t="shared" si="44"/>
        <v>9.2098350369481619</v>
      </c>
      <c r="S19" s="8">
        <f t="shared" si="45"/>
        <v>0.47493882909009016</v>
      </c>
      <c r="T19" s="8">
        <f t="shared" si="46"/>
        <v>1.3504868877431442</v>
      </c>
      <c r="U19" s="8">
        <f t="shared" si="47"/>
        <v>21.290780356763825</v>
      </c>
      <c r="V19" s="8">
        <f t="shared" si="48"/>
        <v>408.82171122091023</v>
      </c>
      <c r="W19" s="8">
        <f t="shared" si="49"/>
        <v>0.1258587897088739</v>
      </c>
      <c r="X19" s="8">
        <f t="shared" si="50"/>
        <v>0.28849631259653191</v>
      </c>
      <c r="Y19" s="8">
        <f t="shared" si="51"/>
        <v>4.061960771433399</v>
      </c>
      <c r="Z19" s="8">
        <f t="shared" si="52"/>
        <v>69.097297169936112</v>
      </c>
      <c r="AA19" s="8">
        <f t="shared" si="53"/>
        <v>5062.9215336188709</v>
      </c>
      <c r="AB19" s="8">
        <f t="shared" si="54"/>
        <v>1953.4085325911176</v>
      </c>
      <c r="AC19" s="8">
        <f t="shared" si="55"/>
        <v>5268.3631205491183</v>
      </c>
      <c r="AD19" s="8">
        <f t="shared" si="56"/>
        <v>18034.394561353325</v>
      </c>
      <c r="AE19" s="8">
        <f t="shared" si="57"/>
        <v>0.16698792442836846</v>
      </c>
      <c r="AF19" s="8">
        <f t="shared" si="58"/>
        <v>6.442834127529877E-2</v>
      </c>
      <c r="AG19" s="8">
        <f t="shared" si="59"/>
        <v>0.17376390623352805</v>
      </c>
      <c r="AH19" s="8">
        <f t="shared" si="60"/>
        <v>0.59481982806280465</v>
      </c>
      <c r="AI19" s="8"/>
      <c r="AN19" s="10">
        <v>12</v>
      </c>
      <c r="AO19" s="8">
        <f t="shared" si="61"/>
        <v>0.38926357175260851</v>
      </c>
      <c r="AP19" s="8">
        <f t="shared" si="62"/>
        <v>0.4143806440620208</v>
      </c>
      <c r="AV19" s="5">
        <f t="shared" si="63"/>
        <v>38613</v>
      </c>
      <c r="AW19" s="5">
        <f t="shared" si="63"/>
        <v>243200</v>
      </c>
    </row>
    <row r="20" spans="1:49" x14ac:dyDescent="0.2">
      <c r="A20" s="5" t="s">
        <v>230</v>
      </c>
      <c r="B20" s="5">
        <v>20</v>
      </c>
      <c r="C20" s="30">
        <v>13127</v>
      </c>
      <c r="D20" s="30">
        <v>2291</v>
      </c>
      <c r="E20" s="30">
        <v>532</v>
      </c>
      <c r="F20" s="30">
        <v>132</v>
      </c>
      <c r="G20" s="5">
        <v>6939</v>
      </c>
      <c r="H20" s="5">
        <v>40477</v>
      </c>
      <c r="I20" s="7">
        <v>250300</v>
      </c>
      <c r="J20" s="7">
        <v>290600</v>
      </c>
      <c r="K20" s="5">
        <v>6976</v>
      </c>
      <c r="L20" s="7">
        <v>102700</v>
      </c>
      <c r="M20" s="7">
        <v>743300</v>
      </c>
      <c r="N20" s="7">
        <v>2127000</v>
      </c>
      <c r="O20" s="8">
        <f t="shared" si="41"/>
        <v>0.98065891949413031</v>
      </c>
      <c r="P20" s="8">
        <f t="shared" si="42"/>
        <v>1.3864909208847209</v>
      </c>
      <c r="Q20" s="8">
        <f t="shared" si="43"/>
        <v>4.1023822343569156</v>
      </c>
      <c r="R20" s="8">
        <f t="shared" si="44"/>
        <v>9.9687244298790443</v>
      </c>
      <c r="S20" s="8">
        <f t="shared" si="45"/>
        <v>0.49355135210088141</v>
      </c>
      <c r="T20" s="8">
        <f t="shared" si="46"/>
        <v>1.3948563627076596</v>
      </c>
      <c r="U20" s="8">
        <f t="shared" si="47"/>
        <v>36.131564418455056</v>
      </c>
      <c r="V20" s="8">
        <f t="shared" si="48"/>
        <v>518.43840994643745</v>
      </c>
      <c r="W20" s="8">
        <f t="shared" si="49"/>
        <v>0.13079110830673357</v>
      </c>
      <c r="X20" s="8">
        <f t="shared" si="50"/>
        <v>0.29758002699097119</v>
      </c>
      <c r="Y20" s="8">
        <f t="shared" si="51"/>
        <v>6.7454885366487973</v>
      </c>
      <c r="Z20" s="8">
        <f t="shared" si="52"/>
        <v>86.774992737588633</v>
      </c>
      <c r="AA20" s="8">
        <f t="shared" si="53"/>
        <v>1716.8948787424915</v>
      </c>
      <c r="AB20" s="8">
        <f t="shared" si="54"/>
        <v>681.75584183631497</v>
      </c>
      <c r="AC20" s="8">
        <f t="shared" si="55"/>
        <v>3588.5999014971603</v>
      </c>
      <c r="AD20" s="8">
        <f t="shared" si="56"/>
        <v>11454.299041361699</v>
      </c>
      <c r="AE20" s="8">
        <f t="shared" si="57"/>
        <v>9.8437060460377576E-2</v>
      </c>
      <c r="AF20" s="8">
        <f t="shared" si="58"/>
        <v>3.908803145316065E-2</v>
      </c>
      <c r="AG20" s="8">
        <f t="shared" si="59"/>
        <v>0.20575006067378651</v>
      </c>
      <c r="AH20" s="8">
        <f t="shared" si="60"/>
        <v>0.65672484741267534</v>
      </c>
      <c r="AN20" s="10">
        <v>20</v>
      </c>
      <c r="AO20" s="8">
        <f t="shared" si="61"/>
        <v>0.39412852969814993</v>
      </c>
      <c r="AP20" s="8">
        <f t="shared" si="62"/>
        <v>0.33674155791739541</v>
      </c>
      <c r="AV20" s="5">
        <f t="shared" si="63"/>
        <v>40477</v>
      </c>
      <c r="AW20" s="5">
        <f t="shared" si="63"/>
        <v>250300</v>
      </c>
    </row>
    <row r="21" spans="1:49" x14ac:dyDescent="0.2">
      <c r="A21" s="5" t="s">
        <v>231</v>
      </c>
      <c r="B21" s="5">
        <v>20</v>
      </c>
      <c r="C21" s="30">
        <v>35209</v>
      </c>
      <c r="D21" s="30">
        <v>6607</v>
      </c>
      <c r="E21" s="30">
        <v>1356</v>
      </c>
      <c r="F21" s="30">
        <v>280</v>
      </c>
      <c r="G21" s="5">
        <v>7228</v>
      </c>
      <c r="H21" s="5">
        <v>40138</v>
      </c>
      <c r="I21" s="7">
        <v>249900</v>
      </c>
      <c r="J21" s="7">
        <v>291400</v>
      </c>
      <c r="K21" s="5">
        <v>5025</v>
      </c>
      <c r="L21" s="5">
        <v>95719</v>
      </c>
      <c r="M21" s="7">
        <v>715200</v>
      </c>
      <c r="N21" s="7">
        <v>1930000</v>
      </c>
      <c r="O21" s="8">
        <f t="shared" si="41"/>
        <v>0.97238744907173835</v>
      </c>
      <c r="P21" s="8">
        <f t="shared" si="42"/>
        <v>1.3568942345604165</v>
      </c>
      <c r="Q21" s="8">
        <f t="shared" si="43"/>
        <v>3.9832493184834084</v>
      </c>
      <c r="R21" s="8">
        <f t="shared" si="44"/>
        <v>9.1335221371003641</v>
      </c>
      <c r="S21" s="8">
        <f t="shared" si="45"/>
        <v>0.48116766165820962</v>
      </c>
      <c r="T21" s="8">
        <f t="shared" si="46"/>
        <v>1.307423808024234</v>
      </c>
      <c r="U21" s="8">
        <f t="shared" si="47"/>
        <v>33.074315829852601</v>
      </c>
      <c r="V21" s="8">
        <f t="shared" si="48"/>
        <v>398.74316786235329</v>
      </c>
      <c r="W21" s="8">
        <f t="shared" si="49"/>
        <v>0.12750943033942555</v>
      </c>
      <c r="X21" s="8">
        <f t="shared" si="50"/>
        <v>0.2796683480969811</v>
      </c>
      <c r="Y21" s="8">
        <f t="shared" si="51"/>
        <v>6.1971462233513375</v>
      </c>
      <c r="Z21" s="8">
        <f t="shared" si="52"/>
        <v>67.46287286331949</v>
      </c>
      <c r="AA21" s="8">
        <f t="shared" si="53"/>
        <v>4489.4795328208338</v>
      </c>
      <c r="AB21" s="8">
        <f t="shared" si="54"/>
        <v>1847.768775876754</v>
      </c>
      <c r="AC21" s="8">
        <f t="shared" si="55"/>
        <v>8403.3302788644141</v>
      </c>
      <c r="AD21" s="8">
        <f t="shared" si="56"/>
        <v>18889.604401729455</v>
      </c>
      <c r="AE21" s="8">
        <f t="shared" si="57"/>
        <v>0.13349554280600784</v>
      </c>
      <c r="AF21" s="8">
        <f t="shared" si="58"/>
        <v>5.4943762169391758E-2</v>
      </c>
      <c r="AG21" s="8">
        <f t="shared" si="59"/>
        <v>0.24987465222952276</v>
      </c>
      <c r="AH21" s="8">
        <f t="shared" si="60"/>
        <v>0.56168604279507772</v>
      </c>
      <c r="AN21" s="10">
        <v>20</v>
      </c>
      <c r="AO21" s="8">
        <f t="shared" si="61"/>
        <v>0.41933158516073088</v>
      </c>
      <c r="AP21" s="8">
        <f t="shared" si="62"/>
        <v>0.34941275167785235</v>
      </c>
      <c r="AV21" s="5">
        <f t="shared" si="63"/>
        <v>40138</v>
      </c>
      <c r="AW21" s="5">
        <f t="shared" si="63"/>
        <v>249900</v>
      </c>
    </row>
    <row r="22" spans="1:49" x14ac:dyDescent="0.2">
      <c r="A22" s="5" t="s">
        <v>232</v>
      </c>
      <c r="B22" s="5">
        <v>20</v>
      </c>
      <c r="C22" s="30">
        <v>41246</v>
      </c>
      <c r="D22" s="30">
        <v>6904</v>
      </c>
      <c r="E22" s="30">
        <v>1357</v>
      </c>
      <c r="F22" s="30">
        <v>249</v>
      </c>
      <c r="G22" s="5">
        <v>6651</v>
      </c>
      <c r="H22" s="5">
        <v>39118</v>
      </c>
      <c r="I22" s="7">
        <v>246800</v>
      </c>
      <c r="J22" s="7">
        <v>285900</v>
      </c>
      <c r="K22" s="5">
        <v>6177</v>
      </c>
      <c r="L22" s="5">
        <v>94178</v>
      </c>
      <c r="M22" s="7">
        <v>661200</v>
      </c>
      <c r="N22" s="7">
        <v>1629000</v>
      </c>
      <c r="O22" s="8">
        <f t="shared" si="41"/>
        <v>0.97727147466199749</v>
      </c>
      <c r="P22" s="8">
        <f t="shared" si="42"/>
        <v>1.3503610024123356</v>
      </c>
      <c r="Q22" s="8">
        <f t="shared" si="43"/>
        <v>3.7543106189400137</v>
      </c>
      <c r="R22" s="8">
        <f t="shared" si="44"/>
        <v>7.8574008674232951</v>
      </c>
      <c r="S22" s="8">
        <f t="shared" si="45"/>
        <v>0.48845444377961483</v>
      </c>
      <c r="T22" s="8">
        <f t="shared" si="46"/>
        <v>1.2886294714711484</v>
      </c>
      <c r="U22" s="8">
        <f t="shared" si="47"/>
        <v>27.692936073905042</v>
      </c>
      <c r="V22" s="8">
        <f t="shared" si="48"/>
        <v>253.87218980254144</v>
      </c>
      <c r="W22" s="8">
        <f t="shared" si="49"/>
        <v>0.12944042760159791</v>
      </c>
      <c r="X22" s="8">
        <f t="shared" si="50"/>
        <v>0.27581177878746704</v>
      </c>
      <c r="Y22" s="8">
        <f t="shared" si="51"/>
        <v>5.2267517586258823</v>
      </c>
      <c r="Z22" s="8">
        <f t="shared" si="52"/>
        <v>43.754820728167218</v>
      </c>
      <c r="AA22" s="8">
        <f t="shared" si="53"/>
        <v>5338.8998768555075</v>
      </c>
      <c r="AB22" s="8">
        <f t="shared" si="54"/>
        <v>1904.2045207486724</v>
      </c>
      <c r="AC22" s="8">
        <f t="shared" si="55"/>
        <v>7092.702136455322</v>
      </c>
      <c r="AD22" s="8">
        <f t="shared" si="56"/>
        <v>10894.950361313637</v>
      </c>
      <c r="AE22" s="8">
        <f t="shared" si="57"/>
        <v>0.21160284247495423</v>
      </c>
      <c r="AF22" s="8">
        <f t="shared" si="58"/>
        <v>7.5471557537691969E-2</v>
      </c>
      <c r="AG22" s="8">
        <f t="shared" si="59"/>
        <v>0.28111333186980192</v>
      </c>
      <c r="AH22" s="8">
        <f t="shared" si="60"/>
        <v>0.43181226811755186</v>
      </c>
      <c r="AN22" s="10">
        <v>20</v>
      </c>
      <c r="AO22" s="8">
        <f t="shared" si="61"/>
        <v>0.41536239886172993</v>
      </c>
      <c r="AP22" s="8">
        <f t="shared" si="62"/>
        <v>0.37326073805202664</v>
      </c>
      <c r="AV22" s="5">
        <f t="shared" si="63"/>
        <v>39118</v>
      </c>
      <c r="AW22" s="5">
        <f t="shared" si="63"/>
        <v>246800</v>
      </c>
    </row>
    <row r="23" spans="1:49" x14ac:dyDescent="0.2">
      <c r="A23" s="5" t="s">
        <v>233</v>
      </c>
      <c r="B23" s="5">
        <v>30</v>
      </c>
      <c r="C23" s="30">
        <v>14976</v>
      </c>
      <c r="D23" s="30">
        <v>2814</v>
      </c>
      <c r="E23" s="30">
        <v>528</v>
      </c>
      <c r="F23" s="30">
        <v>110</v>
      </c>
      <c r="G23" s="5">
        <v>7257</v>
      </c>
      <c r="H23" s="5">
        <v>41455</v>
      </c>
      <c r="I23" s="7">
        <v>241000</v>
      </c>
      <c r="J23" s="7">
        <v>287400</v>
      </c>
      <c r="K23" s="5">
        <v>3251</v>
      </c>
      <c r="L23" s="5">
        <v>93538</v>
      </c>
      <c r="M23" s="7">
        <v>612200</v>
      </c>
      <c r="N23" s="7">
        <v>1994000</v>
      </c>
      <c r="O23" s="8">
        <f t="shared" si="41"/>
        <v>0.96486638883118314</v>
      </c>
      <c r="P23" s="8">
        <f t="shared" si="42"/>
        <v>1.3476476548621916</v>
      </c>
      <c r="Q23" s="8">
        <f t="shared" si="43"/>
        <v>3.5465699471321188</v>
      </c>
      <c r="R23" s="8">
        <f t="shared" si="44"/>
        <v>9.4048568921147577</v>
      </c>
      <c r="S23" s="8">
        <f t="shared" si="45"/>
        <v>0.47008882982673689</v>
      </c>
      <c r="T23" s="8">
        <f t="shared" si="46"/>
        <v>1.2808771475483012</v>
      </c>
      <c r="U23" s="8">
        <f t="shared" si="47"/>
        <v>23.345543367115564</v>
      </c>
      <c r="V23" s="8">
        <f t="shared" si="48"/>
        <v>435.34641485567062</v>
      </c>
      <c r="W23" s="8">
        <f t="shared" si="49"/>
        <v>0.12457353990408528</v>
      </c>
      <c r="X23" s="8">
        <f t="shared" si="50"/>
        <v>0.27422034367181908</v>
      </c>
      <c r="Y23" s="8">
        <f t="shared" si="51"/>
        <v>4.4371858884051472</v>
      </c>
      <c r="Z23" s="8">
        <f t="shared" si="52"/>
        <v>73.390988708017844</v>
      </c>
      <c r="AA23" s="8">
        <f t="shared" si="53"/>
        <v>1865.6133336035812</v>
      </c>
      <c r="AB23" s="8">
        <f t="shared" si="54"/>
        <v>771.65604709249885</v>
      </c>
      <c r="AC23" s="8">
        <f t="shared" si="55"/>
        <v>2342.8341490779176</v>
      </c>
      <c r="AD23" s="8">
        <f t="shared" si="56"/>
        <v>8073.008757881963</v>
      </c>
      <c r="AE23" s="8">
        <f t="shared" si="57"/>
        <v>0.14292479007997583</v>
      </c>
      <c r="AF23" s="8">
        <f t="shared" si="58"/>
        <v>5.9116632883196518E-2</v>
      </c>
      <c r="AG23" s="8">
        <f t="shared" si="59"/>
        <v>0.17948471578640168</v>
      </c>
      <c r="AH23" s="8">
        <f t="shared" si="60"/>
        <v>0.61847386125042603</v>
      </c>
      <c r="AN23" s="10">
        <v>30</v>
      </c>
      <c r="AO23" s="8">
        <f t="shared" si="61"/>
        <v>0.44318886441873889</v>
      </c>
      <c r="AP23" s="8">
        <f t="shared" si="62"/>
        <v>0.39366220189480561</v>
      </c>
      <c r="AV23" s="5">
        <f t="shared" si="63"/>
        <v>41455</v>
      </c>
      <c r="AW23" s="5">
        <f t="shared" si="63"/>
        <v>241000</v>
      </c>
    </row>
    <row r="24" spans="1:49" x14ac:dyDescent="0.2">
      <c r="A24" s="5" t="s">
        <v>234</v>
      </c>
      <c r="B24" s="5">
        <v>30</v>
      </c>
      <c r="C24" s="30">
        <v>34056</v>
      </c>
      <c r="D24" s="30">
        <v>5678</v>
      </c>
      <c r="E24" s="30">
        <v>1104</v>
      </c>
      <c r="F24" s="30">
        <v>188</v>
      </c>
      <c r="G24" s="5">
        <v>7634</v>
      </c>
      <c r="H24" s="5">
        <v>42043</v>
      </c>
      <c r="I24" s="7">
        <v>246400</v>
      </c>
      <c r="J24" s="7">
        <v>293600</v>
      </c>
      <c r="K24" s="5">
        <v>6317</v>
      </c>
      <c r="L24" s="5">
        <v>88305</v>
      </c>
      <c r="M24" s="7">
        <v>529300</v>
      </c>
      <c r="N24" s="7">
        <v>1791000</v>
      </c>
      <c r="O24" s="8">
        <f t="shared" si="41"/>
        <v>0.97786501943859139</v>
      </c>
      <c r="P24" s="8">
        <f t="shared" si="42"/>
        <v>1.3254617990342179</v>
      </c>
      <c r="Q24" s="8">
        <f t="shared" si="43"/>
        <v>3.1951066472775373</v>
      </c>
      <c r="R24" s="8">
        <f t="shared" si="44"/>
        <v>8.5442169660534777</v>
      </c>
      <c r="S24" s="8">
        <f t="shared" si="45"/>
        <v>0.48934497126115484</v>
      </c>
      <c r="T24" s="8">
        <f t="shared" si="46"/>
        <v>1.2186529502081189</v>
      </c>
      <c r="U24" s="8">
        <f t="shared" si="47"/>
        <v>17.070037451480722</v>
      </c>
      <c r="V24" s="8">
        <f t="shared" si="48"/>
        <v>326.43386092201166</v>
      </c>
      <c r="W24" s="8">
        <f t="shared" si="49"/>
        <v>0.12967641738420602</v>
      </c>
      <c r="X24" s="8">
        <f t="shared" si="50"/>
        <v>0.26143213065371246</v>
      </c>
      <c r="Y24" s="8">
        <f t="shared" si="51"/>
        <v>3.2863427817838735</v>
      </c>
      <c r="Z24" s="8">
        <f t="shared" si="52"/>
        <v>55.683894045830279</v>
      </c>
      <c r="AA24" s="8">
        <f t="shared" si="53"/>
        <v>4416.2600704365204</v>
      </c>
      <c r="AB24" s="8">
        <f t="shared" si="54"/>
        <v>1484.4116378517792</v>
      </c>
      <c r="AC24" s="8">
        <f t="shared" si="55"/>
        <v>3628.1224310893963</v>
      </c>
      <c r="AD24" s="8">
        <f t="shared" si="56"/>
        <v>10468.572080616092</v>
      </c>
      <c r="AE24" s="8">
        <f t="shared" si="57"/>
        <v>0.22084208599535723</v>
      </c>
      <c r="AF24" s="8">
        <f t="shared" si="58"/>
        <v>7.4230357214123188E-2</v>
      </c>
      <c r="AG24" s="8">
        <f t="shared" si="59"/>
        <v>0.18143001389162552</v>
      </c>
      <c r="AH24" s="8">
        <f t="shared" si="60"/>
        <v>0.52349754289889394</v>
      </c>
      <c r="AN24" s="10">
        <v>30</v>
      </c>
      <c r="AO24" s="8">
        <f t="shared" si="61"/>
        <v>0.47611120548100333</v>
      </c>
      <c r="AP24" s="8">
        <f t="shared" si="62"/>
        <v>0.46552049877196294</v>
      </c>
      <c r="AV24" s="5">
        <f t="shared" si="63"/>
        <v>42043</v>
      </c>
      <c r="AW24" s="5">
        <f t="shared" si="63"/>
        <v>246400</v>
      </c>
    </row>
    <row r="25" spans="1:49" x14ac:dyDescent="0.2">
      <c r="A25" s="5" t="s">
        <v>235</v>
      </c>
      <c r="B25" s="5">
        <v>30</v>
      </c>
      <c r="C25" s="30">
        <v>38989</v>
      </c>
      <c r="D25" s="30">
        <v>6154</v>
      </c>
      <c r="E25" s="30">
        <v>1142</v>
      </c>
      <c r="F25" s="30">
        <v>260</v>
      </c>
      <c r="G25" s="5">
        <v>7277</v>
      </c>
      <c r="H25" s="5">
        <v>41361</v>
      </c>
      <c r="I25" s="7">
        <v>247100</v>
      </c>
      <c r="J25" s="7">
        <v>289700</v>
      </c>
      <c r="K25" s="5">
        <v>3750</v>
      </c>
      <c r="L25" s="5">
        <v>84894</v>
      </c>
      <c r="M25" s="7">
        <v>549400</v>
      </c>
      <c r="N25" s="7">
        <v>1547000</v>
      </c>
      <c r="O25" s="8">
        <f t="shared" si="41"/>
        <v>0.96698195199918602</v>
      </c>
      <c r="P25" s="8">
        <f t="shared" si="42"/>
        <v>1.3110005045130602</v>
      </c>
      <c r="Q25" s="8">
        <f t="shared" si="43"/>
        <v>3.2803227187742454</v>
      </c>
      <c r="R25" s="8">
        <f t="shared" si="44"/>
        <v>7.5097532125611037</v>
      </c>
      <c r="S25" s="8">
        <f t="shared" si="45"/>
        <v>0.47318776071320878</v>
      </c>
      <c r="T25" s="8">
        <f t="shared" si="46"/>
        <v>1.1791986522645141</v>
      </c>
      <c r="U25" s="8">
        <f t="shared" si="47"/>
        <v>18.472603691795932</v>
      </c>
      <c r="V25" s="8">
        <f t="shared" si="48"/>
        <v>221.64370116854172</v>
      </c>
      <c r="W25" s="8">
        <f t="shared" si="49"/>
        <v>0.12539475658900032</v>
      </c>
      <c r="X25" s="8">
        <f t="shared" si="50"/>
        <v>0.2533097511184782</v>
      </c>
      <c r="Y25" s="8">
        <f t="shared" si="51"/>
        <v>3.5448712028261773</v>
      </c>
      <c r="Z25" s="8">
        <f t="shared" si="52"/>
        <v>38.413468457182574</v>
      </c>
      <c r="AA25" s="8">
        <f t="shared" si="53"/>
        <v>4889.016164648533</v>
      </c>
      <c r="AB25" s="8">
        <f t="shared" si="54"/>
        <v>1558.8682083831147</v>
      </c>
      <c r="AC25" s="8">
        <f t="shared" si="55"/>
        <v>4048.2429136274945</v>
      </c>
      <c r="AD25" s="8">
        <f t="shared" si="56"/>
        <v>9987.5017988674699</v>
      </c>
      <c r="AE25" s="8">
        <f t="shared" si="57"/>
        <v>0.23867919811646215</v>
      </c>
      <c r="AF25" s="8">
        <f t="shared" si="58"/>
        <v>7.610312615378223E-2</v>
      </c>
      <c r="AG25" s="8">
        <f t="shared" si="59"/>
        <v>0.19763309014845981</v>
      </c>
      <c r="AH25" s="8">
        <f t="shared" si="60"/>
        <v>0.48758458558129575</v>
      </c>
      <c r="AN25" s="10">
        <v>30</v>
      </c>
      <c r="AO25" s="8">
        <f t="shared" si="61"/>
        <v>0.48720757650717367</v>
      </c>
      <c r="AP25" s="8">
        <f t="shared" si="62"/>
        <v>0.44976337823079721</v>
      </c>
      <c r="AV25" s="5">
        <f t="shared" si="63"/>
        <v>41361</v>
      </c>
      <c r="AW25" s="5">
        <f t="shared" si="63"/>
        <v>247100</v>
      </c>
    </row>
    <row r="26" spans="1:49" x14ac:dyDescent="0.2">
      <c r="A26" s="5" t="s">
        <v>236</v>
      </c>
      <c r="B26" s="5">
        <v>40</v>
      </c>
      <c r="C26" s="30">
        <v>19188</v>
      </c>
      <c r="D26" s="30">
        <v>3506</v>
      </c>
      <c r="E26" s="30">
        <v>608</v>
      </c>
      <c r="F26" s="30">
        <v>193</v>
      </c>
      <c r="G26" s="5">
        <v>7507</v>
      </c>
      <c r="H26" s="5">
        <v>40452</v>
      </c>
      <c r="I26" s="7">
        <v>239200</v>
      </c>
      <c r="J26" s="7">
        <v>277400</v>
      </c>
      <c r="K26" s="5">
        <v>13555</v>
      </c>
      <c r="L26" s="5">
        <v>77026</v>
      </c>
      <c r="M26" s="7">
        <v>558000</v>
      </c>
      <c r="N26" s="7">
        <v>2009000</v>
      </c>
      <c r="O26" s="8">
        <f t="shared" si="41"/>
        <v>1.0085512843885005</v>
      </c>
      <c r="P26" s="8">
        <f t="shared" si="42"/>
        <v>1.277643288068478</v>
      </c>
      <c r="Q26" s="8">
        <f t="shared" si="43"/>
        <v>3.3167833264793045</v>
      </c>
      <c r="R26" s="8">
        <f t="shared" si="44"/>
        <v>9.4684509753212556</v>
      </c>
      <c r="S26" s="8">
        <f t="shared" si="45"/>
        <v>0.53687398247741591</v>
      </c>
      <c r="T26" s="8">
        <f t="shared" si="46"/>
        <v>1.0914585594971715</v>
      </c>
      <c r="U26" s="8">
        <f t="shared" si="47"/>
        <v>19.095441426214897</v>
      </c>
      <c r="V26" s="8">
        <f t="shared" si="48"/>
        <v>444.23748556403251</v>
      </c>
      <c r="W26" s="8">
        <f t="shared" si="49"/>
        <v>0.1422716053565152</v>
      </c>
      <c r="X26" s="8">
        <f t="shared" si="50"/>
        <v>0.23520630196799397</v>
      </c>
      <c r="Y26" s="8">
        <f t="shared" si="51"/>
        <v>3.659414331130117</v>
      </c>
      <c r="Z26" s="8">
        <f t="shared" si="52"/>
        <v>74.827800384224119</v>
      </c>
      <c r="AA26" s="8">
        <f t="shared" si="53"/>
        <v>2729.9075635808135</v>
      </c>
      <c r="AB26" s="8">
        <f t="shared" si="54"/>
        <v>824.6332946997868</v>
      </c>
      <c r="AC26" s="8">
        <f t="shared" si="55"/>
        <v>2224.9239133271112</v>
      </c>
      <c r="AD26" s="8">
        <f t="shared" si="56"/>
        <v>14441.765474155254</v>
      </c>
      <c r="AE26" s="8">
        <f t="shared" si="57"/>
        <v>0.13500205132933599</v>
      </c>
      <c r="AF26" s="8">
        <f t="shared" si="58"/>
        <v>4.078056995926721E-2</v>
      </c>
      <c r="AG26" s="8">
        <f t="shared" si="59"/>
        <v>0.11002910734342231</v>
      </c>
      <c r="AH26" s="8">
        <f t="shared" si="60"/>
        <v>0.71418827136797447</v>
      </c>
      <c r="AN26" s="10">
        <v>40</v>
      </c>
      <c r="AO26" s="8">
        <f t="shared" si="61"/>
        <v>0.5251733181003817</v>
      </c>
      <c r="AP26" s="8">
        <f t="shared" si="62"/>
        <v>0.42867383512544804</v>
      </c>
      <c r="AV26" s="5">
        <f t="shared" si="63"/>
        <v>40452</v>
      </c>
      <c r="AW26" s="5">
        <f t="shared" si="63"/>
        <v>239200</v>
      </c>
    </row>
    <row r="27" spans="1:49" x14ac:dyDescent="0.2">
      <c r="A27" s="5" t="s">
        <v>237</v>
      </c>
      <c r="B27" s="5">
        <v>40</v>
      </c>
      <c r="C27" s="30">
        <v>38067</v>
      </c>
      <c r="D27" s="30">
        <v>6152</v>
      </c>
      <c r="E27" s="30">
        <v>1239</v>
      </c>
      <c r="F27" s="30">
        <v>188</v>
      </c>
      <c r="G27" s="5">
        <v>8195</v>
      </c>
      <c r="H27" s="5">
        <v>43965</v>
      </c>
      <c r="I27" s="7">
        <v>246800</v>
      </c>
      <c r="J27" s="7">
        <v>291500</v>
      </c>
      <c r="K27" s="5">
        <v>4119</v>
      </c>
      <c r="L27" s="5">
        <v>85993</v>
      </c>
      <c r="M27" s="7">
        <v>505800</v>
      </c>
      <c r="N27" s="7">
        <v>2052000</v>
      </c>
      <c r="O27" s="8">
        <f t="shared" si="41"/>
        <v>0.96854636644606584</v>
      </c>
      <c r="P27" s="8">
        <f t="shared" si="42"/>
        <v>1.3156598310093228</v>
      </c>
      <c r="Q27" s="8">
        <f t="shared" si="43"/>
        <v>3.0954759169206896</v>
      </c>
      <c r="R27" s="8">
        <f t="shared" si="44"/>
        <v>9.6507540138465515</v>
      </c>
      <c r="S27" s="8">
        <f t="shared" si="45"/>
        <v>0.47548809330737474</v>
      </c>
      <c r="T27" s="8">
        <f t="shared" si="46"/>
        <v>1.1918160877462198</v>
      </c>
      <c r="U27" s="8">
        <f t="shared" si="47"/>
        <v>15.522464891083061</v>
      </c>
      <c r="V27" s="8">
        <f t="shared" si="48"/>
        <v>470.39439260795706</v>
      </c>
      <c r="W27" s="8">
        <f t="shared" si="49"/>
        <v>0.1260043447264543</v>
      </c>
      <c r="X27" s="8">
        <f t="shared" si="50"/>
        <v>0.25590847245848736</v>
      </c>
      <c r="Y27" s="8">
        <f t="shared" si="51"/>
        <v>3.0000693779524918</v>
      </c>
      <c r="Z27" s="8">
        <f t="shared" si="52"/>
        <v>79.048055000500042</v>
      </c>
      <c r="AA27" s="8">
        <f t="shared" si="53"/>
        <v>4796.6073907019363</v>
      </c>
      <c r="AB27" s="8">
        <f t="shared" si="54"/>
        <v>1574.3489225646142</v>
      </c>
      <c r="AC27" s="8">
        <f t="shared" si="55"/>
        <v>3717.0859592831375</v>
      </c>
      <c r="AD27" s="8">
        <f t="shared" si="56"/>
        <v>14861.034340094007</v>
      </c>
      <c r="AE27" s="8">
        <f t="shared" si="57"/>
        <v>0.19225590851210547</v>
      </c>
      <c r="AF27" s="8">
        <f t="shared" si="58"/>
        <v>6.3102492609556762E-2</v>
      </c>
      <c r="AG27" s="8">
        <f t="shared" si="59"/>
        <v>0.14898691510688586</v>
      </c>
      <c r="AH27" s="8">
        <f t="shared" si="60"/>
        <v>0.59565468377145192</v>
      </c>
      <c r="AN27" s="10">
        <v>40</v>
      </c>
      <c r="AO27" s="8">
        <f t="shared" si="61"/>
        <v>0.5112625446257254</v>
      </c>
      <c r="AP27" s="8">
        <f t="shared" si="62"/>
        <v>0.48793989719256625</v>
      </c>
      <c r="AV27" s="5">
        <f t="shared" si="63"/>
        <v>43965</v>
      </c>
      <c r="AW27" s="5">
        <f t="shared" si="63"/>
        <v>246800</v>
      </c>
    </row>
    <row r="28" spans="1:49" x14ac:dyDescent="0.2">
      <c r="A28" s="5" t="s">
        <v>238</v>
      </c>
      <c r="B28" s="5">
        <v>40</v>
      </c>
      <c r="C28" s="30">
        <v>41015</v>
      </c>
      <c r="D28" s="30">
        <v>6718</v>
      </c>
      <c r="E28" s="30">
        <v>1262</v>
      </c>
      <c r="F28" s="30">
        <v>192</v>
      </c>
      <c r="G28" s="5">
        <v>7967</v>
      </c>
      <c r="H28" s="5">
        <v>43327</v>
      </c>
      <c r="I28" s="7">
        <v>240200</v>
      </c>
      <c r="J28" s="7">
        <v>284200</v>
      </c>
      <c r="K28" s="5">
        <v>4639</v>
      </c>
      <c r="L28" s="5">
        <v>84348</v>
      </c>
      <c r="M28" s="7">
        <v>466700</v>
      </c>
      <c r="N28" s="7">
        <v>1849000</v>
      </c>
      <c r="O28" s="8">
        <f t="shared" si="41"/>
        <v>0.97075096133055783</v>
      </c>
      <c r="P28" s="8">
        <f t="shared" si="42"/>
        <v>1.3086856798843436</v>
      </c>
      <c r="Q28" s="8">
        <f t="shared" si="43"/>
        <v>2.9297073400290836</v>
      </c>
      <c r="R28" s="8">
        <f t="shared" si="44"/>
        <v>8.7901140877852733</v>
      </c>
      <c r="S28" s="8">
        <f t="shared" si="45"/>
        <v>0.47874239222363485</v>
      </c>
      <c r="T28" s="8">
        <f t="shared" si="46"/>
        <v>1.1729633658406688</v>
      </c>
      <c r="U28" s="8">
        <f t="shared" si="47"/>
        <v>13.159855333814081</v>
      </c>
      <c r="V28" s="8">
        <f t="shared" si="48"/>
        <v>355.43642596700448</v>
      </c>
      <c r="W28" s="8">
        <f t="shared" si="49"/>
        <v>0.12686673393926323</v>
      </c>
      <c r="X28" s="8">
        <f t="shared" si="50"/>
        <v>0.25202509434776521</v>
      </c>
      <c r="Y28" s="8">
        <f t="shared" si="51"/>
        <v>2.5607183839934935</v>
      </c>
      <c r="Z28" s="8">
        <f t="shared" si="52"/>
        <v>60.419996254249291</v>
      </c>
      <c r="AA28" s="8">
        <f t="shared" si="53"/>
        <v>5203.4390925188818</v>
      </c>
      <c r="AB28" s="8">
        <f t="shared" si="54"/>
        <v>1693.1045838282866</v>
      </c>
      <c r="AC28" s="8">
        <f t="shared" si="55"/>
        <v>3231.6266005997886</v>
      </c>
      <c r="AD28" s="8">
        <f t="shared" si="56"/>
        <v>11600.639280815863</v>
      </c>
      <c r="AE28" s="8">
        <f t="shared" si="57"/>
        <v>0.23947189001248828</v>
      </c>
      <c r="AF28" s="8">
        <f t="shared" si="58"/>
        <v>7.7919804089009989E-2</v>
      </c>
      <c r="AG28" s="8">
        <f t="shared" si="59"/>
        <v>0.1487254325649543</v>
      </c>
      <c r="AH28" s="8">
        <f t="shared" si="60"/>
        <v>0.53388287333354745</v>
      </c>
      <c r="AN28" s="10">
        <v>40</v>
      </c>
      <c r="AO28" s="8">
        <f t="shared" si="61"/>
        <v>0.51366955944420734</v>
      </c>
      <c r="AP28" s="8">
        <f t="shared" si="62"/>
        <v>0.514677523034069</v>
      </c>
      <c r="AV28" s="5">
        <f t="shared" si="63"/>
        <v>43327</v>
      </c>
      <c r="AW28" s="5">
        <f t="shared" si="63"/>
        <v>240200</v>
      </c>
    </row>
    <row r="29" spans="1:49" x14ac:dyDescent="0.2">
      <c r="A29" s="5" t="s">
        <v>239</v>
      </c>
      <c r="B29" s="5">
        <v>60</v>
      </c>
      <c r="C29" s="30">
        <v>14626</v>
      </c>
      <c r="D29" s="30">
        <v>2710</v>
      </c>
      <c r="E29" s="30">
        <v>373</v>
      </c>
      <c r="F29" s="30">
        <v>58</v>
      </c>
      <c r="G29" s="5">
        <v>10423</v>
      </c>
      <c r="H29" s="5">
        <v>55873</v>
      </c>
      <c r="I29" s="7">
        <v>246400</v>
      </c>
      <c r="J29" s="7">
        <v>283100</v>
      </c>
      <c r="K29" s="5">
        <v>12787</v>
      </c>
      <c r="L29" s="5">
        <v>79559</v>
      </c>
      <c r="M29" s="7">
        <v>410800</v>
      </c>
      <c r="N29" s="7">
        <v>1684000</v>
      </c>
      <c r="O29" s="8">
        <f t="shared" si="41"/>
        <v>1.0052952673283277</v>
      </c>
      <c r="P29" s="8">
        <f t="shared" si="42"/>
        <v>1.2883822089192822</v>
      </c>
      <c r="Q29" s="8">
        <f t="shared" si="43"/>
        <v>2.6927133899461992</v>
      </c>
      <c r="R29" s="8">
        <f t="shared" si="44"/>
        <v>8.0905791725137899</v>
      </c>
      <c r="S29" s="8">
        <f t="shared" si="45"/>
        <v>0.53169100331661701</v>
      </c>
      <c r="T29" s="8">
        <f t="shared" si="46"/>
        <v>1.1192125076607049</v>
      </c>
      <c r="U29" s="8">
        <f t="shared" si="47"/>
        <v>10.217597427858168</v>
      </c>
      <c r="V29" s="8">
        <f t="shared" si="48"/>
        <v>277.15150045004418</v>
      </c>
      <c r="W29" s="8">
        <f t="shared" si="49"/>
        <v>0.1408981158789035</v>
      </c>
      <c r="X29" s="8">
        <f t="shared" si="50"/>
        <v>0.24093902034771603</v>
      </c>
      <c r="Y29" s="8">
        <f t="shared" si="51"/>
        <v>2.0089331592393593</v>
      </c>
      <c r="Z29" s="8">
        <f t="shared" si="52"/>
        <v>47.595492767119524</v>
      </c>
      <c r="AA29" s="8">
        <f t="shared" si="53"/>
        <v>2060.7758428448424</v>
      </c>
      <c r="AB29" s="8">
        <f t="shared" si="54"/>
        <v>652.94474514231047</v>
      </c>
      <c r="AC29" s="8">
        <f t="shared" si="55"/>
        <v>749.33206839628099</v>
      </c>
      <c r="AD29" s="8">
        <f t="shared" si="56"/>
        <v>2760.5385804929324</v>
      </c>
      <c r="AE29" s="8">
        <f t="shared" si="57"/>
        <v>0.33112326378927648</v>
      </c>
      <c r="AF29" s="8">
        <f t="shared" si="58"/>
        <v>0.10491446502357775</v>
      </c>
      <c r="AG29" s="8">
        <f t="shared" si="59"/>
        <v>0.12040187728851749</v>
      </c>
      <c r="AH29" s="8">
        <f t="shared" si="60"/>
        <v>0.44356039389862834</v>
      </c>
      <c r="AN29" s="10">
        <v>60</v>
      </c>
      <c r="AO29" s="8">
        <f t="shared" si="61"/>
        <v>0.7022838396661597</v>
      </c>
      <c r="AP29" s="8">
        <f t="shared" si="62"/>
        <v>0.59980525803310614</v>
      </c>
      <c r="AV29" s="5">
        <f t="shared" si="63"/>
        <v>55873</v>
      </c>
      <c r="AW29" s="5">
        <f t="shared" si="63"/>
        <v>246400</v>
      </c>
    </row>
    <row r="30" spans="1:49" x14ac:dyDescent="0.2">
      <c r="A30" s="5" t="s">
        <v>240</v>
      </c>
      <c r="B30" s="5">
        <v>60</v>
      </c>
      <c r="C30" s="30">
        <v>40130</v>
      </c>
      <c r="D30" s="30">
        <v>6822</v>
      </c>
      <c r="E30" s="30">
        <v>992</v>
      </c>
      <c r="F30" s="30">
        <v>151</v>
      </c>
      <c r="G30" s="5">
        <v>10764</v>
      </c>
      <c r="H30" s="5">
        <v>55569</v>
      </c>
      <c r="I30" s="7">
        <v>247800</v>
      </c>
      <c r="J30" s="7">
        <v>283000</v>
      </c>
      <c r="K30" s="5">
        <v>14423</v>
      </c>
      <c r="L30" s="5">
        <v>77811</v>
      </c>
      <c r="M30" s="7">
        <v>382800</v>
      </c>
      <c r="N30" s="7">
        <v>1791000</v>
      </c>
      <c r="O30" s="8">
        <f t="shared" si="41"/>
        <v>1.0122312620033833</v>
      </c>
      <c r="P30" s="8">
        <f t="shared" si="42"/>
        <v>1.2809713784229515</v>
      </c>
      <c r="Q30" s="8">
        <f t="shared" si="43"/>
        <v>2.5740044346274025</v>
      </c>
      <c r="R30" s="8">
        <f t="shared" si="44"/>
        <v>8.5442169660534777</v>
      </c>
      <c r="S30" s="8">
        <f t="shared" si="45"/>
        <v>0.54277225021564146</v>
      </c>
      <c r="T30" s="8">
        <f t="shared" si="46"/>
        <v>1.1000101084175662</v>
      </c>
      <c r="U30" s="8">
        <f t="shared" si="47"/>
        <v>8.9249598296218284</v>
      </c>
      <c r="V30" s="8">
        <f t="shared" si="48"/>
        <v>326.43386092201166</v>
      </c>
      <c r="W30" s="8">
        <f t="shared" si="49"/>
        <v>0.14383464630714499</v>
      </c>
      <c r="X30" s="8">
        <f t="shared" si="50"/>
        <v>0.23697329779005991</v>
      </c>
      <c r="Y30" s="8">
        <f t="shared" si="51"/>
        <v>1.7645396150594206</v>
      </c>
      <c r="Z30" s="8">
        <f t="shared" si="52"/>
        <v>55.683894045830279</v>
      </c>
      <c r="AA30" s="8">
        <f t="shared" si="53"/>
        <v>5772.0843563057288</v>
      </c>
      <c r="AB30" s="8">
        <f t="shared" si="54"/>
        <v>1616.6318375237886</v>
      </c>
      <c r="AC30" s="8">
        <f t="shared" si="55"/>
        <v>1750.4232981389453</v>
      </c>
      <c r="AD30" s="8">
        <f t="shared" si="56"/>
        <v>8408.2680009203723</v>
      </c>
      <c r="AE30" s="8">
        <f t="shared" si="57"/>
        <v>0.32894228726636066</v>
      </c>
      <c r="AF30" s="8">
        <f t="shared" si="58"/>
        <v>9.2129383681260932E-2</v>
      </c>
      <c r="AG30" s="8">
        <f t="shared" si="59"/>
        <v>9.9753955041410644E-2</v>
      </c>
      <c r="AH30" s="8">
        <f t="shared" si="60"/>
        <v>0.47917437401096769</v>
      </c>
      <c r="AN30" s="10">
        <v>60</v>
      </c>
      <c r="AO30" s="8">
        <f t="shared" si="61"/>
        <v>0.7141535258511007</v>
      </c>
      <c r="AP30" s="8">
        <f t="shared" si="62"/>
        <v>0.64733542319749215</v>
      </c>
      <c r="AV30" s="5">
        <f t="shared" ref="AV30:AW31" si="64">H30</f>
        <v>55569</v>
      </c>
      <c r="AW30" s="5">
        <f t="shared" si="64"/>
        <v>247800</v>
      </c>
    </row>
    <row r="31" spans="1:49" x14ac:dyDescent="0.2">
      <c r="A31" s="5" t="s">
        <v>241</v>
      </c>
      <c r="B31" s="5">
        <v>60</v>
      </c>
      <c r="C31" s="30">
        <v>41626</v>
      </c>
      <c r="D31" s="30">
        <v>7073</v>
      </c>
      <c r="E31" s="30">
        <v>1056</v>
      </c>
      <c r="F31" s="30">
        <v>143</v>
      </c>
      <c r="G31" s="5">
        <v>10687</v>
      </c>
      <c r="H31" s="5">
        <v>55606</v>
      </c>
      <c r="I31" s="7">
        <v>246400</v>
      </c>
      <c r="J31" s="7">
        <v>279900</v>
      </c>
      <c r="K31" s="5">
        <v>13628</v>
      </c>
      <c r="L31" s="5">
        <v>75728</v>
      </c>
      <c r="M31" s="7">
        <v>353800</v>
      </c>
      <c r="N31" s="7">
        <v>1832000</v>
      </c>
      <c r="O31" s="8">
        <f t="shared" si="41"/>
        <v>1.0088607755934389</v>
      </c>
      <c r="P31" s="8">
        <f t="shared" si="42"/>
        <v>1.2721402800683423</v>
      </c>
      <c r="Q31" s="8">
        <f t="shared" si="43"/>
        <v>2.4510558737615051</v>
      </c>
      <c r="R31" s="8">
        <f t="shared" si="44"/>
        <v>8.7180407934845743</v>
      </c>
      <c r="S31" s="8">
        <f t="shared" si="45"/>
        <v>0.53736838104260432</v>
      </c>
      <c r="T31" s="8">
        <f t="shared" si="46"/>
        <v>1.0774159727427632</v>
      </c>
      <c r="U31" s="8">
        <f t="shared" si="47"/>
        <v>7.7061601807657549</v>
      </c>
      <c r="V31" s="8">
        <f t="shared" si="48"/>
        <v>346.76486569513389</v>
      </c>
      <c r="W31" s="8">
        <f t="shared" si="49"/>
        <v>0.14240262097629014</v>
      </c>
      <c r="X31" s="8">
        <f t="shared" si="50"/>
        <v>0.23230346616787445</v>
      </c>
      <c r="Y31" s="8">
        <f t="shared" si="51"/>
        <v>1.5327724038398767</v>
      </c>
      <c r="Z31" s="8">
        <f t="shared" si="52"/>
        <v>59.005656891178099</v>
      </c>
      <c r="AA31" s="8">
        <f t="shared" si="53"/>
        <v>5927.6515007590533</v>
      </c>
      <c r="AB31" s="8">
        <f t="shared" si="54"/>
        <v>1643.0824162053759</v>
      </c>
      <c r="AC31" s="8">
        <f t="shared" si="55"/>
        <v>1618.6076584549098</v>
      </c>
      <c r="AD31" s="8">
        <f t="shared" si="56"/>
        <v>8437.8089354384683</v>
      </c>
      <c r="AE31" s="8">
        <f t="shared" si="57"/>
        <v>0.33627962143443402</v>
      </c>
      <c r="AF31" s="8">
        <f t="shared" si="58"/>
        <v>9.3213160867565384E-2</v>
      </c>
      <c r="AG31" s="8">
        <f t="shared" si="59"/>
        <v>9.1824691543757747E-2</v>
      </c>
      <c r="AH31" s="8">
        <f t="shared" si="60"/>
        <v>0.47868252615424295</v>
      </c>
      <c r="AN31" s="10">
        <v>60</v>
      </c>
      <c r="AO31" s="8">
        <f t="shared" si="61"/>
        <v>0.73428586520177475</v>
      </c>
      <c r="AP31" s="8">
        <f t="shared" si="62"/>
        <v>0.69643866591294512</v>
      </c>
      <c r="AV31" s="5">
        <f t="shared" si="64"/>
        <v>55606</v>
      </c>
      <c r="AW31" s="5">
        <f t="shared" si="64"/>
        <v>246400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216</v>
      </c>
      <c r="B38" s="5">
        <v>5</v>
      </c>
      <c r="C38" s="31">
        <f>1-0.31-0.025</f>
        <v>0.66499999999999992</v>
      </c>
      <c r="D38" s="12">
        <f>H38/$C38</f>
        <v>55198.496240601511</v>
      </c>
      <c r="E38" s="12">
        <f t="shared" ref="E38:G45" si="65">I38/$C38</f>
        <v>9203.0075187969942</v>
      </c>
      <c r="F38" s="12">
        <f t="shared" si="65"/>
        <v>2061.6541353383459</v>
      </c>
      <c r="G38" s="12">
        <f>K38/$C38</f>
        <v>481.20300751879705</v>
      </c>
      <c r="H38" s="5">
        <v>36707</v>
      </c>
      <c r="I38" s="5">
        <v>6120</v>
      </c>
      <c r="J38" s="5">
        <v>1371</v>
      </c>
      <c r="K38" s="5">
        <v>320</v>
      </c>
      <c r="L38" s="26">
        <f t="shared" ref="L38:O45" si="66">W4*D38*1000/1000000</f>
        <v>7.9552287428706299</v>
      </c>
      <c r="M38" s="26">
        <f t="shared" si="66"/>
        <v>2.3814017673676675</v>
      </c>
      <c r="N38" s="26">
        <f t="shared" si="66"/>
        <v>13.857304018806715</v>
      </c>
      <c r="O38" s="26">
        <f t="shared" si="66"/>
        <v>108.06800782747455</v>
      </c>
      <c r="P38" s="26">
        <f>SUM(L38:O38)</f>
        <v>132.26194235651957</v>
      </c>
      <c r="Q38" s="26">
        <f>SUM(L38:N38)</f>
        <v>24.193934529045013</v>
      </c>
      <c r="R38" s="26">
        <f>(LN(L48/(L38*0.25)))/$B$1</f>
        <v>0.16725025465717938</v>
      </c>
      <c r="S38" s="26">
        <f>(R38-R39)/(1-0.25)</f>
        <v>0.53128291116173265</v>
      </c>
      <c r="T38" s="26">
        <f>S38+R40</f>
        <v>0.40980455308599512</v>
      </c>
      <c r="V38" s="26">
        <f>(LN(L51/(L39*0.25)))/$B$1</f>
        <v>7.7019090164696952E-3</v>
      </c>
      <c r="W38" s="26">
        <f>(V38-V39)/(1-0.25)</f>
        <v>0.71211080041195107</v>
      </c>
      <c r="X38" s="26">
        <f>W38+V40</f>
        <v>0.30964034522682204</v>
      </c>
      <c r="Z38" s="26">
        <f>(LN(L54/(L40*0.25)))/$B$1</f>
        <v>-0.2625409512464893</v>
      </c>
      <c r="AA38" s="26">
        <f>(Z38-Z39)/(1-0.25)</f>
        <v>0.52969644741903799</v>
      </c>
      <c r="AB38" s="26">
        <f>AA38+Z40</f>
        <v>5.1491314262138377E-2</v>
      </c>
    </row>
    <row r="39" spans="1:28" x14ac:dyDescent="0.2">
      <c r="A39" s="5" t="s">
        <v>217</v>
      </c>
      <c r="B39" s="5">
        <v>12</v>
      </c>
      <c r="C39" s="31">
        <f t="shared" ref="C39:C40" si="67">1-0.31-0.025</f>
        <v>0.66499999999999992</v>
      </c>
      <c r="D39" s="12">
        <f t="shared" ref="D39:D44" si="68">H39/$C39</f>
        <v>57445.112781954893</v>
      </c>
      <c r="E39" s="12">
        <f t="shared" si="65"/>
        <v>9174.4360902255648</v>
      </c>
      <c r="F39" s="12">
        <f t="shared" si="65"/>
        <v>1843.6090225563912</v>
      </c>
      <c r="G39" s="12">
        <f t="shared" si="65"/>
        <v>440.60150375939855</v>
      </c>
      <c r="H39" s="5">
        <v>38201</v>
      </c>
      <c r="I39" s="5">
        <v>6101</v>
      </c>
      <c r="J39" s="5">
        <v>1226</v>
      </c>
      <c r="K39" s="5">
        <v>293</v>
      </c>
      <c r="L39" s="26">
        <f t="shared" si="66"/>
        <v>10.597754488756109</v>
      </c>
      <c r="M39" s="26">
        <f t="shared" si="66"/>
        <v>2.2980363804302577</v>
      </c>
      <c r="N39" s="26">
        <f t="shared" si="66"/>
        <v>10.327899482295081</v>
      </c>
      <c r="O39" s="26">
        <f t="shared" si="66"/>
        <v>76.718900122051622</v>
      </c>
      <c r="P39" s="26">
        <f t="shared" ref="P39:P44" si="69">SUM(L39:O39)</f>
        <v>99.942590473533073</v>
      </c>
      <c r="Q39" s="26">
        <f t="shared" ref="Q39:Q45" si="70">SUM(L39:N39)</f>
        <v>23.223690351481448</v>
      </c>
      <c r="R39" s="26">
        <f>(LN(L49/L38))/$B$1</f>
        <v>-0.23121192871412008</v>
      </c>
      <c r="V39" s="26">
        <f>(LN(L52/L39))/$B$1</f>
        <v>-0.52638119129249361</v>
      </c>
      <c r="Z39" s="26">
        <f>(LN(L55/L40))/$B$1</f>
        <v>-0.65981328681076779</v>
      </c>
    </row>
    <row r="40" spans="1:28" x14ac:dyDescent="0.2">
      <c r="A40" s="5" t="s">
        <v>218</v>
      </c>
      <c r="B40" s="5">
        <v>20</v>
      </c>
      <c r="C40" s="31">
        <f t="shared" si="67"/>
        <v>0.66499999999999992</v>
      </c>
      <c r="D40" s="12">
        <f t="shared" si="68"/>
        <v>57321.804511278206</v>
      </c>
      <c r="E40" s="12">
        <f t="shared" si="65"/>
        <v>9028.5714285714294</v>
      </c>
      <c r="F40" s="12">
        <f t="shared" si="65"/>
        <v>1772.932330827068</v>
      </c>
      <c r="G40" s="12">
        <f t="shared" si="65"/>
        <v>439.09774436090231</v>
      </c>
      <c r="H40" s="5">
        <v>38119</v>
      </c>
      <c r="I40" s="5">
        <v>6004</v>
      </c>
      <c r="J40" s="5">
        <v>1179</v>
      </c>
      <c r="K40" s="5">
        <v>292</v>
      </c>
      <c r="L40" s="26">
        <f t="shared" si="66"/>
        <v>12.485172089167245</v>
      </c>
      <c r="M40" s="26">
        <f t="shared" si="66"/>
        <v>2.3140025933659287</v>
      </c>
      <c r="N40" s="26">
        <f t="shared" si="66"/>
        <v>10.525930056640217</v>
      </c>
      <c r="O40" s="26">
        <f t="shared" si="66"/>
        <v>98.352184885918945</v>
      </c>
      <c r="P40" s="26">
        <f t="shared" si="69"/>
        <v>123.67728962509233</v>
      </c>
      <c r="Q40" s="26">
        <f t="shared" si="70"/>
        <v>25.325104739173391</v>
      </c>
      <c r="R40" s="26">
        <f>LN(L50/L38)/$B$1</f>
        <v>-0.12147835807573752</v>
      </c>
      <c r="V40" s="26">
        <f>LN(L53/L39)/$B$1</f>
        <v>-0.40247045518512903</v>
      </c>
      <c r="Z40" s="26">
        <f>LN(L56/L40)/$B$1</f>
        <v>-0.47820513315689961</v>
      </c>
    </row>
    <row r="41" spans="1:28" x14ac:dyDescent="0.2">
      <c r="A41" s="5" t="s">
        <v>219</v>
      </c>
      <c r="B41" s="5">
        <v>30</v>
      </c>
      <c r="C41" s="31">
        <f>1-0.28-0.025</f>
        <v>0.69499999999999995</v>
      </c>
      <c r="D41" s="12">
        <f t="shared" si="68"/>
        <v>54679.136690647487</v>
      </c>
      <c r="E41" s="12">
        <f t="shared" si="65"/>
        <v>8592.8057553956842</v>
      </c>
      <c r="F41" s="12">
        <f t="shared" si="65"/>
        <v>1625.8992805755397</v>
      </c>
      <c r="G41" s="12">
        <f t="shared" si="65"/>
        <v>322.30215827338134</v>
      </c>
      <c r="H41" s="5">
        <v>38002</v>
      </c>
      <c r="I41" s="5">
        <v>5972</v>
      </c>
      <c r="J41" s="5">
        <v>1130</v>
      </c>
      <c r="K41" s="5">
        <v>224</v>
      </c>
      <c r="L41" s="26">
        <f t="shared" si="66"/>
        <v>8.9727229756847002</v>
      </c>
      <c r="M41" s="26">
        <f t="shared" si="66"/>
        <v>2.1624554594950962</v>
      </c>
      <c r="N41" s="26">
        <f t="shared" si="66"/>
        <v>9.7131198053414565</v>
      </c>
      <c r="O41" s="26">
        <f t="shared" si="66"/>
        <v>54.783201690213666</v>
      </c>
      <c r="P41" s="26">
        <f t="shared" si="69"/>
        <v>75.631499930734918</v>
      </c>
      <c r="Q41" s="26">
        <f t="shared" si="70"/>
        <v>20.848298240521252</v>
      </c>
      <c r="R41" s="5" t="s">
        <v>535</v>
      </c>
      <c r="V41" s="5" t="s">
        <v>535</v>
      </c>
      <c r="Z41" s="5" t="s">
        <v>535</v>
      </c>
    </row>
    <row r="42" spans="1:28" x14ac:dyDescent="0.2">
      <c r="A42" s="5" t="s">
        <v>220</v>
      </c>
      <c r="B42" s="5">
        <v>40</v>
      </c>
      <c r="C42" s="31">
        <f>1-0.28-0.025</f>
        <v>0.69499999999999995</v>
      </c>
      <c r="D42" s="12">
        <f t="shared" si="68"/>
        <v>55709.352517985615</v>
      </c>
      <c r="E42" s="12">
        <f t="shared" si="65"/>
        <v>8506.4748201438852</v>
      </c>
      <c r="F42" s="12">
        <f t="shared" si="65"/>
        <v>1509.3525179856117</v>
      </c>
      <c r="G42" s="12">
        <f t="shared" si="65"/>
        <v>194.24460431654677</v>
      </c>
      <c r="H42" s="5">
        <v>38718</v>
      </c>
      <c r="I42" s="5">
        <v>5912</v>
      </c>
      <c r="J42" s="5">
        <v>1049</v>
      </c>
      <c r="K42" s="5">
        <v>135</v>
      </c>
      <c r="L42" s="26">
        <f t="shared" si="66"/>
        <v>8.3432863325009965</v>
      </c>
      <c r="M42" s="26">
        <f t="shared" si="66"/>
        <v>2.0823283904180352</v>
      </c>
      <c r="N42" s="26">
        <f t="shared" si="66"/>
        <v>7.3015779800187151</v>
      </c>
      <c r="O42" s="26">
        <f t="shared" si="66"/>
        <v>35.505879922089115</v>
      </c>
      <c r="P42" s="26">
        <f t="shared" si="69"/>
        <v>53.233072625026864</v>
      </c>
      <c r="Q42" s="26">
        <f t="shared" si="70"/>
        <v>17.727192702937749</v>
      </c>
      <c r="R42" s="6" t="s">
        <v>539</v>
      </c>
      <c r="S42" s="6" t="s">
        <v>540</v>
      </c>
      <c r="T42" s="6" t="s">
        <v>541</v>
      </c>
      <c r="V42" s="6" t="s">
        <v>539</v>
      </c>
      <c r="W42" s="6" t="s">
        <v>540</v>
      </c>
      <c r="X42" s="6" t="s">
        <v>541</v>
      </c>
      <c r="Z42" s="6" t="s">
        <v>539</v>
      </c>
      <c r="AA42" s="6" t="s">
        <v>540</v>
      </c>
      <c r="AB42" s="6" t="s">
        <v>541</v>
      </c>
    </row>
    <row r="43" spans="1:28" x14ac:dyDescent="0.2">
      <c r="A43" s="5" t="s">
        <v>221</v>
      </c>
      <c r="B43" s="5">
        <v>60</v>
      </c>
      <c r="C43" s="31">
        <f>1-0.26-0.025</f>
        <v>0.71499999999999997</v>
      </c>
      <c r="D43" s="12">
        <f t="shared" si="68"/>
        <v>54984.61538461539</v>
      </c>
      <c r="E43" s="12">
        <f t="shared" si="65"/>
        <v>9095.1048951048961</v>
      </c>
      <c r="F43" s="12">
        <f t="shared" si="65"/>
        <v>1544.0559440559441</v>
      </c>
      <c r="G43" s="12">
        <f t="shared" si="65"/>
        <v>213.986013986014</v>
      </c>
      <c r="H43" s="5">
        <v>39314</v>
      </c>
      <c r="I43" s="5">
        <v>6503</v>
      </c>
      <c r="J43" s="5">
        <v>1104</v>
      </c>
      <c r="K43" s="5">
        <v>153</v>
      </c>
      <c r="L43" s="26">
        <f t="shared" si="66"/>
        <v>7.5627748641272898</v>
      </c>
      <c r="M43" s="26">
        <f t="shared" si="66"/>
        <v>2.1069144960118766</v>
      </c>
      <c r="N43" s="26">
        <f t="shared" si="66"/>
        <v>4.9532138360568894</v>
      </c>
      <c r="O43" s="26">
        <f t="shared" si="66"/>
        <v>16.449101484024013</v>
      </c>
      <c r="P43" s="26">
        <f t="shared" si="69"/>
        <v>31.072004680220068</v>
      </c>
      <c r="Q43" s="26" t="s">
        <v>535</v>
      </c>
      <c r="R43" s="26">
        <f>(LN(M48/(M38*0.25)))/$B$1</f>
        <v>0.54852572489596751</v>
      </c>
      <c r="S43" s="26">
        <f>(R43-R44)/(1-0.25)</f>
        <v>0.57143253818312711</v>
      </c>
      <c r="T43" s="26">
        <f>S43+R45</f>
        <v>0.72427890577641341</v>
      </c>
      <c r="V43" s="26">
        <f>(LN(M51/(M39*0.25)))/$B$1</f>
        <v>0.51077482950695063</v>
      </c>
      <c r="W43" s="26">
        <f>(V43-V44)/(1-0.25)</f>
        <v>0.65182368027548743</v>
      </c>
      <c r="X43" s="26">
        <f>W43+V45</f>
        <v>0.77129094662503084</v>
      </c>
      <c r="Z43" s="26">
        <f>(LN(M54/(M40*0.25)))/$B$1</f>
        <v>0.42764194110515258</v>
      </c>
      <c r="AA43" s="26">
        <f>(Z43-Z44)/(1-0.25)</f>
        <v>0.48640766638234978</v>
      </c>
      <c r="AB43" s="26">
        <f>AA43+Z45</f>
        <v>0.60114428013966337</v>
      </c>
    </row>
    <row r="44" spans="1:28" x14ac:dyDescent="0.2">
      <c r="A44" s="5" t="s">
        <v>222</v>
      </c>
      <c r="B44" s="5">
        <v>80</v>
      </c>
      <c r="C44" s="31">
        <f t="shared" ref="C44:C45" si="71">1-0.26-0.025</f>
        <v>0.71499999999999997</v>
      </c>
      <c r="D44" s="12">
        <f t="shared" si="68"/>
        <v>7751.0489510489515</v>
      </c>
      <c r="E44" s="12">
        <f t="shared" si="65"/>
        <v>2369.2307692307695</v>
      </c>
      <c r="F44" s="12">
        <f t="shared" si="65"/>
        <v>1068.5314685314686</v>
      </c>
      <c r="G44" s="12">
        <f t="shared" si="65"/>
        <v>127.27272727272728</v>
      </c>
      <c r="H44" s="5">
        <v>5542</v>
      </c>
      <c r="I44" s="5">
        <v>1694</v>
      </c>
      <c r="J44" s="5">
        <v>764</v>
      </c>
      <c r="K44" s="5">
        <v>91</v>
      </c>
      <c r="L44" s="26">
        <f t="shared" si="66"/>
        <v>1.2548608439325724</v>
      </c>
      <c r="M44" s="26">
        <f t="shared" si="66"/>
        <v>0.65566580384871553</v>
      </c>
      <c r="N44" s="26">
        <f t="shared" si="66"/>
        <v>1.2577271723327761</v>
      </c>
      <c r="O44" s="26">
        <f t="shared" si="66"/>
        <v>8.31385797548716</v>
      </c>
      <c r="P44" s="26">
        <f t="shared" si="69"/>
        <v>11.482111795601224</v>
      </c>
      <c r="Q44" s="26">
        <f t="shared" si="70"/>
        <v>3.1682538201140638</v>
      </c>
      <c r="R44" s="26">
        <f>(LN(M49/M38))/$B$1</f>
        <v>0.11995132125862216</v>
      </c>
      <c r="V44" s="26">
        <f>(LN(M52/M39))/$B$1</f>
        <v>2.1907069300335053E-2</v>
      </c>
      <c r="Z44" s="26">
        <f>(LN(M55/M40))/$B$1</f>
        <v>6.2836191318390244E-2</v>
      </c>
    </row>
    <row r="45" spans="1:28" x14ac:dyDescent="0.2">
      <c r="A45" s="5" t="s">
        <v>223</v>
      </c>
      <c r="B45" s="5">
        <v>100</v>
      </c>
      <c r="C45" s="31">
        <f t="shared" si="71"/>
        <v>0.71499999999999997</v>
      </c>
      <c r="D45" s="12">
        <f>H45/$C45</f>
        <v>2483.9160839160841</v>
      </c>
      <c r="E45" s="12">
        <f t="shared" si="65"/>
        <v>629.37062937062944</v>
      </c>
      <c r="F45" s="12">
        <f t="shared" si="65"/>
        <v>341.25874125874128</v>
      </c>
      <c r="G45" s="12">
        <f t="shared" si="65"/>
        <v>47.552447552447553</v>
      </c>
      <c r="H45" s="5">
        <v>1776</v>
      </c>
      <c r="I45" s="5">
        <v>450</v>
      </c>
      <c r="J45" s="5">
        <v>244</v>
      </c>
      <c r="K45" s="5">
        <v>34</v>
      </c>
      <c r="L45" s="26">
        <f t="shared" si="66"/>
        <v>0.55876060886545376</v>
      </c>
      <c r="M45" s="26">
        <f t="shared" si="66"/>
        <v>0.19412316710133443</v>
      </c>
      <c r="N45" s="26">
        <f t="shared" si="66"/>
        <v>0.46300439284708605</v>
      </c>
      <c r="O45" s="26">
        <f t="shared" si="66"/>
        <v>4.9128857747796637</v>
      </c>
      <c r="P45" s="26">
        <f>SUM(L45:O45)</f>
        <v>6.1287739435935382</v>
      </c>
      <c r="Q45" s="26">
        <f t="shared" si="70"/>
        <v>1.2158881688138741</v>
      </c>
      <c r="R45" s="26">
        <f>LN(M50/M38)/$B$1</f>
        <v>0.15284636759328626</v>
      </c>
      <c r="V45" s="26">
        <f>LN(M53/M39)/$B$1</f>
        <v>0.11946726634954337</v>
      </c>
      <c r="Z45" s="26">
        <f>LN(M56/M40)/$B$1</f>
        <v>0.1147366137573136</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224</v>
      </c>
      <c r="B48" s="5">
        <v>5</v>
      </c>
      <c r="C48" s="31">
        <f>1-0.27-0.025</f>
        <v>0.70499999999999996</v>
      </c>
      <c r="D48" s="12">
        <f t="shared" ref="D48:G65" si="72">H48/$C48</f>
        <v>17336.170212765959</v>
      </c>
      <c r="E48" s="12">
        <f t="shared" si="72"/>
        <v>3460.9929078014188</v>
      </c>
      <c r="F48" s="12">
        <f t="shared" si="72"/>
        <v>754.60992907801426</v>
      </c>
      <c r="G48" s="12">
        <f>K48/$C48</f>
        <v>188.65248226950357</v>
      </c>
      <c r="H48" s="30">
        <v>12222</v>
      </c>
      <c r="I48" s="30">
        <v>2440</v>
      </c>
      <c r="J48" s="30">
        <v>532</v>
      </c>
      <c r="K48" s="30">
        <v>133</v>
      </c>
      <c r="L48" s="26">
        <f>W14*D48*1000/1000000</f>
        <v>2.3921184067225956</v>
      </c>
      <c r="M48" s="26">
        <f>X14*E48*1000/1000000</f>
        <v>1.0908610421838327</v>
      </c>
      <c r="N48" s="26">
        <f>Y14*F48*1000/1000000</f>
        <v>5.365846962076426</v>
      </c>
      <c r="O48" s="26">
        <f>Z14*G48*1000/1000000</f>
        <v>16.672571246665616</v>
      </c>
      <c r="P48" s="26">
        <f>SUM(L48:O48)</f>
        <v>25.521397657648471</v>
      </c>
      <c r="Q48" s="26">
        <f>SUM(L48:N48)</f>
        <v>8.8488264109828538</v>
      </c>
      <c r="R48" s="26">
        <f>(LN(N48/(N38*0.25)))/$B$1</f>
        <v>0.39631896122001403</v>
      </c>
      <c r="S48" s="26">
        <f>(R48-R49)/(1-0.25)</f>
        <v>0.4857830938126852</v>
      </c>
      <c r="T48" s="26">
        <f>S48+R50</f>
        <v>0.50224964505947034</v>
      </c>
      <c r="V48" s="26">
        <f>(LN(N51/(N39*0.25)))/$B$1</f>
        <v>0.76955946192622393</v>
      </c>
      <c r="W48" s="26">
        <f>(V48-V49)/(1-0.25)</f>
        <v>1.3713468201060135</v>
      </c>
      <c r="X48" s="26">
        <f>W48+V50</f>
        <v>1.0282687862685005</v>
      </c>
      <c r="Z48" s="26">
        <f>(LN(N54/(N40*0.25)))/$B$1</f>
        <v>0.55987275873714881</v>
      </c>
      <c r="AA48" s="26">
        <f>(Z48-Z49)/(1-0.25)</f>
        <v>0.66297357256712741</v>
      </c>
      <c r="AB48" s="26">
        <f>AA48+Z50</f>
        <v>0.59667671510351905</v>
      </c>
    </row>
    <row r="49" spans="1:28" x14ac:dyDescent="0.2">
      <c r="A49" s="5" t="s">
        <v>225</v>
      </c>
      <c r="B49" s="5">
        <v>5</v>
      </c>
      <c r="C49" s="31">
        <f>1-0.27-0.025</f>
        <v>0.70499999999999996</v>
      </c>
      <c r="D49" s="12">
        <f t="shared" si="72"/>
        <v>48107.801418439718</v>
      </c>
      <c r="E49" s="12">
        <f t="shared" si="72"/>
        <v>9151.7730496453914</v>
      </c>
      <c r="F49" s="12">
        <f t="shared" si="72"/>
        <v>1944.68085106383</v>
      </c>
      <c r="G49" s="12">
        <f t="shared" si="72"/>
        <v>388.65248226950359</v>
      </c>
      <c r="H49" s="30">
        <v>33916</v>
      </c>
      <c r="I49" s="30">
        <v>6452</v>
      </c>
      <c r="J49" s="30">
        <v>1371</v>
      </c>
      <c r="K49" s="30">
        <v>274</v>
      </c>
      <c r="L49" s="26">
        <f t="shared" ref="L49:O64" si="73">W15*D49*1000/1000000</f>
        <v>6.1630479156581925</v>
      </c>
      <c r="M49" s="26">
        <f t="shared" si="73"/>
        <v>2.7185959464074854</v>
      </c>
      <c r="N49" s="26">
        <f t="shared" si="73"/>
        <v>14.355314055530236</v>
      </c>
      <c r="O49" s="26">
        <f t="shared" si="73"/>
        <v>44.556319579780286</v>
      </c>
      <c r="P49" s="26">
        <f t="shared" ref="P49:P65" si="74">SUM(L49:O49)</f>
        <v>67.793277497376209</v>
      </c>
      <c r="Q49" s="26">
        <f t="shared" ref="Q49:Q65" si="75">SUM(L49:N49)</f>
        <v>23.236957917595916</v>
      </c>
      <c r="R49" s="26">
        <f>(LN(N49/N38))/$B$1</f>
        <v>3.1981640860500149E-2</v>
      </c>
      <c r="V49" s="26">
        <f>(LN(N52/N39))/$B$1</f>
        <v>-0.25895065315328625</v>
      </c>
      <c r="Z49" s="26">
        <f>(LN(N55/N40))/$B$1</f>
        <v>6.2642579311803295E-2</v>
      </c>
    </row>
    <row r="50" spans="1:28" x14ac:dyDescent="0.2">
      <c r="A50" s="5" t="s">
        <v>226</v>
      </c>
      <c r="B50" s="5">
        <v>5</v>
      </c>
      <c r="C50" s="31">
        <f>1-0.25-0.025</f>
        <v>0.72499999999999998</v>
      </c>
      <c r="D50" s="12">
        <f t="shared" si="72"/>
        <v>53863.448275862072</v>
      </c>
      <c r="E50" s="12">
        <f t="shared" si="72"/>
        <v>9300.6896551724149</v>
      </c>
      <c r="F50" s="12">
        <f t="shared" si="72"/>
        <v>2009.6551724137933</v>
      </c>
      <c r="G50" s="12">
        <f t="shared" si="72"/>
        <v>434.48275862068965</v>
      </c>
      <c r="H50" s="30">
        <v>39051</v>
      </c>
      <c r="I50" s="30">
        <v>6743</v>
      </c>
      <c r="J50" s="30">
        <v>1457</v>
      </c>
      <c r="K50" s="30">
        <v>315</v>
      </c>
      <c r="L50" s="26">
        <f t="shared" si="73"/>
        <v>6.9567840700558827</v>
      </c>
      <c r="M50" s="26">
        <f t="shared" si="73"/>
        <v>2.8191394590428094</v>
      </c>
      <c r="N50" s="26">
        <f t="shared" si="73"/>
        <v>14.111520664646077</v>
      </c>
      <c r="O50" s="26">
        <f t="shared" si="73"/>
        <v>40.391951012933497</v>
      </c>
      <c r="P50" s="26">
        <f t="shared" si="74"/>
        <v>64.279395206678259</v>
      </c>
      <c r="Q50" s="26">
        <f t="shared" si="75"/>
        <v>23.88744419374477</v>
      </c>
      <c r="R50" s="26">
        <f>LN(N50/N38)/$B$1</f>
        <v>1.6466551246785116E-2</v>
      </c>
      <c r="V50" s="26">
        <f>LN(N53/N39)/$B$1</f>
        <v>-0.34307803383751295</v>
      </c>
      <c r="Z50" s="26">
        <f>LN(N56/N40)/$B$1</f>
        <v>-6.6296857463608319E-2</v>
      </c>
    </row>
    <row r="51" spans="1:28" x14ac:dyDescent="0.2">
      <c r="A51" s="5" t="s">
        <v>227</v>
      </c>
      <c r="B51" s="5">
        <v>12</v>
      </c>
      <c r="C51" s="31">
        <f>1-0.25-0.025</f>
        <v>0.72499999999999998</v>
      </c>
      <c r="D51" s="12">
        <f>H51/$C51</f>
        <v>21481.37931034483</v>
      </c>
      <c r="E51" s="12">
        <f t="shared" si="72"/>
        <v>3506.2068965517242</v>
      </c>
      <c r="F51" s="12">
        <f t="shared" si="72"/>
        <v>746.20689655172418</v>
      </c>
      <c r="G51" s="12">
        <f t="shared" si="72"/>
        <v>143.44827586206898</v>
      </c>
      <c r="H51" s="30">
        <v>15574</v>
      </c>
      <c r="I51" s="30">
        <v>2542</v>
      </c>
      <c r="J51" s="30">
        <v>541</v>
      </c>
      <c r="K51" s="30">
        <v>104</v>
      </c>
      <c r="L51" s="26">
        <f t="shared" si="73"/>
        <v>2.6720626023616845</v>
      </c>
      <c r="M51" s="26">
        <f t="shared" si="73"/>
        <v>1.0097028314790784</v>
      </c>
      <c r="N51" s="26">
        <f t="shared" si="73"/>
        <v>6.0384551284794208</v>
      </c>
      <c r="O51" s="26">
        <f t="shared" si="73"/>
        <v>13.917349326760196</v>
      </c>
      <c r="P51" s="26">
        <f t="shared" si="74"/>
        <v>23.637569889080378</v>
      </c>
      <c r="Q51" s="26">
        <f t="shared" si="75"/>
        <v>9.7202205623201827</v>
      </c>
    </row>
    <row r="52" spans="1:28" x14ac:dyDescent="0.2">
      <c r="A52" s="5" t="s">
        <v>228</v>
      </c>
      <c r="B52" s="5">
        <v>12</v>
      </c>
      <c r="C52" s="31">
        <f>1-0.23-0.025</f>
        <v>0.745</v>
      </c>
      <c r="D52" s="12">
        <f t="shared" si="72"/>
        <v>46651.006711409398</v>
      </c>
      <c r="E52" s="12">
        <f t="shared" si="72"/>
        <v>8291.2751677852357</v>
      </c>
      <c r="F52" s="12">
        <f t="shared" si="72"/>
        <v>1726.1744966442952</v>
      </c>
      <c r="G52" s="12">
        <f t="shared" si="72"/>
        <v>358.38926174496646</v>
      </c>
      <c r="H52" s="30">
        <v>34755</v>
      </c>
      <c r="I52" s="30">
        <v>6177</v>
      </c>
      <c r="J52" s="30">
        <v>1286</v>
      </c>
      <c r="K52" s="30">
        <v>267</v>
      </c>
      <c r="L52" s="26">
        <f t="shared" si="73"/>
        <v>5.9269947842459363</v>
      </c>
      <c r="M52" s="26">
        <f t="shared" si="73"/>
        <v>2.3542928706837767</v>
      </c>
      <c r="N52" s="26">
        <f t="shared" si="73"/>
        <v>7.7598841105231209</v>
      </c>
      <c r="O52" s="26">
        <f t="shared" si="73"/>
        <v>26.473464732553708</v>
      </c>
      <c r="P52" s="26">
        <f t="shared" si="74"/>
        <v>42.514636498006539</v>
      </c>
      <c r="Q52" s="26">
        <f t="shared" si="75"/>
        <v>16.041171765452834</v>
      </c>
      <c r="R52" s="6" t="s">
        <v>545</v>
      </c>
      <c r="S52" s="6" t="s">
        <v>546</v>
      </c>
      <c r="T52" s="6" t="s">
        <v>547</v>
      </c>
      <c r="V52" s="6" t="s">
        <v>545</v>
      </c>
      <c r="W52" s="6" t="s">
        <v>546</v>
      </c>
      <c r="X52" s="6" t="s">
        <v>547</v>
      </c>
      <c r="Z52" s="6" t="s">
        <v>545</v>
      </c>
      <c r="AA52" s="6" t="s">
        <v>546</v>
      </c>
      <c r="AB52" s="6" t="s">
        <v>547</v>
      </c>
    </row>
    <row r="53" spans="1:28" x14ac:dyDescent="0.2">
      <c r="A53" s="5" t="s">
        <v>229</v>
      </c>
      <c r="B53" s="5">
        <v>12</v>
      </c>
      <c r="C53" s="31">
        <f>1-0.23-0.025</f>
        <v>0.745</v>
      </c>
      <c r="D53" s="12">
        <f t="shared" si="72"/>
        <v>53995.973154362415</v>
      </c>
      <c r="E53" s="12">
        <f t="shared" si="72"/>
        <v>9088.5906040268455</v>
      </c>
      <c r="F53" s="12">
        <f t="shared" si="72"/>
        <v>1740.9395973154362</v>
      </c>
      <c r="G53" s="12">
        <f t="shared" si="72"/>
        <v>350.33557046979865</v>
      </c>
      <c r="H53" s="30">
        <v>40227</v>
      </c>
      <c r="I53" s="30">
        <v>6771</v>
      </c>
      <c r="J53" s="30">
        <v>1297</v>
      </c>
      <c r="K53" s="30">
        <v>261</v>
      </c>
      <c r="L53" s="26">
        <f t="shared" si="73"/>
        <v>6.7958678303608995</v>
      </c>
      <c r="M53" s="26">
        <f t="shared" si="73"/>
        <v>2.6220248759612321</v>
      </c>
      <c r="N53" s="26">
        <f t="shared" si="73"/>
        <v>7.0716283497303607</v>
      </c>
      <c r="O53" s="26">
        <f t="shared" si="73"/>
        <v>24.207241021950775</v>
      </c>
      <c r="P53" s="26">
        <f t="shared" si="74"/>
        <v>40.696762078003268</v>
      </c>
      <c r="Q53" s="26">
        <f t="shared" si="75"/>
        <v>16.489521056052492</v>
      </c>
      <c r="R53" s="26">
        <f>(LN(O48/(O38*0.25)))/$B$1</f>
        <v>-0.43722956622456599</v>
      </c>
      <c r="S53" s="26">
        <f>(R53-R54)/(1-0.25)</f>
        <v>0.48708368652194195</v>
      </c>
      <c r="T53" s="26">
        <f>S53+R55</f>
        <v>-0.40433859453486448</v>
      </c>
      <c r="V53" s="26">
        <f>(LN(O51/(O39*0.25)))/$B$1</f>
        <v>-0.2905049984111408</v>
      </c>
      <c r="W53" s="26">
        <f>(V53-V54)/(1-0.25)</f>
        <v>0.89769042933208143</v>
      </c>
      <c r="X53" s="26">
        <f>W53+V55</f>
        <v>-0.1471431667021067</v>
      </c>
      <c r="Z53" s="26">
        <f>(LN(O54/(O40*0.25)))/$B$1</f>
        <v>-0.41305298682335978</v>
      </c>
      <c r="AA53" s="26">
        <f>(Z53-Z54)/(1-0.25)</f>
        <v>1.0864268875097653</v>
      </c>
      <c r="AB53" s="26">
        <f>AA53+Z55</f>
        <v>-0.6152685142891765</v>
      </c>
    </row>
    <row r="54" spans="1:28" x14ac:dyDescent="0.2">
      <c r="A54" s="5" t="s">
        <v>230</v>
      </c>
      <c r="B54" s="5">
        <v>20</v>
      </c>
      <c r="C54" s="31">
        <f>1-0.24-0.025</f>
        <v>0.73499999999999999</v>
      </c>
      <c r="D54" s="12">
        <f t="shared" si="72"/>
        <v>17859.863945578232</v>
      </c>
      <c r="E54" s="12">
        <f t="shared" si="72"/>
        <v>3117.0068027210887</v>
      </c>
      <c r="F54" s="12">
        <f t="shared" si="72"/>
        <v>723.80952380952385</v>
      </c>
      <c r="G54" s="12">
        <f t="shared" si="72"/>
        <v>179.59183673469389</v>
      </c>
      <c r="H54" s="30">
        <v>13127</v>
      </c>
      <c r="I54" s="30">
        <v>2291</v>
      </c>
      <c r="J54" s="30">
        <v>532</v>
      </c>
      <c r="K54" s="30">
        <v>132</v>
      </c>
      <c r="L54" s="26">
        <f t="shared" si="73"/>
        <v>2.3359113996496483</v>
      </c>
      <c r="M54" s="26">
        <f t="shared" si="73"/>
        <v>0.92755896848478236</v>
      </c>
      <c r="N54" s="26">
        <f t="shared" si="73"/>
        <v>4.882448845574368</v>
      </c>
      <c r="O54" s="26">
        <f t="shared" si="73"/>
        <v>15.584080328383266</v>
      </c>
      <c r="P54" s="26">
        <f t="shared" si="74"/>
        <v>23.729999542092067</v>
      </c>
      <c r="Q54" s="26">
        <f t="shared" si="75"/>
        <v>8.1459192137087992</v>
      </c>
      <c r="R54" s="26">
        <f>(LN(O49/O38))/$B$1</f>
        <v>-0.80254233111602247</v>
      </c>
      <c r="V54" s="26">
        <f>(LN(O52/O39))/$B$1</f>
        <v>-0.96377282041020185</v>
      </c>
      <c r="Z54" s="26">
        <f>(LN(O55/O40))/$B$1</f>
        <v>-1.2278731524556838</v>
      </c>
    </row>
    <row r="55" spans="1:28" x14ac:dyDescent="0.2">
      <c r="A55" s="5" t="s">
        <v>231</v>
      </c>
      <c r="B55" s="5">
        <v>20</v>
      </c>
      <c r="C55" s="31">
        <f>1-0.23-0.025</f>
        <v>0.745</v>
      </c>
      <c r="D55" s="12">
        <f t="shared" si="72"/>
        <v>47260.402684563756</v>
      </c>
      <c r="E55" s="12">
        <f t="shared" si="72"/>
        <v>8868.4563758389268</v>
      </c>
      <c r="F55" s="12">
        <f t="shared" si="72"/>
        <v>1820.1342281879195</v>
      </c>
      <c r="G55" s="12">
        <f t="shared" si="72"/>
        <v>375.83892617449663</v>
      </c>
      <c r="H55" s="30">
        <v>35209</v>
      </c>
      <c r="I55" s="30">
        <v>6607</v>
      </c>
      <c r="J55" s="30">
        <v>1356</v>
      </c>
      <c r="K55" s="30">
        <v>280</v>
      </c>
      <c r="L55" s="26">
        <f t="shared" si="73"/>
        <v>6.0261470239205828</v>
      </c>
      <c r="M55" s="26">
        <f t="shared" si="73"/>
        <v>2.4802265448010128</v>
      </c>
      <c r="N55" s="26">
        <f t="shared" si="73"/>
        <v>11.279637958207266</v>
      </c>
      <c r="O55" s="26">
        <f t="shared" si="73"/>
        <v>25.355173693596587</v>
      </c>
      <c r="P55" s="26">
        <f t="shared" si="74"/>
        <v>45.141185220525443</v>
      </c>
      <c r="Q55" s="26">
        <f t="shared" si="75"/>
        <v>19.78601152692886</v>
      </c>
      <c r="R55" s="26">
        <f>LN(O50/O38)/$B$1</f>
        <v>-0.89142228105680643</v>
      </c>
      <c r="V55" s="26">
        <f>LN(O53/O39)/$B$1</f>
        <v>-1.0448335960341881</v>
      </c>
      <c r="Z55" s="26">
        <f>LN(O56/O40)/$B$1</f>
        <v>-1.7016954017989419</v>
      </c>
    </row>
    <row r="56" spans="1:28" x14ac:dyDescent="0.2">
      <c r="A56" s="5" t="s">
        <v>232</v>
      </c>
      <c r="B56" s="5">
        <v>20</v>
      </c>
      <c r="C56" s="31">
        <f>1-0.25-0.025</f>
        <v>0.72499999999999998</v>
      </c>
      <c r="D56" s="12">
        <f t="shared" si="72"/>
        <v>56891.034482758623</v>
      </c>
      <c r="E56" s="12">
        <f t="shared" si="72"/>
        <v>9522.7586206896558</v>
      </c>
      <c r="F56" s="12">
        <f t="shared" si="72"/>
        <v>1871.7241379310346</v>
      </c>
      <c r="G56" s="12">
        <f t="shared" si="72"/>
        <v>343.44827586206895</v>
      </c>
      <c r="H56" s="30">
        <v>41246</v>
      </c>
      <c r="I56" s="30">
        <v>6904</v>
      </c>
      <c r="J56" s="30">
        <v>1357</v>
      </c>
      <c r="K56" s="30">
        <v>249</v>
      </c>
      <c r="L56" s="26">
        <f t="shared" si="73"/>
        <v>7.3639998301455272</v>
      </c>
      <c r="M56" s="26">
        <f t="shared" si="73"/>
        <v>2.6264889941361003</v>
      </c>
      <c r="N56" s="26">
        <f t="shared" si="73"/>
        <v>9.7830374295935485</v>
      </c>
      <c r="O56" s="26">
        <f t="shared" si="73"/>
        <v>15.027517739742947</v>
      </c>
      <c r="P56" s="26">
        <f t="shared" si="74"/>
        <v>34.801043993618123</v>
      </c>
      <c r="Q56" s="26">
        <f t="shared" si="75"/>
        <v>19.773526253875175</v>
      </c>
    </row>
    <row r="57" spans="1:28" x14ac:dyDescent="0.2">
      <c r="A57" s="5" t="s">
        <v>233</v>
      </c>
      <c r="B57" s="5">
        <v>30</v>
      </c>
      <c r="C57" s="31">
        <f>1-0.23-0.025</f>
        <v>0.745</v>
      </c>
      <c r="D57" s="12">
        <f t="shared" si="72"/>
        <v>20102.013422818793</v>
      </c>
      <c r="E57" s="12">
        <f t="shared" si="72"/>
        <v>3777.1812080536911</v>
      </c>
      <c r="F57" s="12">
        <f t="shared" si="72"/>
        <v>708.72483221476512</v>
      </c>
      <c r="G57" s="12">
        <f t="shared" si="72"/>
        <v>147.65100671140939</v>
      </c>
      <c r="H57" s="30">
        <v>14976</v>
      </c>
      <c r="I57" s="30">
        <v>2814</v>
      </c>
      <c r="J57" s="30">
        <v>528</v>
      </c>
      <c r="K57" s="30">
        <v>110</v>
      </c>
      <c r="L57" s="26">
        <f t="shared" si="73"/>
        <v>2.5041789712799747</v>
      </c>
      <c r="M57" s="26">
        <f t="shared" si="73"/>
        <v>1.0357799289832199</v>
      </c>
      <c r="N57" s="26">
        <f t="shared" si="73"/>
        <v>3.1447438242656611</v>
      </c>
      <c r="O57" s="26">
        <f t="shared" si="73"/>
        <v>10.836253366284513</v>
      </c>
      <c r="P57" s="26">
        <f t="shared" si="74"/>
        <v>17.520956090813371</v>
      </c>
      <c r="Q57" s="26">
        <f t="shared" si="75"/>
        <v>6.6847027245288562</v>
      </c>
      <c r="R57" s="4"/>
      <c r="S57" s="4"/>
      <c r="T57" s="4"/>
      <c r="V57" s="4"/>
      <c r="W57" s="4"/>
      <c r="X57" s="4"/>
      <c r="Z57" s="4"/>
      <c r="AA57" s="4"/>
      <c r="AB57" s="4"/>
    </row>
    <row r="58" spans="1:28" x14ac:dyDescent="0.2">
      <c r="A58" s="5" t="s">
        <v>234</v>
      </c>
      <c r="B58" s="5">
        <v>30</v>
      </c>
      <c r="C58" s="31">
        <f>1-0.24-0.025</f>
        <v>0.73499999999999999</v>
      </c>
      <c r="D58" s="12">
        <f t="shared" si="72"/>
        <v>46334.693877551021</v>
      </c>
      <c r="E58" s="12">
        <f t="shared" si="72"/>
        <v>7725.1700680272106</v>
      </c>
      <c r="F58" s="12">
        <f t="shared" si="72"/>
        <v>1502.0408163265306</v>
      </c>
      <c r="G58" s="12">
        <f t="shared" si="72"/>
        <v>255.78231292517006</v>
      </c>
      <c r="H58" s="30">
        <v>34056</v>
      </c>
      <c r="I58" s="30">
        <v>5678</v>
      </c>
      <c r="J58" s="30">
        <v>1104</v>
      </c>
      <c r="K58" s="30">
        <v>188</v>
      </c>
      <c r="L58" s="26">
        <f t="shared" si="73"/>
        <v>6.0085171026347215</v>
      </c>
      <c r="M58" s="26">
        <f t="shared" si="73"/>
        <v>2.0196076705466384</v>
      </c>
      <c r="N58" s="26">
        <f t="shared" si="73"/>
        <v>4.9362209946794513</v>
      </c>
      <c r="O58" s="26">
        <f t="shared" si="73"/>
        <v>14.242955211722574</v>
      </c>
      <c r="P58" s="26">
        <f t="shared" si="74"/>
        <v>27.207300979583387</v>
      </c>
      <c r="Q58" s="26">
        <f t="shared" si="75"/>
        <v>12.964345767860813</v>
      </c>
      <c r="R58" s="6" t="s">
        <v>548</v>
      </c>
      <c r="S58" s="6" t="s">
        <v>549</v>
      </c>
      <c r="T58" s="6" t="s">
        <v>550</v>
      </c>
      <c r="V58" s="6" t="s">
        <v>548</v>
      </c>
      <c r="W58" s="6" t="s">
        <v>549</v>
      </c>
      <c r="X58" s="6" t="s">
        <v>550</v>
      </c>
      <c r="Z58" s="6" t="s">
        <v>548</v>
      </c>
      <c r="AA58" s="6" t="s">
        <v>549</v>
      </c>
      <c r="AB58" s="6" t="s">
        <v>550</v>
      </c>
    </row>
    <row r="59" spans="1:28" x14ac:dyDescent="0.2">
      <c r="A59" s="5" t="s">
        <v>235</v>
      </c>
      <c r="B59" s="5">
        <v>30</v>
      </c>
      <c r="C59" s="31">
        <f>1-0.24-0.025</f>
        <v>0.73499999999999999</v>
      </c>
      <c r="D59" s="12">
        <f t="shared" si="72"/>
        <v>53046.258503401361</v>
      </c>
      <c r="E59" s="12">
        <f t="shared" si="72"/>
        <v>8372.7891156462592</v>
      </c>
      <c r="F59" s="12">
        <f t="shared" si="72"/>
        <v>1553.7414965986395</v>
      </c>
      <c r="G59" s="12">
        <f t="shared" si="72"/>
        <v>353.74149659863946</v>
      </c>
      <c r="H59" s="30">
        <v>38989</v>
      </c>
      <c r="I59" s="30">
        <v>6154</v>
      </c>
      <c r="J59" s="30">
        <v>1142</v>
      </c>
      <c r="K59" s="30">
        <v>260</v>
      </c>
      <c r="L59" s="26">
        <f t="shared" si="73"/>
        <v>6.6517226729912018</v>
      </c>
      <c r="M59" s="26">
        <f t="shared" si="73"/>
        <v>2.1209091270518567</v>
      </c>
      <c r="N59" s="26">
        <f t="shared" si="73"/>
        <v>5.5078134879285647</v>
      </c>
      <c r="O59" s="26">
        <f t="shared" si="73"/>
        <v>13.588437821588393</v>
      </c>
      <c r="P59" s="26">
        <f t="shared" si="74"/>
        <v>27.868883109560016</v>
      </c>
      <c r="Q59" s="26">
        <f t="shared" si="75"/>
        <v>14.280445287971624</v>
      </c>
      <c r="R59" s="26">
        <f>(LN(Q48/(Q38*0.25)))/$B$1</f>
        <v>0.34463518112879876</v>
      </c>
      <c r="S59" s="26">
        <f>(R59-R60)/(1-0.25)</f>
        <v>0.50825504535814225</v>
      </c>
      <c r="T59" s="26">
        <f>S59+R61</f>
        <v>0.49670704798525589</v>
      </c>
      <c r="V59" s="26">
        <f>(LN(Q51/(Q39*0.25)))/$B$1</f>
        <v>0.46678421868123804</v>
      </c>
      <c r="W59" s="26">
        <f>(V59-V60)/(1-0.25)</f>
        <v>1.0692560609327726</v>
      </c>
      <c r="X59" s="26">
        <f>W59+V61</f>
        <v>0.75906783460454608</v>
      </c>
      <c r="Z59" s="26">
        <f>(LN(Q54/(Q40*0.25)))/$B$1</f>
        <v>0.22827469843611548</v>
      </c>
      <c r="AA59" s="26">
        <f>(Z59-Z60)/(1-0.25)</f>
        <v>0.60245924338197032</v>
      </c>
      <c r="AB59" s="26">
        <f>AA59+Z61</f>
        <v>0.37831775717565647</v>
      </c>
    </row>
    <row r="60" spans="1:28" x14ac:dyDescent="0.2">
      <c r="A60" s="5" t="s">
        <v>236</v>
      </c>
      <c r="B60" s="5">
        <v>40</v>
      </c>
      <c r="C60" s="31">
        <f>1-0.24-0.025</f>
        <v>0.73499999999999999</v>
      </c>
      <c r="D60" s="12">
        <f t="shared" si="72"/>
        <v>26106.122448979593</v>
      </c>
      <c r="E60" s="12">
        <f t="shared" si="72"/>
        <v>4770.0680272108848</v>
      </c>
      <c r="F60" s="12">
        <f t="shared" si="72"/>
        <v>827.21088435374156</v>
      </c>
      <c r="G60" s="12">
        <f t="shared" si="72"/>
        <v>262.58503401360542</v>
      </c>
      <c r="H60" s="30">
        <v>19188</v>
      </c>
      <c r="I60" s="30">
        <v>3506</v>
      </c>
      <c r="J60" s="30">
        <v>608</v>
      </c>
      <c r="K60" s="30">
        <v>193</v>
      </c>
      <c r="L60" s="26">
        <f t="shared" si="73"/>
        <v>3.7141599504500871</v>
      </c>
      <c r="M60" s="26">
        <f t="shared" si="73"/>
        <v>1.1219500608160369</v>
      </c>
      <c r="N60" s="26">
        <f t="shared" si="73"/>
        <v>3.0271073650709002</v>
      </c>
      <c r="O60" s="26">
        <f t="shared" si="73"/>
        <v>19.648660509054768</v>
      </c>
      <c r="P60" s="26">
        <f t="shared" si="74"/>
        <v>27.51187788539179</v>
      </c>
      <c r="Q60" s="26">
        <f t="shared" si="75"/>
        <v>7.8632173763370243</v>
      </c>
      <c r="R60" s="26">
        <f>(LN(Q49/Q38))/$B$1</f>
        <v>-3.6556102889807943E-2</v>
      </c>
      <c r="S60" s="10"/>
      <c r="T60" s="10"/>
      <c r="V60" s="26">
        <f>(LN(Q52/Q39))/$B$1</f>
        <v>-0.33515782701834146</v>
      </c>
      <c r="W60" s="10"/>
      <c r="X60" s="10"/>
      <c r="Z60" s="26">
        <f>(LN(Q55/Q40))/$B$1</f>
        <v>-0.22356973410036229</v>
      </c>
      <c r="AA60" s="10"/>
      <c r="AB60" s="10"/>
    </row>
    <row r="61" spans="1:28" x14ac:dyDescent="0.2">
      <c r="A61" s="5" t="s">
        <v>237</v>
      </c>
      <c r="B61" s="5">
        <v>40</v>
      </c>
      <c r="C61" s="31">
        <f>1-0.21-0.025</f>
        <v>0.76500000000000001</v>
      </c>
      <c r="D61" s="12">
        <f t="shared" si="72"/>
        <v>49760.784313725489</v>
      </c>
      <c r="E61" s="12">
        <f t="shared" si="72"/>
        <v>8041.830065359477</v>
      </c>
      <c r="F61" s="12">
        <f t="shared" si="72"/>
        <v>1619.6078431372548</v>
      </c>
      <c r="G61" s="12">
        <f t="shared" si="72"/>
        <v>245.75163398692811</v>
      </c>
      <c r="H61" s="30">
        <v>38067</v>
      </c>
      <c r="I61" s="30">
        <v>6152</v>
      </c>
      <c r="J61" s="30">
        <v>1239</v>
      </c>
      <c r="K61" s="30">
        <v>188</v>
      </c>
      <c r="L61" s="26">
        <f t="shared" si="73"/>
        <v>6.2700750205254066</v>
      </c>
      <c r="M61" s="26">
        <f t="shared" si="73"/>
        <v>2.0579724477968813</v>
      </c>
      <c r="N61" s="26">
        <f t="shared" si="73"/>
        <v>4.858935894487761</v>
      </c>
      <c r="O61" s="26">
        <f t="shared" si="73"/>
        <v>19.426188679861447</v>
      </c>
      <c r="P61" s="26">
        <f t="shared" si="74"/>
        <v>32.613172042671494</v>
      </c>
      <c r="Q61" s="26">
        <f t="shared" si="75"/>
        <v>13.186983362810048</v>
      </c>
      <c r="R61" s="26">
        <f>LN(Q50/Q38)/$B$1</f>
        <v>-1.1547997372886381E-2</v>
      </c>
      <c r="S61" s="10"/>
      <c r="T61" s="10"/>
      <c r="V61" s="26">
        <f>LN(Q53/Q39)/$B$1</f>
        <v>-0.31018822632822657</v>
      </c>
      <c r="W61" s="10"/>
      <c r="X61" s="10"/>
      <c r="Z61" s="26">
        <f>LN(Q56/Q40)/$B$1</f>
        <v>-0.22414148620631386</v>
      </c>
      <c r="AA61" s="10"/>
      <c r="AB61" s="10"/>
    </row>
    <row r="62" spans="1:28" x14ac:dyDescent="0.2">
      <c r="A62" s="5" t="s">
        <v>238</v>
      </c>
      <c r="B62" s="5">
        <v>40</v>
      </c>
      <c r="C62" s="31">
        <f>1-0.22-0.025</f>
        <v>0.755</v>
      </c>
      <c r="D62" s="12">
        <f t="shared" si="72"/>
        <v>54324.503311258275</v>
      </c>
      <c r="E62" s="12">
        <f t="shared" si="72"/>
        <v>8898.013245033113</v>
      </c>
      <c r="F62" s="12">
        <f t="shared" si="72"/>
        <v>1671.523178807947</v>
      </c>
      <c r="G62" s="12">
        <f t="shared" si="72"/>
        <v>254.3046357615894</v>
      </c>
      <c r="H62" s="30">
        <v>41015</v>
      </c>
      <c r="I62" s="30">
        <v>6718</v>
      </c>
      <c r="J62" s="30">
        <v>1262</v>
      </c>
      <c r="K62" s="30">
        <v>192</v>
      </c>
      <c r="L62" s="26">
        <f t="shared" si="73"/>
        <v>6.8919723079720283</v>
      </c>
      <c r="M62" s="26">
        <f t="shared" si="73"/>
        <v>2.2425226275871344</v>
      </c>
      <c r="N62" s="26">
        <f t="shared" si="73"/>
        <v>4.2803001332447534</v>
      </c>
      <c r="O62" s="26">
        <f t="shared" si="73"/>
        <v>15.365085140153463</v>
      </c>
      <c r="P62" s="26">
        <f t="shared" si="74"/>
        <v>28.77988020895738</v>
      </c>
      <c r="Q62" s="26">
        <f t="shared" si="75"/>
        <v>13.414795068803915</v>
      </c>
    </row>
    <row r="63" spans="1:28" x14ac:dyDescent="0.2">
      <c r="A63" s="5" t="s">
        <v>239</v>
      </c>
      <c r="B63" s="5">
        <v>60</v>
      </c>
      <c r="C63" s="31">
        <f>1-0.18-0.025</f>
        <v>0.79500000000000004</v>
      </c>
      <c r="D63" s="12">
        <f t="shared" si="72"/>
        <v>18397.484276729559</v>
      </c>
      <c r="E63" s="12">
        <f t="shared" si="72"/>
        <v>3408.8050314465409</v>
      </c>
      <c r="F63" s="12">
        <f t="shared" si="72"/>
        <v>469.1823899371069</v>
      </c>
      <c r="G63" s="12">
        <f t="shared" si="72"/>
        <v>72.95597484276729</v>
      </c>
      <c r="H63" s="30">
        <v>14626</v>
      </c>
      <c r="I63" s="30">
        <v>2710</v>
      </c>
      <c r="J63" s="30">
        <v>373</v>
      </c>
      <c r="K63" s="30">
        <v>58</v>
      </c>
      <c r="L63" s="26">
        <f t="shared" si="73"/>
        <v>2.5921708715029466</v>
      </c>
      <c r="M63" s="26">
        <f t="shared" si="73"/>
        <v>0.82131414483309495</v>
      </c>
      <c r="N63" s="26">
        <f t="shared" si="73"/>
        <v>0.94255606087582522</v>
      </c>
      <c r="O63" s="26">
        <f t="shared" si="73"/>
        <v>3.4723755729470844</v>
      </c>
      <c r="P63" s="26">
        <f t="shared" si="74"/>
        <v>7.8284166501589514</v>
      </c>
      <c r="Q63" s="26">
        <f t="shared" si="75"/>
        <v>4.3560410772118665</v>
      </c>
    </row>
    <row r="64" spans="1:28" x14ac:dyDescent="0.2">
      <c r="A64" s="5" t="s">
        <v>240</v>
      </c>
      <c r="B64" s="5">
        <v>60</v>
      </c>
      <c r="C64" s="31">
        <f>1-0.2-0.025</f>
        <v>0.77500000000000002</v>
      </c>
      <c r="D64" s="12">
        <f t="shared" si="72"/>
        <v>51780.645161290318</v>
      </c>
      <c r="E64" s="12">
        <f t="shared" si="72"/>
        <v>8802.5806451612898</v>
      </c>
      <c r="F64" s="12">
        <f t="shared" si="72"/>
        <v>1280</v>
      </c>
      <c r="G64" s="12">
        <f t="shared" si="72"/>
        <v>194.83870967741936</v>
      </c>
      <c r="H64" s="30">
        <v>40130</v>
      </c>
      <c r="I64" s="30">
        <v>6822</v>
      </c>
      <c r="J64" s="30">
        <v>992</v>
      </c>
      <c r="K64" s="30">
        <v>151</v>
      </c>
      <c r="L64" s="26">
        <f t="shared" si="73"/>
        <v>7.4478507823299722</v>
      </c>
      <c r="M64" s="26">
        <f t="shared" si="73"/>
        <v>2.085976564546824</v>
      </c>
      <c r="N64" s="26">
        <f t="shared" si="73"/>
        <v>2.2586107072760582</v>
      </c>
      <c r="O64" s="26">
        <f t="shared" si="73"/>
        <v>10.849378065703707</v>
      </c>
      <c r="P64" s="26">
        <f t="shared" si="74"/>
        <v>22.641816119856561</v>
      </c>
      <c r="Q64" s="26">
        <f t="shared" si="75"/>
        <v>11.792438054152854</v>
      </c>
      <c r="R64" s="6" t="s">
        <v>555</v>
      </c>
      <c r="S64" s="6" t="s">
        <v>555</v>
      </c>
      <c r="T64" s="6" t="s">
        <v>555</v>
      </c>
      <c r="V64" s="6" t="s">
        <v>556</v>
      </c>
      <c r="W64" s="6" t="s">
        <v>556</v>
      </c>
      <c r="X64" s="6" t="s">
        <v>556</v>
      </c>
      <c r="Z64" s="6" t="s">
        <v>558</v>
      </c>
      <c r="AA64" s="6" t="s">
        <v>557</v>
      </c>
      <c r="AB64" s="6" t="s">
        <v>557</v>
      </c>
    </row>
    <row r="65" spans="1:28" x14ac:dyDescent="0.2">
      <c r="A65" s="5" t="s">
        <v>241</v>
      </c>
      <c r="B65" s="5">
        <v>60</v>
      </c>
      <c r="C65" s="31">
        <f>1-0.2-0.025</f>
        <v>0.77500000000000002</v>
      </c>
      <c r="D65" s="12">
        <f t="shared" si="72"/>
        <v>53710.967741935485</v>
      </c>
      <c r="E65" s="12">
        <f t="shared" si="72"/>
        <v>9126.4516129032254</v>
      </c>
      <c r="F65" s="12">
        <f t="shared" si="72"/>
        <v>1362.5806451612902</v>
      </c>
      <c r="G65" s="12">
        <f t="shared" si="72"/>
        <v>184.51612903225805</v>
      </c>
      <c r="H65" s="30">
        <v>41626</v>
      </c>
      <c r="I65" s="30">
        <v>7073</v>
      </c>
      <c r="J65" s="30">
        <v>1056</v>
      </c>
      <c r="K65" s="30">
        <v>143</v>
      </c>
      <c r="L65" s="26">
        <f>W31*D65*1000/1000000</f>
        <v>7.6485825816245852</v>
      </c>
      <c r="M65" s="26">
        <f t="shared" ref="M65:O65" si="76">X31*E65*1000/1000000</f>
        <v>2.1201063434908076</v>
      </c>
      <c r="N65" s="26">
        <f t="shared" si="76"/>
        <v>2.0885260109095607</v>
      </c>
      <c r="O65" s="26">
        <f t="shared" si="76"/>
        <v>10.887495400565763</v>
      </c>
      <c r="P65" s="26">
        <f t="shared" si="74"/>
        <v>22.744710336590718</v>
      </c>
      <c r="Q65" s="26">
        <f t="shared" si="75"/>
        <v>11.857214936024954</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9.9697546391638595E-2</v>
      </c>
      <c r="S66" s="26">
        <f>(R66-R67)/(1-0.25)</f>
        <v>0.61724312341190146</v>
      </c>
      <c r="T66" s="26">
        <f>S66+R68</f>
        <v>0.34612598115648324</v>
      </c>
      <c r="V66" s="26">
        <f>(LN(L60/(L42*0.25)))/$B$1</f>
        <v>0.52263560380323659</v>
      </c>
      <c r="W66" s="26">
        <f>(V66-V67)/(1-0.25)</f>
        <v>1.0418581768711104</v>
      </c>
      <c r="X66" s="26">
        <f>W66+V68</f>
        <v>0.86876045698147686</v>
      </c>
      <c r="Z66" s="26">
        <f>(LN(L63/(L43*0.25)))/$B$1</f>
        <v>0.28582598887559968</v>
      </c>
      <c r="AA66" s="26">
        <f>(Z66-Z67)/(1-0.25)</f>
        <v>0.39959487307567149</v>
      </c>
      <c r="AB66" s="26">
        <f>AA66+Z68</f>
        <v>0.40981423798272121</v>
      </c>
    </row>
    <row r="67" spans="1:28" x14ac:dyDescent="0.2">
      <c r="M67" s="12"/>
      <c r="N67" s="12"/>
      <c r="R67" s="26">
        <f>(LN(L58/L41))/$B$1</f>
        <v>-0.36323479616728754</v>
      </c>
      <c r="V67" s="26">
        <f>(LN(L61/L42))/$B$1</f>
        <v>-0.2587580288500963</v>
      </c>
      <c r="Z67" s="26">
        <f>(LN(L64/L43))/$B$1</f>
        <v>-1.3870165931153949E-2</v>
      </c>
    </row>
    <row r="68" spans="1:28" x14ac:dyDescent="0.2">
      <c r="M68" s="12"/>
      <c r="N68" s="12"/>
      <c r="R68" s="26">
        <f>LN(L59/L41)/$B$1</f>
        <v>-0.27111714225541822</v>
      </c>
      <c r="V68" s="26">
        <f>LN(L62/L42)/$B$1</f>
        <v>-0.17309771988963352</v>
      </c>
      <c r="Z68" s="26">
        <f>LN(L65/L43)/$B$1</f>
        <v>1.0219364907049749E-2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0.58895352879001872</v>
      </c>
      <c r="S71" s="26">
        <f>(R71-R72)/(1-0.25)</f>
        <v>0.86780892340926519</v>
      </c>
      <c r="T71" s="26">
        <f>S71+R73</f>
        <v>0.85023688303755063</v>
      </c>
      <c r="V71" s="26">
        <f>(LN(M60/(M42*0.25)))/$B$1</f>
        <v>0.69553982975675055</v>
      </c>
      <c r="W71" s="26">
        <f>(V71-V72)/(1-0.25)</f>
        <v>0.94159590420867179</v>
      </c>
      <c r="X71" s="26">
        <f>W71+V73</f>
        <v>1.0087288019785976</v>
      </c>
      <c r="Z71" s="26">
        <f>(LN(M63/(M43*0.25)))/$B$1</f>
        <v>0.40237337150777153</v>
      </c>
      <c r="AA71" s="26">
        <f>(Z71-Z72)/(1-0.25)</f>
        <v>0.54855994365920013</v>
      </c>
      <c r="AB71" s="26">
        <f>AA71+Z73</f>
        <v>0.55421365413591561</v>
      </c>
    </row>
    <row r="72" spans="1:28" x14ac:dyDescent="0.2">
      <c r="M72" s="12"/>
      <c r="N72" s="12"/>
      <c r="R72" s="26">
        <f>(LN(M58/M41))/$B$1</f>
        <v>-6.1903163766930218E-2</v>
      </c>
      <c r="V72" s="26">
        <f>(LN(M61/M42))/$B$1</f>
        <v>-1.065709839975326E-2</v>
      </c>
      <c r="Z72" s="26">
        <f>(LN(M64/M43))/$B$1</f>
        <v>-9.0465862366285853E-3</v>
      </c>
    </row>
    <row r="73" spans="1:28" x14ac:dyDescent="0.2">
      <c r="M73" s="12"/>
      <c r="N73" s="12"/>
      <c r="R73" s="26">
        <f>LN(M59/M41)/$B$1</f>
        <v>-1.757204037171451E-2</v>
      </c>
      <c r="V73" s="26">
        <f>LN(M62/M42)/$B$1</f>
        <v>6.7132897769925773E-2</v>
      </c>
      <c r="Z73" s="26">
        <f>LN(M65/M43)/$B$1</f>
        <v>5.6537104767154832E-3</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0.23419317405049914</v>
      </c>
      <c r="S76" s="26">
        <f>(R76-R77)/(1-0.25)</f>
        <v>1.129742434073209</v>
      </c>
      <c r="T76" s="26">
        <f>S76+R78</f>
        <v>0.61587485199149994</v>
      </c>
      <c r="V76" s="26">
        <f>(LN(N60/(N42*0.25)))/$B$1</f>
        <v>0.45816247574640295</v>
      </c>
      <c r="W76" s="26">
        <f>(V76-V77)/(1-0.25)</f>
        <v>1.1027565186929136</v>
      </c>
      <c r="X76" s="26">
        <f>W76+V78</f>
        <v>0.61899985681230185</v>
      </c>
      <c r="Z76" s="26">
        <f>(LN(N63/(N43*0.25)))/$B$1</f>
        <v>-0.24719397190738696</v>
      </c>
      <c r="AA76" s="26">
        <f>(Z76-Z77)/(1-0.25)</f>
        <v>0.61882196589455096</v>
      </c>
      <c r="AB76" s="26">
        <f>AA76+Z78</f>
        <v>-0.1634045436025201</v>
      </c>
    </row>
    <row r="77" spans="1:28" x14ac:dyDescent="0.2">
      <c r="M77" s="12"/>
      <c r="N77" s="12"/>
      <c r="R77" s="26">
        <f>(LN(N58/N41))/$B$1</f>
        <v>-0.61311365150440755</v>
      </c>
      <c r="V77" s="26">
        <f>(LN(N61/N42))/$B$1</f>
        <v>-0.36890491327328223</v>
      </c>
      <c r="Z77" s="26">
        <f>(LN(N64/N43))/$B$1</f>
        <v>-0.71131044632830021</v>
      </c>
    </row>
    <row r="78" spans="1:28" x14ac:dyDescent="0.2">
      <c r="M78" s="12"/>
      <c r="N78" s="12"/>
      <c r="R78" s="26">
        <f>LN(N59/N41)/$B$1</f>
        <v>-0.51386758208170902</v>
      </c>
      <c r="V78" s="26">
        <f>LN(N62/N42)/$B$1</f>
        <v>-0.48375666188061173</v>
      </c>
      <c r="Z78" s="26">
        <f>LN(N65/N43)/$B$1</f>
        <v>-0.78222650949707107</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-0.21213038178515931</v>
      </c>
      <c r="S81" s="26">
        <f>(R81-R82)/(1-0.25)</f>
        <v>1.3441174560447919</v>
      </c>
      <c r="T81" s="26">
        <f>S81+R83</f>
        <v>8.1287440204098393E-2</v>
      </c>
      <c r="V81" s="26">
        <f>(LN(O60/(O42*0.25)))/$B$1</f>
        <v>0.71975110077845095</v>
      </c>
      <c r="W81" s="26">
        <f>(V81-V82)/(1-0.25)</f>
        <v>1.6880210651589198</v>
      </c>
      <c r="X81" s="26">
        <f>W81+V83</f>
        <v>0.92932488976757488</v>
      </c>
      <c r="Z81" s="26">
        <f>(LN(O63/(O43*0.25)))/$B$1</f>
        <v>-0.15320428504350206</v>
      </c>
      <c r="AA81" s="26">
        <f>(Z81-Z82)/(1-0.25)</f>
        <v>0.29834005650887196</v>
      </c>
      <c r="AB81" s="26">
        <f>AA81+Z83</f>
        <v>-7.5442493273733924E-2</v>
      </c>
    </row>
    <row r="82" spans="13:28" x14ac:dyDescent="0.2">
      <c r="M82" s="12"/>
      <c r="N82" s="12"/>
      <c r="R82" s="26">
        <f>(LN(O58/O41))/$B$1</f>
        <v>-1.2202184738187534</v>
      </c>
      <c r="V82" s="26">
        <f>(LN(O61/O42))/$B$1</f>
        <v>-0.54626469809073885</v>
      </c>
      <c r="Z82" s="26">
        <f>(LN(O64/O43))/$B$1</f>
        <v>-0.37695932742515603</v>
      </c>
    </row>
    <row r="83" spans="13:28" x14ac:dyDescent="0.2">
      <c r="M83" s="12"/>
      <c r="N83" s="12"/>
      <c r="R83" s="26">
        <f>LN(O59/O41)/$B$1</f>
        <v>-1.2628300158406935</v>
      </c>
      <c r="V83" s="26">
        <f>LN(O62/O42)/$B$1</f>
        <v>-0.75869617539134493</v>
      </c>
      <c r="Z83" s="26">
        <f>LN(O65/O43)/$B$1</f>
        <v>-0.37378254978260589</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0.22540197092395858</v>
      </c>
      <c r="S87" s="26">
        <f>(R87-R88)/(1-0.25)</f>
        <v>0.87429123833765399</v>
      </c>
      <c r="T87" s="26">
        <f>S87+R89</f>
        <v>0.53155465618385223</v>
      </c>
      <c r="V87" s="26">
        <f>(LN(Q60/(Q42*0.25)))/$B$1</f>
        <v>0.51937540548552907</v>
      </c>
      <c r="W87" s="26">
        <f>(V87-V88)/(1-0.25)</f>
        <v>1.0498308997933432</v>
      </c>
      <c r="X87" s="26">
        <f>W87+V89</f>
        <v>0.79734759900207042</v>
      </c>
      <c r="Z87" s="26" t="e">
        <f>(LN(Q63/(Q43*0.25)))/$B$1</f>
        <v>#VALUE!</v>
      </c>
      <c r="AA87" s="26" t="e">
        <f>(Z87-Z88)/(1-0.25)</f>
        <v>#VALUE!</v>
      </c>
      <c r="AB87" s="26" t="e">
        <f>AA87+Z89</f>
        <v>#VALUE!</v>
      </c>
    </row>
    <row r="88" spans="13:28" x14ac:dyDescent="0.2">
      <c r="M88" s="12"/>
      <c r="N88" s="12"/>
      <c r="R88" s="26">
        <f>(LN(Q58/Q41))/$B$1</f>
        <v>-0.43031645782928191</v>
      </c>
      <c r="S88" s="10"/>
      <c r="T88" s="10"/>
      <c r="V88" s="26">
        <f>(LN(Q61/Q42))/$B$1</f>
        <v>-0.26799776935947833</v>
      </c>
      <c r="W88" s="10"/>
      <c r="X88" s="10"/>
      <c r="Z88" s="26" t="e">
        <f>(LN(Q64/Q43))/$B$1</f>
        <v>#VALUE!</v>
      </c>
      <c r="AA88" s="10"/>
      <c r="AB88" s="10"/>
    </row>
    <row r="89" spans="13:28" x14ac:dyDescent="0.2">
      <c r="M89" s="12"/>
      <c r="N89" s="12"/>
      <c r="R89" s="26">
        <f>LN(Q59/Q41)/$B$1</f>
        <v>-0.34273658215380176</v>
      </c>
      <c r="S89" s="10"/>
      <c r="T89" s="10"/>
      <c r="V89" s="26">
        <f>LN(Q62/Q42)/$B$1</f>
        <v>-0.25248330079127274</v>
      </c>
      <c r="W89" s="10"/>
      <c r="X89" s="10"/>
      <c r="Z89" s="26" t="e">
        <f>LN(Q65/Q43)/$B$1</f>
        <v>#VALUE!</v>
      </c>
      <c r="AA89" s="10"/>
      <c r="AB89"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Z89"/>
  <sheetViews>
    <sheetView workbookViewId="0">
      <selection activeCell="B3" sqref="B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577</v>
      </c>
      <c r="B1" s="32">
        <v>1.08</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242</v>
      </c>
      <c r="B4" s="5">
        <v>5</v>
      </c>
      <c r="C4" s="5">
        <v>72849</v>
      </c>
      <c r="D4" s="5">
        <v>21203</v>
      </c>
      <c r="E4" s="5">
        <v>2106</v>
      </c>
      <c r="F4" s="5">
        <v>2557</v>
      </c>
      <c r="G4" s="5">
        <v>5072</v>
      </c>
      <c r="H4" s="5">
        <v>33266</v>
      </c>
      <c r="I4" s="7">
        <v>277200</v>
      </c>
      <c r="J4" s="7">
        <v>261800</v>
      </c>
      <c r="K4" s="5">
        <v>13780</v>
      </c>
      <c r="L4" s="5">
        <v>73073</v>
      </c>
      <c r="M4" s="7">
        <v>982500</v>
      </c>
      <c r="N4" s="7">
        <v>2069000</v>
      </c>
      <c r="O4" s="8">
        <f>(224333+K4)/235871</f>
        <v>1.0095051956365979</v>
      </c>
      <c r="P4" s="8">
        <f>(224333+L4)/235871</f>
        <v>1.2608841273407922</v>
      </c>
      <c r="Q4" s="8">
        <f t="shared" ref="Q4:R9" si="0">(224333+M4)/235871</f>
        <v>5.1164958812232113</v>
      </c>
      <c r="R4" s="8">
        <f t="shared" si="0"/>
        <v>9.7228273081472505</v>
      </c>
      <c r="S4" s="8">
        <f>4/3*3.14*((O4/2)^3)</f>
        <v>0.5383987874405155</v>
      </c>
      <c r="T4" s="8">
        <f t="shared" ref="T4:V9" si="1">4/3*3.14*((P4/2)^3)</f>
        <v>1.0490687023723386</v>
      </c>
      <c r="U4" s="8">
        <f t="shared" si="1"/>
        <v>70.096492023562703</v>
      </c>
      <c r="V4" s="8">
        <f>4/3*3.14*((R4/2)^3)</f>
        <v>481.01222481204297</v>
      </c>
      <c r="W4" s="8">
        <f>(S4*265)/1000</f>
        <v>0.14267567867173661</v>
      </c>
      <c r="X4" s="8">
        <f>(10^(-0.665+LOG(T4, 10)*0.959))</f>
        <v>0.22643886504209285</v>
      </c>
      <c r="Y4" s="8">
        <f>(10^(-0.665+LOG(U4, 10)*0.959))</f>
        <v>12.735697544248799</v>
      </c>
      <c r="Z4" s="8">
        <f>(10^(-0.665+LOG(V4, 10)*0.959))</f>
        <v>80.758401356591762</v>
      </c>
      <c r="AA4" s="8">
        <f>W4*C4</f>
        <v>10393.780515557341</v>
      </c>
      <c r="AB4" s="8">
        <f>X4*D4</f>
        <v>4801.1832554874945</v>
      </c>
      <c r="AC4" s="8">
        <f t="shared" ref="AC4:AD9" si="2">Y4*E4</f>
        <v>26821.37902818797</v>
      </c>
      <c r="AD4" s="8">
        <f>Z4*F4</f>
        <v>206499.23226880512</v>
      </c>
      <c r="AE4" s="8">
        <f>AA4/(AA4+AB4+AC4+AD4)</f>
        <v>4.1823457192619658E-2</v>
      </c>
      <c r="AF4" s="8">
        <f>AB4/(AA4+AB4+AC4+AD4)</f>
        <v>1.9319446091751149E-2</v>
      </c>
      <c r="AG4" s="8">
        <f>AC4/(AA4+AB4+AC4+AD4)</f>
        <v>0.10792635037399521</v>
      </c>
      <c r="AH4" s="8">
        <f>AD4/(AA4+AB4+AC4+AD4)</f>
        <v>0.830930746341634</v>
      </c>
      <c r="AI4" s="8">
        <f>LN((AVERAGE(G14:G16))/G4)/1.08</f>
        <v>4.0306717510785225E-2</v>
      </c>
      <c r="AJ4" s="8">
        <f>LN((AVERAGE(H14:H16))/H4)/1.08</f>
        <v>1.914532689704139E-2</v>
      </c>
      <c r="AK4" s="8">
        <f>LN((AVERAGE(I14:I16))/I4)/1.08</f>
        <v>3.2233214055852506E-3</v>
      </c>
      <c r="AL4" s="8">
        <f>LN((AVERAGE(J14:J16))/J4)/1.08</f>
        <v>-1.4615496127296474E-2</v>
      </c>
      <c r="AM4" s="15">
        <f>(AI4*AE4)+(AJ4*AF4)+(AG4*AK4)+(AH4*AL4)</f>
        <v>-9.740940404536845E-3</v>
      </c>
      <c r="AN4" s="5">
        <v>5</v>
      </c>
      <c r="AO4" s="50">
        <f>H4/L4</f>
        <v>0.45524338675023607</v>
      </c>
      <c r="AP4" s="50">
        <f>I4/M4</f>
        <v>0.28213740458015268</v>
      </c>
      <c r="AQ4" s="50">
        <f>LN((AVERAGE(AO14:AO16))/AO4)/1.108</f>
        <v>4.3584987598696036E-2</v>
      </c>
      <c r="AR4" s="50">
        <f>LN((AVERAGE(AP14:AP16))/AP4)/1.108</f>
        <v>2.5165648734487331E-2</v>
      </c>
      <c r="AS4" s="8">
        <f>AB4/(AB4+AC4)</f>
        <v>0.1518277744990327</v>
      </c>
      <c r="AT4" s="8">
        <f>AC4/(AC4+AB4)</f>
        <v>0.84817222550096738</v>
      </c>
      <c r="AU4" s="50">
        <f>(AQ4*AS4)+(AR4*AT4)</f>
        <v>2.7962215961983679E-2</v>
      </c>
      <c r="AV4" s="46">
        <f>H4</f>
        <v>33266</v>
      </c>
      <c r="AW4" s="46">
        <f t="shared" ref="AW4:AW11" si="3">I4</f>
        <v>277200</v>
      </c>
      <c r="AX4" s="48">
        <f>LN((AVERAGE(AV14:AV16))/AV4)/1.108</f>
        <v>1.8661509971845396E-2</v>
      </c>
      <c r="AY4" s="48">
        <f>LN((AVERAGE(AW14:AW16))/AW4)/1.108</f>
        <v>3.1418656299928432E-3</v>
      </c>
      <c r="AZ4" s="48">
        <f t="shared" ref="AZ4:AZ9" si="4">(AX4*AS4)+(AY4*AT4)</f>
        <v>5.4981786914328219E-3</v>
      </c>
    </row>
    <row r="5" spans="1:52" x14ac:dyDescent="0.2">
      <c r="A5" s="5" t="s">
        <v>243</v>
      </c>
      <c r="B5" s="5">
        <v>12</v>
      </c>
      <c r="C5" s="5">
        <v>73600</v>
      </c>
      <c r="D5" s="5">
        <v>21182</v>
      </c>
      <c r="E5" s="5">
        <v>2000</v>
      </c>
      <c r="F5" s="5">
        <v>2305</v>
      </c>
      <c r="G5" s="5">
        <v>5103</v>
      </c>
      <c r="H5" s="5">
        <v>33865</v>
      </c>
      <c r="I5" s="7">
        <v>276900</v>
      </c>
      <c r="J5" s="7">
        <v>263800</v>
      </c>
      <c r="K5" s="5">
        <v>10980</v>
      </c>
      <c r="L5" s="5">
        <v>73326</v>
      </c>
      <c r="M5" s="7">
        <v>989400</v>
      </c>
      <c r="N5" s="7">
        <v>2139000</v>
      </c>
      <c r="O5" s="8">
        <f t="shared" ref="O5:P9" si="5">(224333+K5)/235871</f>
        <v>0.99763430010471821</v>
      </c>
      <c r="P5" s="8">
        <f t="shared" si="5"/>
        <v>1.2619567475442084</v>
      </c>
      <c r="Q5" s="8">
        <f t="shared" si="0"/>
        <v>5.1457491594981999</v>
      </c>
      <c r="R5" s="8">
        <f t="shared" si="0"/>
        <v>10.019599696444242</v>
      </c>
      <c r="S5" s="8">
        <f t="shared" ref="S5:S9" si="6">4/3*3.14*((O5/2)^3)</f>
        <v>0.51962796413046308</v>
      </c>
      <c r="T5" s="8">
        <f t="shared" si="1"/>
        <v>1.0517482740434687</v>
      </c>
      <c r="U5" s="8">
        <f t="shared" si="1"/>
        <v>71.305697598565118</v>
      </c>
      <c r="V5" s="8">
        <f t="shared" si="1"/>
        <v>526.41652074053457</v>
      </c>
      <c r="W5" s="8">
        <f t="shared" ref="W5:W9" si="7">(S5*265)/1000</f>
        <v>0.13770141049457271</v>
      </c>
      <c r="X5" s="8">
        <f t="shared" ref="X5:Z9" si="8">(10^(-0.665+LOG(T5, 10)*0.959))</f>
        <v>0.22699350135841034</v>
      </c>
      <c r="Y5" s="8">
        <f t="shared" si="8"/>
        <v>12.946314097969754</v>
      </c>
      <c r="Z5" s="8">
        <f t="shared" si="8"/>
        <v>88.055198519867574</v>
      </c>
      <c r="AA5" s="8">
        <f t="shared" ref="AA5:AB9" si="9">W5*C5</f>
        <v>10134.823812400551</v>
      </c>
      <c r="AB5" s="8">
        <f t="shared" si="9"/>
        <v>4808.176345773848</v>
      </c>
      <c r="AC5" s="8">
        <f t="shared" si="2"/>
        <v>25892.628195939509</v>
      </c>
      <c r="AD5" s="8">
        <f t="shared" si="2"/>
        <v>202967.23258829475</v>
      </c>
      <c r="AE5" s="8">
        <f t="shared" ref="AE5:AE9" si="10">AA5/(AA5+AB5+AC5+AD5)</f>
        <v>4.1569749318055002E-2</v>
      </c>
      <c r="AF5" s="8">
        <f t="shared" ref="AF5:AF9" si="11">AB5/(AA5+AB5+AC5+AD5)</f>
        <v>1.9721574747679601E-2</v>
      </c>
      <c r="AG5" s="8">
        <f t="shared" ref="AG5:AG9" si="12">AC5/(AA5+AB5+AC5+AD5)</f>
        <v>0.10620313517180542</v>
      </c>
      <c r="AH5" s="8">
        <f t="shared" ref="AH5:AH9" si="13">AD5/(AA5+AB5+AC5+AD5)</f>
        <v>0.83250554076245986</v>
      </c>
      <c r="AI5" s="8">
        <f>LN((AVERAGE(G17:G19))/G5)/1.08</f>
        <v>0.25995407637796586</v>
      </c>
      <c r="AJ5" s="8">
        <f>LN((AVERAGE(H17:H19))/H5)/1.08</f>
        <v>0.14751235584906838</v>
      </c>
      <c r="AK5" s="8">
        <f>LN((AVERAGE(I17:I19))/I5)/1.08</f>
        <v>5.4456581827636063E-3</v>
      </c>
      <c r="AL5" s="8">
        <f>LN((AVERAGE(J17:J19))/J5)/1.08</f>
        <v>-1.7360512523816946E-2</v>
      </c>
      <c r="AM5" s="15">
        <f t="shared" ref="AM5:AM9" si="14">(AI5*AE5)+(AJ5*AF5)+(AG5*AK5)+(AH5*AL5)</f>
        <v>-1.5897515314791492E-4</v>
      </c>
      <c r="AN5" s="5">
        <v>12</v>
      </c>
      <c r="AO5" s="50">
        <f t="shared" ref="AO5:AO9" si="15">H5/L5</f>
        <v>0.46184163870932549</v>
      </c>
      <c r="AP5" s="50">
        <f t="shared" ref="AP5:AP9" si="16">I5/M5</f>
        <v>0.27986658580958157</v>
      </c>
      <c r="AQ5" s="50">
        <f>LN((AVERAGE(AO17:AO19))/AO5)/1.108</f>
        <v>0.20619012835549158</v>
      </c>
      <c r="AR5" s="50">
        <f>LN((AVERAGE(AP17:AP19))/AP5)/1.108</f>
        <v>0.10738733588749892</v>
      </c>
      <c r="AS5" s="8">
        <f t="shared" ref="AS5:AS9" si="17">AB5/(AB5+AC5)</f>
        <v>0.15661401769588648</v>
      </c>
      <c r="AT5" s="8">
        <f t="shared" ref="AT5:AT9" si="18">AC5/(AC5+AB5)</f>
        <v>0.84338598230411344</v>
      </c>
      <c r="AU5" s="50">
        <f t="shared" ref="AU5:AU9" si="19">(AQ5*AS5)+(AR5*AT5)</f>
        <v>0.12286123817548411</v>
      </c>
      <c r="AV5" s="46">
        <f t="shared" ref="AV5:AV11" si="20">H5</f>
        <v>33865</v>
      </c>
      <c r="AW5" s="46">
        <f t="shared" si="3"/>
        <v>276900</v>
      </c>
      <c r="AX5" s="48">
        <f>LN((AVERAGE(AV17:AV19))/AV5)/1.108</f>
        <v>0.14378460678429048</v>
      </c>
      <c r="AY5" s="48">
        <f>LN((AVERAGE(AW17:AW19))/AW5)/1.108</f>
        <v>5.3080422720078475E-3</v>
      </c>
      <c r="AZ5" s="48">
        <f t="shared" si="4"/>
        <v>2.6995413397000043E-2</v>
      </c>
    </row>
    <row r="6" spans="1:52" x14ac:dyDescent="0.2">
      <c r="A6" s="5" t="s">
        <v>244</v>
      </c>
      <c r="B6" s="5">
        <v>20</v>
      </c>
      <c r="C6" s="5">
        <v>90917</v>
      </c>
      <c r="D6" s="5">
        <v>21443</v>
      </c>
      <c r="E6" s="5">
        <v>1590</v>
      </c>
      <c r="F6" s="5">
        <v>1627</v>
      </c>
      <c r="G6" s="5">
        <v>5093</v>
      </c>
      <c r="H6" s="5">
        <v>33628</v>
      </c>
      <c r="I6" s="7">
        <v>274600</v>
      </c>
      <c r="J6" s="7">
        <v>259600</v>
      </c>
      <c r="K6" s="5">
        <v>12267</v>
      </c>
      <c r="L6" s="5">
        <v>68217</v>
      </c>
      <c r="M6" s="7">
        <v>925500</v>
      </c>
      <c r="N6" s="7">
        <v>2235000</v>
      </c>
      <c r="O6" s="8">
        <f t="shared" si="5"/>
        <v>1.0030906724438358</v>
      </c>
      <c r="P6" s="8">
        <f t="shared" si="5"/>
        <v>1.2402966028040752</v>
      </c>
      <c r="Q6" s="8">
        <f t="shared" si="0"/>
        <v>4.8748383650385172</v>
      </c>
      <c r="R6" s="8">
        <f t="shared" si="0"/>
        <v>10.426601828965833</v>
      </c>
      <c r="S6" s="8">
        <f t="shared" si="6"/>
        <v>0.52820070156263399</v>
      </c>
      <c r="T6" s="8">
        <f t="shared" si="1"/>
        <v>0.99851607327358716</v>
      </c>
      <c r="U6" s="8">
        <f t="shared" si="1"/>
        <v>60.626020052474658</v>
      </c>
      <c r="V6" s="8">
        <f t="shared" si="1"/>
        <v>593.20767964575327</v>
      </c>
      <c r="W6" s="8">
        <f t="shared" si="7"/>
        <v>0.13997318591409799</v>
      </c>
      <c r="X6" s="8">
        <f t="shared" si="8"/>
        <v>0.21596406961820908</v>
      </c>
      <c r="Y6" s="8">
        <f t="shared" si="8"/>
        <v>11.080772473559099</v>
      </c>
      <c r="Z6" s="8">
        <f t="shared" si="8"/>
        <v>98.742765729528784</v>
      </c>
      <c r="AA6" s="8">
        <f t="shared" si="9"/>
        <v>12725.942143752047</v>
      </c>
      <c r="AB6" s="8">
        <f t="shared" si="9"/>
        <v>4630.9175448232572</v>
      </c>
      <c r="AC6" s="8">
        <f t="shared" si="2"/>
        <v>17618.428232958966</v>
      </c>
      <c r="AD6" s="8">
        <f t="shared" si="2"/>
        <v>160654.47984194334</v>
      </c>
      <c r="AE6" s="8">
        <f t="shared" si="10"/>
        <v>6.5051153969257383E-2</v>
      </c>
      <c r="AF6" s="8">
        <f t="shared" si="11"/>
        <v>2.3671845025252897E-2</v>
      </c>
      <c r="AG6" s="8">
        <f t="shared" si="12"/>
        <v>9.0060058008452917E-2</v>
      </c>
      <c r="AH6" s="8">
        <f t="shared" si="13"/>
        <v>0.82121694299703685</v>
      </c>
      <c r="AI6" s="8">
        <f>LN((AVERAGE(G20:G22))/G6)/1.08</f>
        <v>0.49095520981541174</v>
      </c>
      <c r="AJ6" s="8">
        <f>LN((AVERAGE(H20:H22))/H6)/1.08</f>
        <v>0.27773592058987273</v>
      </c>
      <c r="AK6" s="8">
        <f>LN((AVERAGE(I20:I22))/I6)/1.08</f>
        <v>-6.6552798713444524E-3</v>
      </c>
      <c r="AL6" s="8">
        <f>LN((AVERAGE(J20:J22))/J6)/1.08</f>
        <v>1.9062815885451223E-2</v>
      </c>
      <c r="AM6" s="15">
        <f t="shared" si="14"/>
        <v>5.3567057110950667E-2</v>
      </c>
      <c r="AN6" s="5">
        <v>20</v>
      </c>
      <c r="AO6" s="50">
        <f t="shared" si="15"/>
        <v>0.49295630121523959</v>
      </c>
      <c r="AP6" s="50">
        <f t="shared" si="16"/>
        <v>0.29670448406266881</v>
      </c>
      <c r="AQ6" s="50">
        <f>LN((AVERAGE(AO20:AO22))/AO6)/1.108</f>
        <v>0.37102218529868414</v>
      </c>
      <c r="AR6" s="50">
        <f>LN((AVERAGE(AP20:AP22))/AP6)/1.108</f>
        <v>0.20441089985605718</v>
      </c>
      <c r="AS6" s="8">
        <f t="shared" si="17"/>
        <v>0.2081372455206123</v>
      </c>
      <c r="AT6" s="8">
        <f t="shared" si="18"/>
        <v>0.7918627544793877</v>
      </c>
      <c r="AU6" s="50">
        <f t="shared" si="19"/>
        <v>0.23908891388073406</v>
      </c>
      <c r="AV6" s="46">
        <f t="shared" si="20"/>
        <v>33628</v>
      </c>
      <c r="AW6" s="46">
        <f t="shared" si="3"/>
        <v>274600</v>
      </c>
      <c r="AX6" s="48">
        <f>LN((AVERAGE(AV20:AV22))/AV6)/1.108</f>
        <v>0.27071732331864851</v>
      </c>
      <c r="AY6" s="48">
        <f>LN((AVERAGE(AW20:AW22))/AW6)/1.108</f>
        <v>-6.4870959034765419E-3</v>
      </c>
      <c r="AZ6" s="48">
        <f t="shared" si="4"/>
        <v>5.1209468359557642E-2</v>
      </c>
    </row>
    <row r="7" spans="1:52" x14ac:dyDescent="0.2">
      <c r="A7" s="5" t="s">
        <v>245</v>
      </c>
      <c r="B7" s="5">
        <v>25</v>
      </c>
      <c r="C7" s="7">
        <v>117700</v>
      </c>
      <c r="D7" s="5">
        <v>18313</v>
      </c>
      <c r="E7" s="5">
        <v>1588</v>
      </c>
      <c r="F7" s="5">
        <v>1008</v>
      </c>
      <c r="G7" s="5">
        <v>6642</v>
      </c>
      <c r="H7" s="5">
        <v>40571</v>
      </c>
      <c r="I7" s="7">
        <v>261500</v>
      </c>
      <c r="J7" s="7">
        <v>253100</v>
      </c>
      <c r="K7" s="5">
        <v>6669</v>
      </c>
      <c r="L7" s="5">
        <v>55048</v>
      </c>
      <c r="M7" s="7">
        <v>660100</v>
      </c>
      <c r="N7" s="7">
        <v>1931000</v>
      </c>
      <c r="O7" s="8">
        <f t="shared" si="5"/>
        <v>0.97935736059117062</v>
      </c>
      <c r="P7" s="8">
        <f t="shared" si="5"/>
        <v>1.1844652373543165</v>
      </c>
      <c r="Q7" s="8">
        <f t="shared" si="0"/>
        <v>3.749647052838204</v>
      </c>
      <c r="R7" s="8">
        <f t="shared" si="0"/>
        <v>9.1377617426474647</v>
      </c>
      <c r="S7" s="8">
        <f t="shared" si="6"/>
        <v>0.49158879225258878</v>
      </c>
      <c r="T7" s="8">
        <f t="shared" si="1"/>
        <v>0.86965171019534571</v>
      </c>
      <c r="U7" s="8">
        <f t="shared" si="1"/>
        <v>27.58986457183634</v>
      </c>
      <c r="V7" s="8">
        <f t="shared" si="1"/>
        <v>399.29869240580194</v>
      </c>
      <c r="W7" s="8">
        <f t="shared" si="7"/>
        <v>0.13027102994693604</v>
      </c>
      <c r="X7" s="8">
        <f t="shared" si="8"/>
        <v>0.1891612589534433</v>
      </c>
      <c r="Y7" s="8">
        <f t="shared" si="8"/>
        <v>5.2080942667435268</v>
      </c>
      <c r="Z7" s="8">
        <f t="shared" si="8"/>
        <v>67.553005284416528</v>
      </c>
      <c r="AA7" s="8">
        <f t="shared" si="9"/>
        <v>15332.900224754372</v>
      </c>
      <c r="AB7" s="8">
        <f t="shared" si="9"/>
        <v>3464.1101352144069</v>
      </c>
      <c r="AC7" s="8">
        <f t="shared" si="2"/>
        <v>8270.4536955887197</v>
      </c>
      <c r="AD7" s="8">
        <f t="shared" si="2"/>
        <v>68093.429326691854</v>
      </c>
      <c r="AE7" s="8">
        <f t="shared" si="10"/>
        <v>0.16112606428739626</v>
      </c>
      <c r="AF7" s="8">
        <f t="shared" si="11"/>
        <v>3.6402665129461442E-2</v>
      </c>
      <c r="AG7" s="8">
        <f t="shared" si="12"/>
        <v>8.6910214917459275E-2</v>
      </c>
      <c r="AH7" s="8">
        <f t="shared" si="13"/>
        <v>0.71556105566568295</v>
      </c>
      <c r="AI7" s="8">
        <f>LN((AVERAGE(G23:G25))/G7)/1.08</f>
        <v>0.37948001350245486</v>
      </c>
      <c r="AJ7" s="8">
        <f>LN((AVERAGE(H23:H25))/H7)/1.08</f>
        <v>0.14638624943015857</v>
      </c>
      <c r="AK7" s="8">
        <f>LN((AVERAGE(I23:I25))/I7)/1.08</f>
        <v>1.8578731978232458E-2</v>
      </c>
      <c r="AL7" s="8">
        <f>LN((AVERAGE(J23:J25))/J7)/1.08</f>
        <v>4.9156841536481539E-2</v>
      </c>
      <c r="AM7" s="15">
        <f t="shared" si="14"/>
        <v>0.10326237368109989</v>
      </c>
      <c r="AN7" s="5">
        <v>25</v>
      </c>
      <c r="AO7" s="50">
        <f t="shared" si="15"/>
        <v>0.73701133556169163</v>
      </c>
      <c r="AP7" s="50">
        <f t="shared" si="16"/>
        <v>0.39615209816694441</v>
      </c>
      <c r="AQ7" s="50">
        <f>LN((AVERAGE(AO23:AO25))/AO7)/1.108</f>
        <v>0.11787544575868017</v>
      </c>
      <c r="AR7" s="50">
        <f>LN((AVERAGE(AP23:AP25))/AP7)/1.108</f>
        <v>0.11670704916844933</v>
      </c>
      <c r="AS7" s="8">
        <f t="shared" si="17"/>
        <v>0.29520570045570405</v>
      </c>
      <c r="AT7" s="8">
        <f t="shared" si="18"/>
        <v>0.70479429954429595</v>
      </c>
      <c r="AU7" s="50">
        <f t="shared" si="19"/>
        <v>0.11705196650227848</v>
      </c>
      <c r="AV7" s="46">
        <f t="shared" si="20"/>
        <v>40571</v>
      </c>
      <c r="AW7" s="46">
        <f t="shared" si="3"/>
        <v>261500</v>
      </c>
      <c r="AX7" s="48">
        <f>LN((AVERAGE(AV23:AV25))/AV7)/1.108</f>
        <v>0.1426869579283134</v>
      </c>
      <c r="AY7" s="48">
        <f>LN((AVERAGE(AW23:AW25))/AW7)/1.108</f>
        <v>1.8109233336183264E-2</v>
      </c>
      <c r="AZ7" s="48">
        <f t="shared" si="4"/>
        <v>5.4885287785580827E-2</v>
      </c>
    </row>
    <row r="8" spans="1:52" x14ac:dyDescent="0.2">
      <c r="A8" s="5" t="s">
        <v>246</v>
      </c>
      <c r="B8" s="5">
        <v>30</v>
      </c>
      <c r="C8" s="7">
        <v>100800</v>
      </c>
      <c r="D8" s="5">
        <v>13174</v>
      </c>
      <c r="E8" s="5">
        <v>1586</v>
      </c>
      <c r="F8" s="5">
        <v>751</v>
      </c>
      <c r="G8" s="5">
        <v>9359</v>
      </c>
      <c r="H8" s="5">
        <v>53145</v>
      </c>
      <c r="I8" s="7">
        <v>257700</v>
      </c>
      <c r="J8" s="7">
        <v>249700</v>
      </c>
      <c r="K8" s="5">
        <v>5705</v>
      </c>
      <c r="L8" s="5">
        <v>57237</v>
      </c>
      <c r="M8" s="7">
        <v>474100</v>
      </c>
      <c r="N8" s="7">
        <v>1710000</v>
      </c>
      <c r="O8" s="8">
        <f t="shared" si="5"/>
        <v>0.97527038084376627</v>
      </c>
      <c r="P8" s="8">
        <f t="shared" si="5"/>
        <v>1.1937457338969182</v>
      </c>
      <c r="Q8" s="8">
        <f t="shared" si="0"/>
        <v>2.9610804210776229</v>
      </c>
      <c r="R8" s="8">
        <f t="shared" si="0"/>
        <v>8.2008089167383869</v>
      </c>
      <c r="S8" s="8">
        <f t="shared" si="6"/>
        <v>0.48546005650672908</v>
      </c>
      <c r="T8" s="8">
        <f t="shared" si="1"/>
        <v>0.89025392141643045</v>
      </c>
      <c r="U8" s="8">
        <f t="shared" si="1"/>
        <v>13.587169893230859</v>
      </c>
      <c r="V8" s="8">
        <f t="shared" si="1"/>
        <v>288.63465650920244</v>
      </c>
      <c r="W8" s="8">
        <f t="shared" si="7"/>
        <v>0.12864691497428318</v>
      </c>
      <c r="X8" s="8">
        <f t="shared" si="8"/>
        <v>0.19345672243477144</v>
      </c>
      <c r="Y8" s="8">
        <f t="shared" si="8"/>
        <v>2.6404060342301761</v>
      </c>
      <c r="Z8" s="8">
        <f t="shared" si="8"/>
        <v>49.48506993119684</v>
      </c>
      <c r="AA8" s="8">
        <f t="shared" si="9"/>
        <v>12967.609029407744</v>
      </c>
      <c r="AB8" s="8">
        <f t="shared" si="9"/>
        <v>2548.5988613556788</v>
      </c>
      <c r="AC8" s="8">
        <f t="shared" si="2"/>
        <v>4187.6839702890593</v>
      </c>
      <c r="AD8" s="8">
        <f t="shared" si="2"/>
        <v>37163.287518328827</v>
      </c>
      <c r="AE8" s="8">
        <f t="shared" si="10"/>
        <v>0.22803327281095095</v>
      </c>
      <c r="AF8" s="8">
        <f t="shared" si="11"/>
        <v>4.4816691968368315E-2</v>
      </c>
      <c r="AG8" s="8">
        <f t="shared" si="12"/>
        <v>7.3639734131202825E-2</v>
      </c>
      <c r="AH8" s="8">
        <f t="shared" si="13"/>
        <v>0.65351030108947783</v>
      </c>
      <c r="AI8" s="8">
        <f>LN((AVERAGE(G26:G28))/G8)/1.08</f>
        <v>0.32064786213538515</v>
      </c>
      <c r="AJ8" s="8">
        <f>LN((AVERAGE(H26:H28))/H8)/1.08</f>
        <v>0.1561469602782444</v>
      </c>
      <c r="AK8" s="8">
        <f>LN((AVERAGE(I26:I28))/I8)/1.08</f>
        <v>1.2136442635892364E-2</v>
      </c>
      <c r="AL8" s="8">
        <f>LN((AVERAGE(J26:J28))/J8)/1.08</f>
        <v>1.1424504617569312E-2</v>
      </c>
      <c r="AM8" s="15">
        <f t="shared" si="14"/>
        <v>8.8476127504585153E-2</v>
      </c>
      <c r="AN8" s="5">
        <v>30</v>
      </c>
      <c r="AO8" s="50">
        <f t="shared" si="15"/>
        <v>0.92850778342680429</v>
      </c>
      <c r="AP8" s="50">
        <f t="shared" si="16"/>
        <v>0.54355621176966884</v>
      </c>
      <c r="AQ8" s="50">
        <f>LN((AVERAGE(AO26:AO28))/AO8)/1.108</f>
        <v>-1.8257118917915111E-2</v>
      </c>
      <c r="AR8" s="50">
        <f>LN((AVERAGE(AP26:AP28))/AP8)/1.108</f>
        <v>3.9601324285887141E-2</v>
      </c>
      <c r="AS8" s="8">
        <f t="shared" si="17"/>
        <v>0.37833905212281743</v>
      </c>
      <c r="AT8" s="8">
        <f t="shared" si="18"/>
        <v>0.62166094787718262</v>
      </c>
      <c r="AU8" s="50">
        <f t="shared" si="19"/>
        <v>1.7711215726858728E-2</v>
      </c>
      <c r="AV8" s="46">
        <f t="shared" si="20"/>
        <v>53145</v>
      </c>
      <c r="AW8" s="46">
        <f t="shared" si="3"/>
        <v>257700</v>
      </c>
      <c r="AX8" s="48">
        <f>LN((AVERAGE(AV26:AV28))/AV8)/1.108</f>
        <v>0.15220100821345123</v>
      </c>
      <c r="AY8" s="48">
        <f>LN((AVERAGE(AW26:AW28))/AW8)/1.108</f>
        <v>1.1829745529570173E-2</v>
      </c>
      <c r="AZ8" s="48">
        <f t="shared" si="4"/>
        <v>6.4937675998672742E-2</v>
      </c>
    </row>
    <row r="9" spans="1:52" x14ac:dyDescent="0.2">
      <c r="A9" s="5" t="s">
        <v>247</v>
      </c>
      <c r="B9" s="5">
        <v>40</v>
      </c>
      <c r="C9" s="5">
        <v>40563</v>
      </c>
      <c r="D9" s="5">
        <v>3856</v>
      </c>
      <c r="E9" s="5">
        <v>971</v>
      </c>
      <c r="F9" s="5">
        <v>369</v>
      </c>
      <c r="G9" s="5">
        <v>14333</v>
      </c>
      <c r="H9" s="5">
        <v>68891</v>
      </c>
      <c r="I9" s="7">
        <v>256700</v>
      </c>
      <c r="J9" s="7">
        <v>274500</v>
      </c>
      <c r="K9" s="5">
        <v>8917</v>
      </c>
      <c r="L9" s="5">
        <v>77932</v>
      </c>
      <c r="M9" s="7">
        <v>368200</v>
      </c>
      <c r="N9" s="7">
        <v>1814000</v>
      </c>
      <c r="O9" s="8">
        <f t="shared" si="5"/>
        <v>0.9888879938610512</v>
      </c>
      <c r="P9" s="8">
        <f t="shared" si="5"/>
        <v>1.2814843706941506</v>
      </c>
      <c r="Q9" s="8">
        <f t="shared" si="0"/>
        <v>2.512106193639744</v>
      </c>
      <c r="R9" s="8">
        <f t="shared" si="0"/>
        <v>8.6417278936367765</v>
      </c>
      <c r="S9" s="8">
        <f t="shared" si="6"/>
        <v>0.50608062403159504</v>
      </c>
      <c r="T9" s="8">
        <f t="shared" si="1"/>
        <v>1.1013322051673309</v>
      </c>
      <c r="U9" s="8">
        <f t="shared" si="1"/>
        <v>8.2964515346681047</v>
      </c>
      <c r="V9" s="8">
        <f t="shared" si="1"/>
        <v>337.73818077504922</v>
      </c>
      <c r="W9" s="8">
        <f t="shared" si="7"/>
        <v>0.13411136536837268</v>
      </c>
      <c r="X9" s="8">
        <f t="shared" si="8"/>
        <v>0.23724643060764111</v>
      </c>
      <c r="Y9" s="8">
        <f t="shared" si="8"/>
        <v>1.6451965606032848</v>
      </c>
      <c r="Z9" s="8">
        <f t="shared" si="8"/>
        <v>57.531854465502391</v>
      </c>
      <c r="AA9" s="8">
        <f t="shared" si="9"/>
        <v>5439.9593134373008</v>
      </c>
      <c r="AB9" s="8">
        <f t="shared" si="9"/>
        <v>914.82223642306417</v>
      </c>
      <c r="AC9" s="8">
        <f t="shared" si="2"/>
        <v>1597.4858603457894</v>
      </c>
      <c r="AD9" s="8">
        <f t="shared" si="2"/>
        <v>21229.254297770382</v>
      </c>
      <c r="AE9" s="8">
        <f t="shared" si="10"/>
        <v>0.18641794515980747</v>
      </c>
      <c r="AF9" s="8">
        <f t="shared" si="11"/>
        <v>3.1349367095308292E-2</v>
      </c>
      <c r="AG9" s="8">
        <f t="shared" si="12"/>
        <v>5.4743062282085496E-2</v>
      </c>
      <c r="AH9" s="8">
        <f t="shared" si="13"/>
        <v>0.72748962546279872</v>
      </c>
      <c r="AI9" s="8">
        <f>LN((AVERAGE(G29:G31))/G9)/1.08</f>
        <v>0.14932556602087085</v>
      </c>
      <c r="AJ9" s="8">
        <f>LN((AVERAGE(H29:H31))/H9)/1.08</f>
        <v>5.1987881408254007E-2</v>
      </c>
      <c r="AK9" s="8">
        <f>LN((AVERAGE(I29:I31))/I9)/1.08</f>
        <v>-1.9257533023647232E-3</v>
      </c>
      <c r="AL9" s="8">
        <f>LN((AVERAGE(J29:J31))/J9)/1.08</f>
        <v>-7.8739985082675133E-4</v>
      </c>
      <c r="AM9" s="15">
        <f t="shared" si="14"/>
        <v>2.878850550067192E-2</v>
      </c>
      <c r="AN9" s="5">
        <v>40</v>
      </c>
      <c r="AO9" s="50">
        <f t="shared" si="15"/>
        <v>0.88398860545090596</v>
      </c>
      <c r="AP9" s="50">
        <f t="shared" si="16"/>
        <v>0.6971754481260185</v>
      </c>
      <c r="AQ9" s="50">
        <f>LN((AVERAGE(AO29:AO31))/AO9)/1.108</f>
        <v>-4.124250856344075E-3</v>
      </c>
      <c r="AR9" s="50">
        <f>LN((AVERAGE(AP29:AP31))/AP9)/1.108</f>
        <v>-3.910337262025123E-2</v>
      </c>
      <c r="AS9" s="8">
        <f t="shared" si="17"/>
        <v>0.36413616530537851</v>
      </c>
      <c r="AT9" s="8">
        <f t="shared" si="18"/>
        <v>0.63586383469462138</v>
      </c>
      <c r="AU9" s="50">
        <f t="shared" si="19"/>
        <v>-2.6366209355392165E-2</v>
      </c>
      <c r="AV9" s="46">
        <f t="shared" si="20"/>
        <v>68891</v>
      </c>
      <c r="AW9" s="46">
        <f t="shared" si="3"/>
        <v>256700</v>
      </c>
      <c r="AX9" s="48">
        <f>LN((AVERAGE(AV29:AV31))/AV9)/1.108</f>
        <v>5.0674108231872135E-2</v>
      </c>
      <c r="AY9" s="48">
        <f>LN((AVERAGE(AW29:AW31))/AW9)/1.108</f>
        <v>-1.8770880564565895E-3</v>
      </c>
      <c r="AZ9" s="48">
        <f t="shared" si="4"/>
        <v>1.7258703042185675E-2</v>
      </c>
    </row>
    <row r="10" spans="1:52" x14ac:dyDescent="0.2">
      <c r="A10" s="5" t="s">
        <v>248</v>
      </c>
      <c r="B10" s="5">
        <v>70</v>
      </c>
      <c r="C10" s="5">
        <v>15474</v>
      </c>
      <c r="D10" s="5">
        <v>1518</v>
      </c>
      <c r="E10" s="5">
        <v>462</v>
      </c>
      <c r="F10" s="5">
        <v>116</v>
      </c>
      <c r="G10" s="5">
        <v>13859</v>
      </c>
      <c r="H10" s="5">
        <v>67668</v>
      </c>
      <c r="I10" s="7">
        <v>261000</v>
      </c>
      <c r="J10" s="7">
        <v>262900</v>
      </c>
      <c r="K10" s="5">
        <v>15076</v>
      </c>
      <c r="L10" s="5">
        <v>77136</v>
      </c>
      <c r="M10" s="7">
        <v>344400</v>
      </c>
      <c r="N10" s="7">
        <v>2291000</v>
      </c>
      <c r="O10" s="8">
        <f t="shared" ref="O10:O11" si="21">(224333+K10)/235871</f>
        <v>1.0149997244256395</v>
      </c>
      <c r="P10" s="8">
        <f t="shared" ref="P10:P11" si="22">(224333+L10)/235871</f>
        <v>1.2781096446786591</v>
      </c>
      <c r="Q10" s="8">
        <f t="shared" ref="Q10:Q11" si="23">(224333+M10)/235871</f>
        <v>2.411203581618766</v>
      </c>
      <c r="R10" s="8">
        <f t="shared" ref="R10:R11" si="24">(224333+N10)/235871</f>
        <v>10.664019739603427</v>
      </c>
      <c r="S10" s="8">
        <f t="shared" ref="S10:S11" si="25">4/3*3.14*((O10/2)^3)</f>
        <v>0.5472379038548093</v>
      </c>
      <c r="T10" s="8">
        <f t="shared" ref="T10:T11" si="26">4/3*3.14*((P10/2)^3)</f>
        <v>1.0926541860142249</v>
      </c>
      <c r="U10" s="8">
        <f t="shared" ref="U10:U11" si="27">4/3*3.14*((Q10/2)^3)</f>
        <v>7.3363499255144919</v>
      </c>
      <c r="V10" s="8">
        <f t="shared" ref="V10:V11" si="28">4/3*3.14*((R10/2)^3)</f>
        <v>634.66013330501028</v>
      </c>
      <c r="W10" s="8">
        <f t="shared" ref="W10:W11" si="29">(S10*265)/1000</f>
        <v>0.14501804452152448</v>
      </c>
      <c r="X10" s="8">
        <f t="shared" ref="X10:X11" si="30">(10^(-0.665+LOG(T10, 10)*0.959))</f>
        <v>0.2354533868075776</v>
      </c>
      <c r="Y10" s="8">
        <f t="shared" ref="Y10:Y11" si="31">(10^(-0.665+LOG(U10, 10)*0.959))</f>
        <v>1.4621615403931825</v>
      </c>
      <c r="Z10" s="8">
        <f t="shared" ref="Z10:Z11" si="32">(10^(-0.665+LOG(V10, 10)*0.959))</f>
        <v>105.35060370416502</v>
      </c>
      <c r="AA10" s="8">
        <f t="shared" ref="AA10:AA11" si="33">W10*C10</f>
        <v>2244.0092209260697</v>
      </c>
      <c r="AB10" s="8">
        <f t="shared" ref="AB10:AB11" si="34">X10*D10</f>
        <v>357.4182411739028</v>
      </c>
      <c r="AC10" s="8">
        <f t="shared" ref="AC10:AC11" si="35">Y10*E10</f>
        <v>675.51863166165026</v>
      </c>
      <c r="AD10" s="8">
        <f t="shared" ref="AD10:AD11" si="36">Z10*F10</f>
        <v>12220.670029683142</v>
      </c>
      <c r="AE10" s="8">
        <f t="shared" ref="AE10:AE11" si="37">AA10/(AA10+AB10+AC10+AD10)</f>
        <v>0.14479705801535095</v>
      </c>
      <c r="AF10" s="8">
        <f t="shared" ref="AF10:AF11" si="38">AB10/(AA10+AB10+AC10+AD10)</f>
        <v>2.3062788388028346E-2</v>
      </c>
      <c r="AG10" s="8">
        <f t="shared" ref="AG10:AG11" si="39">AC10/(AA10+AB10+AC10+AD10)</f>
        <v>4.3588551057199498E-2</v>
      </c>
      <c r="AH10" s="8">
        <f t="shared" ref="AH10:AH11" si="40">AD10/(AA10+AB10+AC10+AD10)</f>
        <v>0.78855160253942125</v>
      </c>
      <c r="AI10" s="8"/>
      <c r="AN10" s="5">
        <v>70</v>
      </c>
      <c r="AO10" s="50">
        <f t="shared" ref="AO10:AO11" si="41">H10/L10</f>
        <v>0.87725575606720596</v>
      </c>
      <c r="AP10" s="50">
        <f t="shared" ref="AP10:AP11" si="42">I10/M10</f>
        <v>0.75783972125435539</v>
      </c>
      <c r="AQ10" s="51"/>
      <c r="AR10" s="51"/>
      <c r="AU10" s="51"/>
      <c r="AV10" s="46">
        <f t="shared" si="20"/>
        <v>67668</v>
      </c>
      <c r="AW10" s="46">
        <f t="shared" si="3"/>
        <v>261000</v>
      </c>
    </row>
    <row r="11" spans="1:52" x14ac:dyDescent="0.2">
      <c r="A11" s="5" t="s">
        <v>249</v>
      </c>
      <c r="B11" s="5">
        <v>100</v>
      </c>
      <c r="C11" s="5">
        <v>1874</v>
      </c>
      <c r="D11" s="5">
        <v>565</v>
      </c>
      <c r="E11" s="5">
        <v>111</v>
      </c>
      <c r="F11" s="5">
        <v>45</v>
      </c>
      <c r="G11" s="5">
        <v>18753</v>
      </c>
      <c r="H11" s="5">
        <v>85673</v>
      </c>
      <c r="I11" s="7">
        <v>292900</v>
      </c>
      <c r="J11" s="7">
        <v>204700</v>
      </c>
      <c r="K11" s="5">
        <v>77503</v>
      </c>
      <c r="L11" s="7">
        <v>132600</v>
      </c>
      <c r="M11" s="7">
        <v>402700</v>
      </c>
      <c r="N11" s="7">
        <v>1404000</v>
      </c>
      <c r="O11" s="8">
        <f t="shared" si="21"/>
        <v>1.2796655799144447</v>
      </c>
      <c r="P11" s="8">
        <f t="shared" si="22"/>
        <v>1.5132551267430079</v>
      </c>
      <c r="Q11" s="8">
        <f t="shared" si="23"/>
        <v>2.6583725850146904</v>
      </c>
      <c r="R11" s="8">
        <f t="shared" si="24"/>
        <v>6.9034896193258177</v>
      </c>
      <c r="S11" s="8">
        <f t="shared" si="25"/>
        <v>1.0966495466212813</v>
      </c>
      <c r="T11" s="8">
        <f t="shared" si="26"/>
        <v>1.8134887237095696</v>
      </c>
      <c r="U11" s="8">
        <f t="shared" si="27"/>
        <v>9.8316395131632515</v>
      </c>
      <c r="V11" s="8">
        <f t="shared" si="28"/>
        <v>172.18068295895972</v>
      </c>
      <c r="W11" s="8">
        <f t="shared" si="29"/>
        <v>0.29061212985463952</v>
      </c>
      <c r="X11" s="8">
        <f t="shared" si="30"/>
        <v>0.38275048548883223</v>
      </c>
      <c r="Y11" s="8">
        <f t="shared" si="31"/>
        <v>1.9361022181971228</v>
      </c>
      <c r="Z11" s="8">
        <f t="shared" si="32"/>
        <v>30.15150986026001</v>
      </c>
      <c r="AA11" s="8">
        <f t="shared" si="33"/>
        <v>544.60713134759442</v>
      </c>
      <c r="AB11" s="8">
        <f t="shared" si="34"/>
        <v>216.25402430119021</v>
      </c>
      <c r="AC11" s="8">
        <f t="shared" si="35"/>
        <v>214.90734621988062</v>
      </c>
      <c r="AD11" s="8">
        <f t="shared" si="36"/>
        <v>1356.8179437117005</v>
      </c>
      <c r="AE11" s="8">
        <f t="shared" si="37"/>
        <v>0.23347779130736221</v>
      </c>
      <c r="AF11" s="8">
        <f t="shared" si="38"/>
        <v>9.2709972104542737E-2</v>
      </c>
      <c r="AG11" s="8">
        <f t="shared" si="39"/>
        <v>9.213263955429099E-2</v>
      </c>
      <c r="AH11" s="8">
        <f t="shared" si="40"/>
        <v>0.58167959703380412</v>
      </c>
      <c r="AI11" s="8"/>
      <c r="AN11" s="5">
        <v>100</v>
      </c>
      <c r="AO11" s="50">
        <f t="shared" si="41"/>
        <v>0.64610105580693811</v>
      </c>
      <c r="AP11" s="50">
        <f t="shared" si="42"/>
        <v>0.72734045194934194</v>
      </c>
      <c r="AQ11" s="51"/>
      <c r="AR11" s="51"/>
      <c r="AU11" s="51"/>
      <c r="AV11" s="46">
        <f t="shared" si="20"/>
        <v>85673</v>
      </c>
      <c r="AW11" s="46">
        <f t="shared" si="3"/>
        <v>292900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250</v>
      </c>
      <c r="B14" s="5">
        <v>5</v>
      </c>
      <c r="C14" s="5">
        <v>33323</v>
      </c>
      <c r="D14" s="5">
        <v>11725</v>
      </c>
      <c r="E14" s="5">
        <v>1007</v>
      </c>
      <c r="F14" s="5">
        <v>921</v>
      </c>
      <c r="G14" s="5">
        <v>5526</v>
      </c>
      <c r="H14" s="5">
        <v>33804</v>
      </c>
      <c r="I14" s="7">
        <v>280200</v>
      </c>
      <c r="J14" s="7">
        <v>254300</v>
      </c>
      <c r="K14" s="5">
        <v>6953</v>
      </c>
      <c r="L14" s="5">
        <v>74496</v>
      </c>
      <c r="M14" s="7">
        <v>990900</v>
      </c>
      <c r="N14" s="7">
        <v>1908000</v>
      </c>
      <c r="O14" s="8">
        <f t="shared" ref="O14:R29" si="43">(224333+K14)/235871</f>
        <v>0.98056140856654694</v>
      </c>
      <c r="P14" s="8">
        <f t="shared" si="43"/>
        <v>1.2669170860343153</v>
      </c>
      <c r="Q14" s="8">
        <f t="shared" si="43"/>
        <v>5.1521085678188498</v>
      </c>
      <c r="R14" s="8">
        <f t="shared" si="43"/>
        <v>9.0402508150641658</v>
      </c>
      <c r="S14" s="8">
        <f t="shared" ref="S14:V29" si="44">4/3*3.14*((O14/2)^3)</f>
        <v>0.49340413925064658</v>
      </c>
      <c r="T14" s="8">
        <f t="shared" si="44"/>
        <v>1.0641993206011864</v>
      </c>
      <c r="U14" s="8">
        <f t="shared" si="44"/>
        <v>71.570395319438219</v>
      </c>
      <c r="V14" s="8">
        <f t="shared" si="44"/>
        <v>386.65162268929095</v>
      </c>
      <c r="W14" s="8">
        <f t="shared" ref="W14:W31" si="45">(S14*265)/1000</f>
        <v>0.13075209690142134</v>
      </c>
      <c r="X14" s="8">
        <f t="shared" ref="X14:Z29" si="46">(10^(-0.665+LOG(T14, 10)*0.959))</f>
        <v>0.22956994768682751</v>
      </c>
      <c r="Y14" s="8">
        <f t="shared" si="46"/>
        <v>12.992398897996726</v>
      </c>
      <c r="Z14" s="8">
        <f t="shared" si="46"/>
        <v>65.499762284804618</v>
      </c>
      <c r="AA14" s="8">
        <f t="shared" ref="AA14:AA19" si="47">W14*C14</f>
        <v>4357.0521250460633</v>
      </c>
      <c r="AB14" s="8">
        <f t="shared" ref="AB14:AB19" si="48">X14*D14</f>
        <v>2691.7076366280526</v>
      </c>
      <c r="AC14" s="8">
        <f t="shared" ref="AC14:AC19" si="49">Y14*E14</f>
        <v>13083.345690282702</v>
      </c>
      <c r="AD14" s="8">
        <f t="shared" ref="AD14:AD19" si="50">Z14*F14</f>
        <v>60325.281064305054</v>
      </c>
      <c r="AE14" s="8">
        <f t="shared" ref="AE14:AE19" si="51">AA14/(AA14+AB14+AC14+AD14)</f>
        <v>5.4153537837889197E-2</v>
      </c>
      <c r="AF14" s="8">
        <f t="shared" ref="AF14:AF19" si="52">AB14/(AA14+AB14+AC14+AD14)</f>
        <v>3.3455071724011451E-2</v>
      </c>
      <c r="AG14" s="8">
        <f t="shared" ref="AG14:AG19" si="53">AC14/(AA14+AB14+AC14+AD14)</f>
        <v>0.16261211377576035</v>
      </c>
      <c r="AH14" s="8">
        <f t="shared" ref="AH14:AH19" si="54">AD14/(AA14+AB14+AC14+AD14)</f>
        <v>0.74977927666233901</v>
      </c>
      <c r="AI14" s="8"/>
      <c r="AN14" s="5">
        <v>5</v>
      </c>
      <c r="AO14" s="8">
        <f t="shared" ref="AO14:AO31" si="55">H14/L14</f>
        <v>0.45376932989690721</v>
      </c>
      <c r="AP14" s="8">
        <f t="shared" ref="AP14:AP31" si="56">I14/M14</f>
        <v>0.28277323645171054</v>
      </c>
      <c r="AV14" s="5">
        <f t="shared" ref="AV14:AW29" si="57">H14</f>
        <v>33804</v>
      </c>
      <c r="AW14" s="5">
        <f t="shared" si="57"/>
        <v>280200</v>
      </c>
    </row>
    <row r="15" spans="1:52" x14ac:dyDescent="0.2">
      <c r="A15" s="5" t="s">
        <v>251</v>
      </c>
      <c r="B15" s="5">
        <v>5</v>
      </c>
      <c r="C15" s="7">
        <v>103400</v>
      </c>
      <c r="D15" s="5">
        <v>38336</v>
      </c>
      <c r="E15" s="5">
        <v>3162</v>
      </c>
      <c r="F15" s="5">
        <v>2840</v>
      </c>
      <c r="G15" s="5">
        <v>6301</v>
      </c>
      <c r="H15" s="5">
        <v>35165</v>
      </c>
      <c r="I15" s="7">
        <v>277100</v>
      </c>
      <c r="J15" s="7">
        <v>261000</v>
      </c>
      <c r="K15" s="5">
        <v>9161</v>
      </c>
      <c r="L15" s="5">
        <v>73488</v>
      </c>
      <c r="M15" s="7">
        <v>928900</v>
      </c>
      <c r="N15" s="7">
        <v>1925000</v>
      </c>
      <c r="O15" s="8">
        <f t="shared" si="43"/>
        <v>0.98992245761454356</v>
      </c>
      <c r="P15" s="8">
        <f t="shared" si="43"/>
        <v>1.2626435636428386</v>
      </c>
      <c r="Q15" s="8">
        <f t="shared" si="43"/>
        <v>4.8892530238986565</v>
      </c>
      <c r="R15" s="8">
        <f t="shared" si="43"/>
        <v>9.1123241093648648</v>
      </c>
      <c r="S15" s="8">
        <f t="shared" si="44"/>
        <v>0.50767050045706674</v>
      </c>
      <c r="T15" s="8">
        <f t="shared" si="44"/>
        <v>1.0534664411517793</v>
      </c>
      <c r="U15" s="8">
        <f t="shared" si="44"/>
        <v>61.16541641895455</v>
      </c>
      <c r="V15" s="8">
        <f t="shared" si="44"/>
        <v>395.97327268445355</v>
      </c>
      <c r="W15" s="8">
        <f t="shared" si="45"/>
        <v>0.1345326826211227</v>
      </c>
      <c r="X15" s="8">
        <f t="shared" si="46"/>
        <v>0.2273491090022686</v>
      </c>
      <c r="Y15" s="8">
        <f t="shared" si="46"/>
        <v>11.175300072639256</v>
      </c>
      <c r="Z15" s="8">
        <f t="shared" si="46"/>
        <v>67.0133875472347</v>
      </c>
      <c r="AA15" s="8">
        <f t="shared" si="47"/>
        <v>13910.679383024086</v>
      </c>
      <c r="AB15" s="8">
        <f t="shared" si="48"/>
        <v>8715.6554427109695</v>
      </c>
      <c r="AC15" s="8">
        <f t="shared" si="49"/>
        <v>35336.298829685329</v>
      </c>
      <c r="AD15" s="8">
        <f t="shared" si="50"/>
        <v>190318.02063414655</v>
      </c>
      <c r="AE15" s="8">
        <f t="shared" si="51"/>
        <v>5.6028043839453624E-2</v>
      </c>
      <c r="AF15" s="8">
        <f t="shared" si="52"/>
        <v>3.5104045732640927E-2</v>
      </c>
      <c r="AG15" s="8">
        <f t="shared" si="53"/>
        <v>0.14232401203709169</v>
      </c>
      <c r="AH15" s="8">
        <f t="shared" si="54"/>
        <v>0.76654389839081372</v>
      </c>
      <c r="AI15" s="8"/>
      <c r="AN15" s="5">
        <v>5</v>
      </c>
      <c r="AO15" s="8">
        <f t="shared" si="55"/>
        <v>0.47851349880252558</v>
      </c>
      <c r="AP15" s="8">
        <f t="shared" si="56"/>
        <v>0.29830982882979867</v>
      </c>
      <c r="AV15" s="5">
        <f t="shared" si="57"/>
        <v>35165</v>
      </c>
      <c r="AW15" s="5">
        <f t="shared" si="57"/>
        <v>277100</v>
      </c>
    </row>
    <row r="16" spans="1:52" x14ac:dyDescent="0.2">
      <c r="A16" s="5" t="s">
        <v>252</v>
      </c>
      <c r="B16" s="5">
        <v>5</v>
      </c>
      <c r="C16" s="7">
        <v>129900</v>
      </c>
      <c r="D16" s="5">
        <v>36630</v>
      </c>
      <c r="E16" s="5">
        <v>3013</v>
      </c>
      <c r="F16" s="5">
        <v>2411</v>
      </c>
      <c r="G16" s="5">
        <v>4066</v>
      </c>
      <c r="H16" s="5">
        <v>32914</v>
      </c>
      <c r="I16" s="7">
        <v>277200</v>
      </c>
      <c r="J16" s="7">
        <v>257800</v>
      </c>
      <c r="K16" s="5">
        <v>4966</v>
      </c>
      <c r="L16" s="5">
        <v>65694</v>
      </c>
      <c r="M16" s="7">
        <v>958300</v>
      </c>
      <c r="N16" s="7">
        <v>1923000</v>
      </c>
      <c r="O16" s="8">
        <f t="shared" si="43"/>
        <v>0.97213731234445944</v>
      </c>
      <c r="P16" s="8">
        <f t="shared" si="43"/>
        <v>1.2296000780087422</v>
      </c>
      <c r="Q16" s="8">
        <f t="shared" si="43"/>
        <v>5.0138974269833936</v>
      </c>
      <c r="R16" s="8">
        <f t="shared" si="43"/>
        <v>9.1038448982706655</v>
      </c>
      <c r="S16" s="8">
        <f t="shared" si="44"/>
        <v>0.48079643078884565</v>
      </c>
      <c r="T16" s="8">
        <f t="shared" si="44"/>
        <v>0.9729041229125226</v>
      </c>
      <c r="U16" s="8">
        <f t="shared" si="44"/>
        <v>65.963658217501006</v>
      </c>
      <c r="V16" s="8">
        <f t="shared" si="44"/>
        <v>394.86891633176458</v>
      </c>
      <c r="W16" s="8">
        <f t="shared" si="45"/>
        <v>0.12741105415904411</v>
      </c>
      <c r="X16" s="8">
        <f t="shared" si="46"/>
        <v>0.21064888856538891</v>
      </c>
      <c r="Y16" s="8">
        <f t="shared" si="46"/>
        <v>12.014708507924363</v>
      </c>
      <c r="Z16" s="8">
        <f t="shared" si="46"/>
        <v>66.834141992612714</v>
      </c>
      <c r="AA16" s="8">
        <f t="shared" si="47"/>
        <v>16550.695935259828</v>
      </c>
      <c r="AB16" s="8">
        <f t="shared" si="48"/>
        <v>7716.0687881501954</v>
      </c>
      <c r="AC16" s="8">
        <f t="shared" si="49"/>
        <v>36200.316734376102</v>
      </c>
      <c r="AD16" s="8">
        <f t="shared" si="50"/>
        <v>161137.11634418924</v>
      </c>
      <c r="AE16" s="8">
        <f t="shared" si="51"/>
        <v>7.4685841240469036E-2</v>
      </c>
      <c r="AF16" s="8">
        <f t="shared" si="52"/>
        <v>3.4819145416393436E-2</v>
      </c>
      <c r="AG16" s="8">
        <f t="shared" si="53"/>
        <v>0.16335573555661867</v>
      </c>
      <c r="AH16" s="8">
        <f t="shared" si="54"/>
        <v>0.72713927778651888</v>
      </c>
      <c r="AI16" s="8"/>
      <c r="AN16" s="5">
        <v>5</v>
      </c>
      <c r="AO16" s="8">
        <f t="shared" si="55"/>
        <v>0.50101988004992848</v>
      </c>
      <c r="AP16" s="8">
        <f t="shared" si="56"/>
        <v>0.28926223520818117</v>
      </c>
      <c r="AV16" s="5">
        <f t="shared" si="57"/>
        <v>32914</v>
      </c>
      <c r="AW16" s="5">
        <f t="shared" si="57"/>
        <v>277200</v>
      </c>
    </row>
    <row r="17" spans="1:49" x14ac:dyDescent="0.2">
      <c r="A17" s="5" t="s">
        <v>253</v>
      </c>
      <c r="B17" s="5">
        <v>12</v>
      </c>
      <c r="C17" s="5">
        <v>34871</v>
      </c>
      <c r="D17" s="5">
        <v>10869</v>
      </c>
      <c r="E17" s="5">
        <v>1048</v>
      </c>
      <c r="F17" s="5">
        <v>726</v>
      </c>
      <c r="G17" s="5">
        <v>6330</v>
      </c>
      <c r="H17" s="5">
        <v>38823</v>
      </c>
      <c r="I17" s="7">
        <v>280000</v>
      </c>
      <c r="J17" s="7">
        <v>266400</v>
      </c>
      <c r="K17" s="5">
        <v>8155</v>
      </c>
      <c r="L17" s="5">
        <v>69520</v>
      </c>
      <c r="M17" s="7">
        <v>926400</v>
      </c>
      <c r="N17" s="7">
        <v>1899000</v>
      </c>
      <c r="O17" s="8">
        <f t="shared" si="43"/>
        <v>0.98565741443416099</v>
      </c>
      <c r="P17" s="8">
        <f t="shared" si="43"/>
        <v>1.2458208088319462</v>
      </c>
      <c r="Q17" s="8">
        <f t="shared" si="43"/>
        <v>4.8786540100309068</v>
      </c>
      <c r="R17" s="8">
        <f t="shared" si="43"/>
        <v>9.0020943651402678</v>
      </c>
      <c r="S17" s="8">
        <f t="shared" si="44"/>
        <v>0.50113689427146746</v>
      </c>
      <c r="T17" s="8">
        <f t="shared" si="44"/>
        <v>1.0119175764494432</v>
      </c>
      <c r="U17" s="8">
        <f t="shared" si="44"/>
        <v>60.768491534500569</v>
      </c>
      <c r="V17" s="8">
        <f t="shared" si="44"/>
        <v>381.77640239903781</v>
      </c>
      <c r="W17" s="8">
        <f t="shared" si="45"/>
        <v>0.13280127698193889</v>
      </c>
      <c r="X17" s="8">
        <f t="shared" si="46"/>
        <v>0.21874301242287367</v>
      </c>
      <c r="Y17" s="8">
        <f t="shared" si="46"/>
        <v>11.105743513084763</v>
      </c>
      <c r="Z17" s="8">
        <f t="shared" si="46"/>
        <v>64.707542882185507</v>
      </c>
      <c r="AA17" s="8">
        <f t="shared" si="47"/>
        <v>4630.9133296371911</v>
      </c>
      <c r="AB17" s="8">
        <f t="shared" si="48"/>
        <v>2377.5178020242138</v>
      </c>
      <c r="AC17" s="8">
        <f t="shared" si="49"/>
        <v>11638.819201712831</v>
      </c>
      <c r="AD17" s="8">
        <f t="shared" si="50"/>
        <v>46977.67613246668</v>
      </c>
      <c r="AE17" s="8">
        <f t="shared" si="51"/>
        <v>7.0566377427450117E-2</v>
      </c>
      <c r="AF17" s="8">
        <f t="shared" si="52"/>
        <v>3.622888329271895E-2</v>
      </c>
      <c r="AG17" s="8">
        <f t="shared" si="53"/>
        <v>0.177353634183058</v>
      </c>
      <c r="AH17" s="8">
        <f t="shared" si="54"/>
        <v>0.71585110509677286</v>
      </c>
      <c r="AI17" s="8"/>
      <c r="AN17" s="5">
        <v>12</v>
      </c>
      <c r="AO17" s="8">
        <f t="shared" si="55"/>
        <v>0.55844361334867665</v>
      </c>
      <c r="AP17" s="8">
        <f t="shared" si="56"/>
        <v>0.30224525043177891</v>
      </c>
      <c r="AV17" s="5">
        <f t="shared" si="57"/>
        <v>38823</v>
      </c>
      <c r="AW17" s="5">
        <f t="shared" si="57"/>
        <v>280000</v>
      </c>
    </row>
    <row r="18" spans="1:49" x14ac:dyDescent="0.2">
      <c r="A18" s="5" t="s">
        <v>254</v>
      </c>
      <c r="B18" s="5">
        <v>12</v>
      </c>
      <c r="C18" s="5">
        <v>94535</v>
      </c>
      <c r="D18" s="5">
        <v>30869</v>
      </c>
      <c r="E18" s="5">
        <v>3316</v>
      </c>
      <c r="F18" s="5">
        <v>2233</v>
      </c>
      <c r="G18" s="5">
        <v>8074</v>
      </c>
      <c r="H18" s="5">
        <v>42145</v>
      </c>
      <c r="I18" s="7">
        <v>278200</v>
      </c>
      <c r="J18" s="7">
        <v>257700</v>
      </c>
      <c r="K18" s="5">
        <v>10010</v>
      </c>
      <c r="L18" s="5">
        <v>68825</v>
      </c>
      <c r="M18" s="7">
        <v>876300</v>
      </c>
      <c r="N18" s="7">
        <v>1689000</v>
      </c>
      <c r="O18" s="8">
        <f t="shared" si="43"/>
        <v>0.9935218827240313</v>
      </c>
      <c r="P18" s="8">
        <f t="shared" si="43"/>
        <v>1.2428742829767119</v>
      </c>
      <c r="Q18" s="8">
        <f t="shared" si="43"/>
        <v>4.6662497721212022</v>
      </c>
      <c r="R18" s="8">
        <f t="shared" si="43"/>
        <v>8.1117772002492892</v>
      </c>
      <c r="S18" s="8">
        <f t="shared" si="44"/>
        <v>0.51322843356170311</v>
      </c>
      <c r="T18" s="8">
        <f t="shared" si="44"/>
        <v>1.0047546003365107</v>
      </c>
      <c r="U18" s="8">
        <f t="shared" si="44"/>
        <v>53.171920025125104</v>
      </c>
      <c r="V18" s="8">
        <f t="shared" si="44"/>
        <v>279.33569704399969</v>
      </c>
      <c r="W18" s="8">
        <f t="shared" si="45"/>
        <v>0.13600553489385131</v>
      </c>
      <c r="X18" s="8">
        <f t="shared" si="46"/>
        <v>0.21725788290079573</v>
      </c>
      <c r="Y18" s="8">
        <f t="shared" si="46"/>
        <v>9.7707829705928866</v>
      </c>
      <c r="Z18" s="8">
        <f t="shared" si="46"/>
        <v>47.955150123594805</v>
      </c>
      <c r="AA18" s="8">
        <f t="shared" si="47"/>
        <v>12857.283241190233</v>
      </c>
      <c r="AB18" s="8">
        <f t="shared" si="48"/>
        <v>6706.5335872646638</v>
      </c>
      <c r="AC18" s="8">
        <f t="shared" si="49"/>
        <v>32399.916330486012</v>
      </c>
      <c r="AD18" s="8">
        <f t="shared" si="50"/>
        <v>107083.8502259872</v>
      </c>
      <c r="AE18" s="8">
        <f t="shared" si="51"/>
        <v>8.083922413377978E-2</v>
      </c>
      <c r="AF18" s="8">
        <f t="shared" si="52"/>
        <v>4.2166837398801983E-2</v>
      </c>
      <c r="AG18" s="8">
        <f t="shared" si="53"/>
        <v>0.20371209446214281</v>
      </c>
      <c r="AH18" s="8">
        <f t="shared" si="54"/>
        <v>0.67328184400527535</v>
      </c>
      <c r="AI18" s="8"/>
      <c r="AN18" s="5">
        <v>12</v>
      </c>
      <c r="AO18" s="8">
        <f t="shared" si="55"/>
        <v>0.61235016345804572</v>
      </c>
      <c r="AP18" s="8">
        <f t="shared" si="56"/>
        <v>0.31747118566700899</v>
      </c>
      <c r="AV18" s="5">
        <f t="shared" si="57"/>
        <v>42145</v>
      </c>
      <c r="AW18" s="5">
        <f t="shared" si="57"/>
        <v>278200</v>
      </c>
    </row>
    <row r="19" spans="1:49" x14ac:dyDescent="0.2">
      <c r="A19" s="5" t="s">
        <v>255</v>
      </c>
      <c r="B19" s="5">
        <v>12</v>
      </c>
      <c r="C19" s="7">
        <v>110600</v>
      </c>
      <c r="D19" s="5">
        <v>28085</v>
      </c>
      <c r="E19" s="5">
        <v>2911</v>
      </c>
      <c r="F19" s="5">
        <v>1962</v>
      </c>
      <c r="G19" s="5">
        <v>5867</v>
      </c>
      <c r="H19" s="5">
        <v>38173</v>
      </c>
      <c r="I19" s="7">
        <v>277400</v>
      </c>
      <c r="J19" s="7">
        <v>252600</v>
      </c>
      <c r="K19" s="5">
        <v>6421</v>
      </c>
      <c r="L19" s="5">
        <v>66930</v>
      </c>
      <c r="M19" s="7">
        <v>851000</v>
      </c>
      <c r="N19" s="7">
        <v>1629000</v>
      </c>
      <c r="O19" s="8">
        <f t="shared" si="43"/>
        <v>0.97830593841548985</v>
      </c>
      <c r="P19" s="8">
        <f t="shared" si="43"/>
        <v>1.2348402304649575</v>
      </c>
      <c r="Q19" s="8">
        <f t="shared" si="43"/>
        <v>4.5589877517795747</v>
      </c>
      <c r="R19" s="8">
        <f t="shared" si="43"/>
        <v>7.8574008674232951</v>
      </c>
      <c r="S19" s="8">
        <f t="shared" si="44"/>
        <v>0.49000720617451338</v>
      </c>
      <c r="T19" s="8">
        <f t="shared" si="44"/>
        <v>0.98539580276089622</v>
      </c>
      <c r="U19" s="8">
        <f t="shared" si="44"/>
        <v>49.588808568290048</v>
      </c>
      <c r="V19" s="8">
        <f t="shared" si="44"/>
        <v>253.87218980254144</v>
      </c>
      <c r="W19" s="8">
        <f t="shared" si="45"/>
        <v>0.12985190963624604</v>
      </c>
      <c r="X19" s="8">
        <f t="shared" si="46"/>
        <v>0.21324196166756046</v>
      </c>
      <c r="Y19" s="8">
        <f t="shared" si="46"/>
        <v>9.1384584871535388</v>
      </c>
      <c r="Z19" s="8">
        <f t="shared" si="46"/>
        <v>43.754820728167218</v>
      </c>
      <c r="AA19" s="8">
        <f t="shared" si="47"/>
        <v>14361.621205768812</v>
      </c>
      <c r="AB19" s="8">
        <f t="shared" si="48"/>
        <v>5988.9004934334353</v>
      </c>
      <c r="AC19" s="8">
        <f t="shared" si="49"/>
        <v>26602.052656103951</v>
      </c>
      <c r="AD19" s="8">
        <f t="shared" si="50"/>
        <v>85846.958268664079</v>
      </c>
      <c r="AE19" s="8">
        <f t="shared" si="51"/>
        <v>0.1081451186009411</v>
      </c>
      <c r="AF19" s="8">
        <f t="shared" si="52"/>
        <v>4.5097300985172603E-2</v>
      </c>
      <c r="AG19" s="8">
        <f t="shared" si="53"/>
        <v>0.20031736656354987</v>
      </c>
      <c r="AH19" s="8">
        <f t="shared" si="54"/>
        <v>0.64644021385033645</v>
      </c>
      <c r="AI19" s="8"/>
      <c r="AN19" s="5">
        <v>12</v>
      </c>
      <c r="AO19" s="8">
        <f t="shared" si="55"/>
        <v>0.57034214851337217</v>
      </c>
      <c r="AP19" s="8">
        <f t="shared" si="56"/>
        <v>0.32596944770857816</v>
      </c>
      <c r="AV19" s="5">
        <f t="shared" si="57"/>
        <v>38173</v>
      </c>
      <c r="AW19" s="5">
        <f t="shared" si="57"/>
        <v>277400</v>
      </c>
    </row>
    <row r="20" spans="1:49" x14ac:dyDescent="0.2">
      <c r="A20" s="5" t="s">
        <v>256</v>
      </c>
      <c r="B20" s="5">
        <v>20</v>
      </c>
      <c r="C20" s="5">
        <v>34045</v>
      </c>
      <c r="D20" s="5">
        <v>8245</v>
      </c>
      <c r="E20" s="5">
        <v>968</v>
      </c>
      <c r="F20" s="5">
        <v>665</v>
      </c>
      <c r="G20" s="5">
        <v>8647</v>
      </c>
      <c r="H20" s="5">
        <v>45545</v>
      </c>
      <c r="I20" s="7">
        <v>271600</v>
      </c>
      <c r="J20" s="7">
        <v>266900</v>
      </c>
      <c r="K20" s="5">
        <v>11392</v>
      </c>
      <c r="L20" s="5">
        <v>61631</v>
      </c>
      <c r="M20" s="7">
        <v>732000</v>
      </c>
      <c r="N20" s="7">
        <v>1949000</v>
      </c>
      <c r="O20" s="8">
        <f t="shared" si="43"/>
        <v>0.99938101759012343</v>
      </c>
      <c r="P20" s="8">
        <f t="shared" si="43"/>
        <v>1.2123745606708751</v>
      </c>
      <c r="Q20" s="8">
        <f t="shared" si="43"/>
        <v>4.0544746916746863</v>
      </c>
      <c r="R20" s="8">
        <f t="shared" si="43"/>
        <v>9.2140746424952624</v>
      </c>
      <c r="S20" s="8">
        <f t="shared" si="44"/>
        <v>0.52236213235429652</v>
      </c>
      <c r="T20" s="8">
        <f t="shared" si="44"/>
        <v>0.93258589488844856</v>
      </c>
      <c r="U20" s="8">
        <f t="shared" si="44"/>
        <v>34.880458036684104</v>
      </c>
      <c r="V20" s="8">
        <f t="shared" si="44"/>
        <v>409.38655547112785</v>
      </c>
      <c r="W20" s="8">
        <f t="shared" si="45"/>
        <v>0.13842596507388857</v>
      </c>
      <c r="X20" s="8">
        <f t="shared" si="46"/>
        <v>0.20227005848415014</v>
      </c>
      <c r="Y20" s="8">
        <f t="shared" si="46"/>
        <v>6.5213319894812338</v>
      </c>
      <c r="Z20" s="8">
        <f t="shared" si="46"/>
        <v>69.188847967548639</v>
      </c>
      <c r="AA20" s="8">
        <f t="shared" ref="AA20:AA31" si="58">W20*C20</f>
        <v>4712.7119809405367</v>
      </c>
      <c r="AB20" s="8">
        <f t="shared" ref="AB20:AB31" si="59">X20*D20</f>
        <v>1667.7166322018179</v>
      </c>
      <c r="AC20" s="8">
        <f t="shared" ref="AC20:AC31" si="60">Y20*E20</f>
        <v>6312.6493658178342</v>
      </c>
      <c r="AD20" s="8">
        <f t="shared" ref="AD20:AD31" si="61">Z20*F20</f>
        <v>46010.583898419842</v>
      </c>
      <c r="AE20" s="8">
        <f t="shared" ref="AE20:AE31" si="62">AA20/(AA20+AB20+AC20+AD20)</f>
        <v>8.0279693467580099E-2</v>
      </c>
      <c r="AF20" s="8">
        <f t="shared" ref="AF20:AF31" si="63">AB20/(AA20+AB20+AC20+AD20)</f>
        <v>2.8409073282095035E-2</v>
      </c>
      <c r="AG20" s="8">
        <f t="shared" ref="AG20:AG31" si="64">AC20/(AA20+AB20+AC20+AD20)</f>
        <v>0.10753416676124346</v>
      </c>
      <c r="AH20" s="8">
        <f t="shared" ref="AH20:AH31" si="65">AD20/(AA20+AB20+AC20+AD20)</f>
        <v>0.78377706648908141</v>
      </c>
      <c r="AN20" s="5">
        <v>20</v>
      </c>
      <c r="AO20" s="8">
        <f t="shared" si="55"/>
        <v>0.73899498628936733</v>
      </c>
      <c r="AP20" s="8">
        <f t="shared" si="56"/>
        <v>0.37103825136612023</v>
      </c>
      <c r="AV20" s="5">
        <f t="shared" si="57"/>
        <v>45545</v>
      </c>
      <c r="AW20" s="5">
        <f t="shared" si="57"/>
        <v>271600</v>
      </c>
    </row>
    <row r="21" spans="1:49" x14ac:dyDescent="0.2">
      <c r="A21" s="5" t="s">
        <v>257</v>
      </c>
      <c r="B21" s="5">
        <v>20</v>
      </c>
      <c r="C21" s="5">
        <v>98038</v>
      </c>
      <c r="D21" s="5">
        <v>24430</v>
      </c>
      <c r="E21" s="5">
        <v>2757</v>
      </c>
      <c r="F21" s="5">
        <v>1929</v>
      </c>
      <c r="G21" s="5">
        <v>9613</v>
      </c>
      <c r="H21" s="5">
        <v>47331</v>
      </c>
      <c r="I21" s="7">
        <v>273400</v>
      </c>
      <c r="J21" s="7">
        <v>262800</v>
      </c>
      <c r="K21" s="5">
        <v>7811</v>
      </c>
      <c r="L21" s="5">
        <v>61305</v>
      </c>
      <c r="M21" s="7">
        <v>738500</v>
      </c>
      <c r="N21" s="7">
        <v>1745000</v>
      </c>
      <c r="O21" s="8">
        <f t="shared" si="43"/>
        <v>0.98419899012595868</v>
      </c>
      <c r="P21" s="8">
        <f t="shared" si="43"/>
        <v>1.2109924492625206</v>
      </c>
      <c r="Q21" s="8">
        <f t="shared" si="43"/>
        <v>4.0820321277308356</v>
      </c>
      <c r="R21" s="8">
        <f t="shared" si="43"/>
        <v>8.3491951108868836</v>
      </c>
      <c r="S21" s="8">
        <f t="shared" si="44"/>
        <v>0.4989156681487838</v>
      </c>
      <c r="T21" s="8">
        <f t="shared" si="44"/>
        <v>0.92940007556039073</v>
      </c>
      <c r="U21" s="8">
        <f t="shared" si="44"/>
        <v>35.596529085955041</v>
      </c>
      <c r="V21" s="8">
        <f t="shared" si="44"/>
        <v>304.5876064325368</v>
      </c>
      <c r="W21" s="8">
        <f t="shared" si="45"/>
        <v>0.1322126520594277</v>
      </c>
      <c r="X21" s="8">
        <f t="shared" si="46"/>
        <v>0.20160736460974607</v>
      </c>
      <c r="Y21" s="8">
        <f t="shared" si="46"/>
        <v>6.6496676443257332</v>
      </c>
      <c r="Z21" s="8">
        <f t="shared" si="46"/>
        <v>52.10507516268914</v>
      </c>
      <c r="AA21" s="8">
        <f t="shared" si="58"/>
        <v>12961.863982602174</v>
      </c>
      <c r="AB21" s="8">
        <f t="shared" si="59"/>
        <v>4925.2679174160967</v>
      </c>
      <c r="AC21" s="8">
        <f t="shared" si="60"/>
        <v>18333.133695406046</v>
      </c>
      <c r="AD21" s="8">
        <f t="shared" si="61"/>
        <v>100510.68998882735</v>
      </c>
      <c r="AE21" s="8">
        <f t="shared" si="62"/>
        <v>9.4798313426656761E-2</v>
      </c>
      <c r="AF21" s="8">
        <f t="shared" si="63"/>
        <v>3.6021600934261128E-2</v>
      </c>
      <c r="AG21" s="8">
        <f t="shared" si="64"/>
        <v>0.13408180771551348</v>
      </c>
      <c r="AH21" s="8">
        <f t="shared" si="65"/>
        <v>0.73509827792356863</v>
      </c>
      <c r="AN21" s="5">
        <v>20</v>
      </c>
      <c r="AO21" s="8">
        <f t="shared" si="55"/>
        <v>0.77205774406655248</v>
      </c>
      <c r="AP21" s="8">
        <f t="shared" si="56"/>
        <v>0.37020988490182805</v>
      </c>
      <c r="AV21" s="5">
        <f t="shared" si="57"/>
        <v>47331</v>
      </c>
      <c r="AW21" s="5">
        <f t="shared" si="57"/>
        <v>273400</v>
      </c>
    </row>
    <row r="22" spans="1:49" x14ac:dyDescent="0.2">
      <c r="A22" s="5" t="s">
        <v>258</v>
      </c>
      <c r="B22" s="5">
        <v>20</v>
      </c>
      <c r="C22" s="7">
        <v>116000</v>
      </c>
      <c r="D22" s="5">
        <v>23938</v>
      </c>
      <c r="E22" s="5">
        <v>3003</v>
      </c>
      <c r="F22" s="5">
        <v>2306</v>
      </c>
      <c r="G22" s="5">
        <v>7704</v>
      </c>
      <c r="H22" s="5">
        <v>43297</v>
      </c>
      <c r="I22" s="7">
        <v>272900</v>
      </c>
      <c r="J22" s="7">
        <v>265300</v>
      </c>
      <c r="K22" s="5">
        <v>7549</v>
      </c>
      <c r="L22" s="5">
        <v>60154</v>
      </c>
      <c r="M22" s="7">
        <v>727500</v>
      </c>
      <c r="N22" s="7">
        <v>1800000</v>
      </c>
      <c r="O22" s="8">
        <f t="shared" si="43"/>
        <v>0.98308821347261854</v>
      </c>
      <c r="P22" s="8">
        <f t="shared" si="43"/>
        <v>1.2061126632778085</v>
      </c>
      <c r="Q22" s="8">
        <f t="shared" si="43"/>
        <v>4.0353964667127373</v>
      </c>
      <c r="R22" s="8">
        <f t="shared" si="43"/>
        <v>8.5823734159773775</v>
      </c>
      <c r="S22" s="8">
        <f t="shared" si="44"/>
        <v>0.49722833054841453</v>
      </c>
      <c r="T22" s="8">
        <f t="shared" si="44"/>
        <v>0.91821002367153781</v>
      </c>
      <c r="U22" s="8">
        <f t="shared" si="44"/>
        <v>34.39038406014263</v>
      </c>
      <c r="V22" s="8">
        <f t="shared" si="44"/>
        <v>330.826749242012</v>
      </c>
      <c r="W22" s="8">
        <f t="shared" si="45"/>
        <v>0.13176550759532987</v>
      </c>
      <c r="X22" s="8">
        <f t="shared" si="46"/>
        <v>0.19927894082321276</v>
      </c>
      <c r="Y22" s="8">
        <f t="shared" si="46"/>
        <v>6.4334378205518483</v>
      </c>
      <c r="Z22" s="8">
        <f t="shared" si="46"/>
        <v>56.402323113428054</v>
      </c>
      <c r="AA22" s="8">
        <f t="shared" si="58"/>
        <v>15284.798881058265</v>
      </c>
      <c r="AB22" s="8">
        <f t="shared" si="59"/>
        <v>4770.3392854260674</v>
      </c>
      <c r="AC22" s="8">
        <f t="shared" si="60"/>
        <v>19319.613775117199</v>
      </c>
      <c r="AD22" s="8">
        <f t="shared" si="61"/>
        <v>130063.75709956509</v>
      </c>
      <c r="AE22" s="8">
        <f t="shared" si="62"/>
        <v>9.0208530324972835E-2</v>
      </c>
      <c r="AF22" s="8">
        <f t="shared" si="63"/>
        <v>2.8153808201104212E-2</v>
      </c>
      <c r="AG22" s="8">
        <f t="shared" si="64"/>
        <v>0.11402138678181666</v>
      </c>
      <c r="AH22" s="8">
        <f t="shared" si="65"/>
        <v>0.76761627469210625</v>
      </c>
      <c r="AN22" s="5">
        <v>20</v>
      </c>
      <c r="AO22" s="8">
        <f t="shared" si="55"/>
        <v>0.71976925890215115</v>
      </c>
      <c r="AP22" s="8">
        <f t="shared" si="56"/>
        <v>0.37512027491408934</v>
      </c>
      <c r="AV22" s="5">
        <f t="shared" si="57"/>
        <v>43297</v>
      </c>
      <c r="AW22" s="5">
        <f t="shared" si="57"/>
        <v>272900</v>
      </c>
    </row>
    <row r="23" spans="1:49" x14ac:dyDescent="0.2">
      <c r="A23" s="5" t="s">
        <v>259</v>
      </c>
      <c r="B23" s="5">
        <v>25</v>
      </c>
      <c r="C23" s="5">
        <v>40703</v>
      </c>
      <c r="D23" s="5">
        <v>6900</v>
      </c>
      <c r="E23" s="5">
        <v>876</v>
      </c>
      <c r="F23" s="5">
        <v>443</v>
      </c>
      <c r="G23" s="5">
        <v>9757</v>
      </c>
      <c r="H23" s="5">
        <v>47493</v>
      </c>
      <c r="I23" s="7">
        <v>268000</v>
      </c>
      <c r="J23" s="7">
        <v>272500</v>
      </c>
      <c r="K23" s="5">
        <v>5898</v>
      </c>
      <c r="L23" s="5">
        <v>56902</v>
      </c>
      <c r="M23" s="7">
        <v>625400</v>
      </c>
      <c r="N23" s="7">
        <v>1857000</v>
      </c>
      <c r="O23" s="8">
        <f t="shared" si="43"/>
        <v>0.97608862471435653</v>
      </c>
      <c r="P23" s="8">
        <f t="shared" si="43"/>
        <v>1.1923254660386398</v>
      </c>
      <c r="Q23" s="8">
        <f t="shared" si="43"/>
        <v>3.6025327403538374</v>
      </c>
      <c r="R23" s="8">
        <f t="shared" si="43"/>
        <v>8.8240309321620725</v>
      </c>
      <c r="S23" s="8">
        <f t="shared" si="44"/>
        <v>0.4866829729972274</v>
      </c>
      <c r="T23" s="8">
        <f t="shared" si="44"/>
        <v>0.88708014178425398</v>
      </c>
      <c r="U23" s="8">
        <f t="shared" si="44"/>
        <v>24.468210439331127</v>
      </c>
      <c r="V23" s="8">
        <f t="shared" si="44"/>
        <v>359.56669909535162</v>
      </c>
      <c r="W23" s="8">
        <f t="shared" si="45"/>
        <v>0.12897098784426528</v>
      </c>
      <c r="X23" s="8">
        <f t="shared" si="46"/>
        <v>0.19279527233862204</v>
      </c>
      <c r="Y23" s="8">
        <f t="shared" si="46"/>
        <v>4.6416192918838668</v>
      </c>
      <c r="Z23" s="8">
        <f t="shared" si="46"/>
        <v>61.093148170373851</v>
      </c>
      <c r="AA23" s="8">
        <f t="shared" si="58"/>
        <v>5249.5061182251293</v>
      </c>
      <c r="AB23" s="8">
        <f t="shared" si="59"/>
        <v>1330.2873791364921</v>
      </c>
      <c r="AC23" s="8">
        <f t="shared" si="60"/>
        <v>4066.0584996902671</v>
      </c>
      <c r="AD23" s="8">
        <f t="shared" si="61"/>
        <v>27064.264639475616</v>
      </c>
      <c r="AE23" s="8">
        <f t="shared" si="62"/>
        <v>0.1392068385474112</v>
      </c>
      <c r="AF23" s="8">
        <f t="shared" si="63"/>
        <v>3.5276671031240547E-2</v>
      </c>
      <c r="AG23" s="8">
        <f t="shared" si="64"/>
        <v>0.10782407646418475</v>
      </c>
      <c r="AH23" s="8">
        <f t="shared" si="65"/>
        <v>0.71769241395716343</v>
      </c>
      <c r="AN23" s="5">
        <v>25</v>
      </c>
      <c r="AO23" s="8">
        <f t="shared" si="55"/>
        <v>0.83464553091279747</v>
      </c>
      <c r="AP23" s="8">
        <f t="shared" si="56"/>
        <v>0.42852574352414452</v>
      </c>
      <c r="AV23" s="5">
        <f t="shared" si="57"/>
        <v>47493</v>
      </c>
      <c r="AW23" s="5">
        <f t="shared" si="57"/>
        <v>268000</v>
      </c>
    </row>
    <row r="24" spans="1:49" x14ac:dyDescent="0.2">
      <c r="A24" s="5" t="s">
        <v>260</v>
      </c>
      <c r="B24" s="5">
        <v>25</v>
      </c>
      <c r="C24" s="7">
        <v>110900</v>
      </c>
      <c r="D24" s="5">
        <v>19352</v>
      </c>
      <c r="E24" s="5">
        <v>2543</v>
      </c>
      <c r="F24" s="5">
        <v>1439</v>
      </c>
      <c r="G24" s="5">
        <v>10434</v>
      </c>
      <c r="H24" s="5">
        <v>48746</v>
      </c>
      <c r="I24" s="7">
        <v>267600</v>
      </c>
      <c r="J24" s="7">
        <v>264800</v>
      </c>
      <c r="K24" s="5">
        <v>6104</v>
      </c>
      <c r="L24" s="5">
        <v>57244</v>
      </c>
      <c r="M24" s="7">
        <v>601500</v>
      </c>
      <c r="N24" s="7">
        <v>1628000</v>
      </c>
      <c r="O24" s="8">
        <f t="shared" si="43"/>
        <v>0.9769619834570592</v>
      </c>
      <c r="P24" s="8">
        <f t="shared" si="43"/>
        <v>1.1937754111357479</v>
      </c>
      <c r="Q24" s="8">
        <f t="shared" si="43"/>
        <v>3.5012061677781499</v>
      </c>
      <c r="R24" s="8">
        <f t="shared" si="43"/>
        <v>7.8531612618761955</v>
      </c>
      <c r="S24" s="8">
        <f t="shared" si="44"/>
        <v>0.48799052616193866</v>
      </c>
      <c r="T24" s="8">
        <f t="shared" si="44"/>
        <v>0.89032031981516213</v>
      </c>
      <c r="U24" s="8">
        <f t="shared" si="44"/>
        <v>22.461122283727967</v>
      </c>
      <c r="V24" s="8">
        <f t="shared" si="44"/>
        <v>253.46146722918181</v>
      </c>
      <c r="W24" s="8">
        <f t="shared" si="45"/>
        <v>0.12931748943291377</v>
      </c>
      <c r="X24" s="8">
        <f t="shared" si="46"/>
        <v>0.19347055954751277</v>
      </c>
      <c r="Y24" s="8">
        <f t="shared" si="46"/>
        <v>4.2758529662990323</v>
      </c>
      <c r="Z24" s="8">
        <f t="shared" si="46"/>
        <v>43.68693282878715</v>
      </c>
      <c r="AA24" s="8">
        <f t="shared" si="58"/>
        <v>14341.309578110136</v>
      </c>
      <c r="AB24" s="8">
        <f t="shared" si="59"/>
        <v>3744.042268363467</v>
      </c>
      <c r="AC24" s="8">
        <f t="shared" si="60"/>
        <v>10873.494093298439</v>
      </c>
      <c r="AD24" s="8">
        <f t="shared" si="61"/>
        <v>62865.496340624712</v>
      </c>
      <c r="AE24" s="8">
        <f t="shared" si="62"/>
        <v>0.15618200165613177</v>
      </c>
      <c r="AF24" s="8">
        <f t="shared" si="63"/>
        <v>4.0773962278222262E-2</v>
      </c>
      <c r="AG24" s="8">
        <f t="shared" si="64"/>
        <v>0.11841624805865647</v>
      </c>
      <c r="AH24" s="8">
        <f t="shared" si="65"/>
        <v>0.68462778800698953</v>
      </c>
      <c r="AN24" s="5">
        <v>25</v>
      </c>
      <c r="AO24" s="8">
        <f t="shared" si="55"/>
        <v>0.85154776046397873</v>
      </c>
      <c r="AP24" s="8">
        <f t="shared" si="56"/>
        <v>0.44488778054862843</v>
      </c>
      <c r="AV24" s="5">
        <f t="shared" si="57"/>
        <v>48746</v>
      </c>
      <c r="AW24" s="5">
        <f t="shared" si="57"/>
        <v>267600</v>
      </c>
    </row>
    <row r="25" spans="1:49" x14ac:dyDescent="0.2">
      <c r="A25" s="5" t="s">
        <v>261</v>
      </c>
      <c r="B25" s="5">
        <v>25</v>
      </c>
      <c r="C25" s="7">
        <v>103100</v>
      </c>
      <c r="D25" s="5">
        <v>15861</v>
      </c>
      <c r="E25" s="5">
        <v>2092</v>
      </c>
      <c r="F25" s="5">
        <v>1104</v>
      </c>
      <c r="G25" s="5">
        <v>9829</v>
      </c>
      <c r="H25" s="5">
        <v>46321</v>
      </c>
      <c r="I25" s="7">
        <v>264800</v>
      </c>
      <c r="J25" s="7">
        <v>263400</v>
      </c>
      <c r="K25" s="5">
        <v>5535</v>
      </c>
      <c r="L25" s="5">
        <v>55586</v>
      </c>
      <c r="M25" s="7">
        <v>552700</v>
      </c>
      <c r="N25" s="7">
        <v>1515000</v>
      </c>
      <c r="O25" s="8">
        <f t="shared" si="43"/>
        <v>0.97454964790075926</v>
      </c>
      <c r="P25" s="8">
        <f t="shared" si="43"/>
        <v>1.1867461451386563</v>
      </c>
      <c r="Q25" s="8">
        <f t="shared" si="43"/>
        <v>3.2943134170796751</v>
      </c>
      <c r="R25" s="8">
        <f t="shared" si="43"/>
        <v>7.3740858350539069</v>
      </c>
      <c r="S25" s="8">
        <f t="shared" si="44"/>
        <v>0.48438457460032736</v>
      </c>
      <c r="T25" s="8">
        <f t="shared" si="44"/>
        <v>0.87468541872280559</v>
      </c>
      <c r="U25" s="8">
        <f t="shared" si="44"/>
        <v>18.709972228765771</v>
      </c>
      <c r="V25" s="8">
        <f t="shared" si="44"/>
        <v>209.84709587116589</v>
      </c>
      <c r="W25" s="8">
        <f t="shared" si="45"/>
        <v>0.12836191226908675</v>
      </c>
      <c r="X25" s="8">
        <f t="shared" si="46"/>
        <v>0.19021114479691284</v>
      </c>
      <c r="Y25" s="8">
        <f t="shared" si="46"/>
        <v>3.5885429128366377</v>
      </c>
      <c r="Z25" s="8">
        <f t="shared" si="46"/>
        <v>36.450621847516331</v>
      </c>
      <c r="AA25" s="8">
        <f t="shared" si="58"/>
        <v>13234.113154942843</v>
      </c>
      <c r="AB25" s="8">
        <f t="shared" si="59"/>
        <v>3016.9389676238347</v>
      </c>
      <c r="AC25" s="8">
        <f t="shared" si="60"/>
        <v>7507.2317736542464</v>
      </c>
      <c r="AD25" s="8">
        <f t="shared" si="61"/>
        <v>40241.486519658029</v>
      </c>
      <c r="AE25" s="8">
        <f t="shared" si="62"/>
        <v>0.20678375983141548</v>
      </c>
      <c r="AF25" s="8">
        <f t="shared" si="63"/>
        <v>4.7139840471604307E-2</v>
      </c>
      <c r="AG25" s="8">
        <f t="shared" si="64"/>
        <v>0.11730091725128486</v>
      </c>
      <c r="AH25" s="8">
        <f t="shared" si="65"/>
        <v>0.62877548244569526</v>
      </c>
      <c r="AN25" s="5">
        <v>25</v>
      </c>
      <c r="AO25" s="8">
        <f t="shared" si="55"/>
        <v>0.83332133990573165</v>
      </c>
      <c r="AP25" s="8">
        <f t="shared" si="56"/>
        <v>0.47910258729871541</v>
      </c>
      <c r="AV25" s="5">
        <f t="shared" si="57"/>
        <v>46321</v>
      </c>
      <c r="AW25" s="5">
        <f t="shared" si="57"/>
        <v>264800</v>
      </c>
    </row>
    <row r="26" spans="1:49" x14ac:dyDescent="0.2">
      <c r="A26" s="5" t="s">
        <v>262</v>
      </c>
      <c r="B26" s="5">
        <v>30</v>
      </c>
      <c r="C26" s="5">
        <v>26156</v>
      </c>
      <c r="D26" s="5">
        <v>3446</v>
      </c>
      <c r="E26" s="5">
        <v>564</v>
      </c>
      <c r="F26" s="5">
        <v>228</v>
      </c>
      <c r="G26" s="5">
        <v>12685</v>
      </c>
      <c r="H26" s="5">
        <v>62298</v>
      </c>
      <c r="I26" s="7">
        <v>260400</v>
      </c>
      <c r="J26" s="7">
        <v>251300</v>
      </c>
      <c r="K26" s="5">
        <v>8766</v>
      </c>
      <c r="L26" s="5">
        <v>69848</v>
      </c>
      <c r="M26" s="7">
        <v>466600</v>
      </c>
      <c r="N26" s="7">
        <v>1464000</v>
      </c>
      <c r="O26" s="8">
        <f t="shared" si="43"/>
        <v>0.98824781342343904</v>
      </c>
      <c r="P26" s="8">
        <f t="shared" si="43"/>
        <v>1.2472113994513951</v>
      </c>
      <c r="Q26" s="8">
        <f t="shared" si="43"/>
        <v>2.9292833794743736</v>
      </c>
      <c r="R26" s="8">
        <f t="shared" si="43"/>
        <v>7.1578659521518118</v>
      </c>
      <c r="S26" s="8">
        <f t="shared" si="44"/>
        <v>0.50509838977101185</v>
      </c>
      <c r="T26" s="8">
        <f t="shared" si="44"/>
        <v>1.0153098805724512</v>
      </c>
      <c r="U26" s="8">
        <f t="shared" si="44"/>
        <v>13.154143037418116</v>
      </c>
      <c r="V26" s="8">
        <f t="shared" si="44"/>
        <v>191.92390900372158</v>
      </c>
      <c r="W26" s="8">
        <f t="shared" si="45"/>
        <v>0.13385107328931814</v>
      </c>
      <c r="X26" s="8">
        <f t="shared" si="46"/>
        <v>0.2194462023227037</v>
      </c>
      <c r="Y26" s="8">
        <f t="shared" si="46"/>
        <v>2.5596524166248109</v>
      </c>
      <c r="Z26" s="8">
        <f t="shared" si="46"/>
        <v>33.459603346461172</v>
      </c>
      <c r="AA26" s="8">
        <f t="shared" si="58"/>
        <v>3501.0086729554055</v>
      </c>
      <c r="AB26" s="8">
        <f t="shared" si="59"/>
        <v>756.21161320403701</v>
      </c>
      <c r="AC26" s="8">
        <f t="shared" si="60"/>
        <v>1443.6439629763934</v>
      </c>
      <c r="AD26" s="8">
        <f t="shared" si="61"/>
        <v>7628.7895629931472</v>
      </c>
      <c r="AE26" s="8">
        <f t="shared" si="62"/>
        <v>0.26264813192445785</v>
      </c>
      <c r="AF26" s="8">
        <f t="shared" si="63"/>
        <v>5.6731526854504E-2</v>
      </c>
      <c r="AG26" s="8">
        <f t="shared" si="64"/>
        <v>0.10830318501316109</v>
      </c>
      <c r="AH26" s="8">
        <f t="shared" si="65"/>
        <v>0.57231715620787704</v>
      </c>
      <c r="AN26" s="5">
        <v>30</v>
      </c>
      <c r="AO26" s="8">
        <f t="shared" si="55"/>
        <v>0.89190814339709079</v>
      </c>
      <c r="AP26" s="8">
        <f t="shared" si="56"/>
        <v>0.55807972567509645</v>
      </c>
      <c r="AV26" s="5">
        <f t="shared" si="57"/>
        <v>62298</v>
      </c>
      <c r="AW26" s="5">
        <f t="shared" si="57"/>
        <v>260400</v>
      </c>
    </row>
    <row r="27" spans="1:49" x14ac:dyDescent="0.2">
      <c r="A27" s="5" t="s">
        <v>263</v>
      </c>
      <c r="B27" s="5">
        <v>30</v>
      </c>
      <c r="C27" s="5">
        <v>64482</v>
      </c>
      <c r="D27" s="5">
        <v>9220</v>
      </c>
      <c r="E27" s="5">
        <v>1610</v>
      </c>
      <c r="F27" s="5">
        <v>746</v>
      </c>
      <c r="G27" s="5">
        <v>13749</v>
      </c>
      <c r="H27" s="5">
        <v>63485</v>
      </c>
      <c r="I27" s="7">
        <v>261300</v>
      </c>
      <c r="J27" s="7">
        <v>247600</v>
      </c>
      <c r="K27" s="5">
        <v>8626</v>
      </c>
      <c r="L27" s="5">
        <v>68847</v>
      </c>
      <c r="M27" s="7">
        <v>458500</v>
      </c>
      <c r="N27" s="7">
        <v>1322000</v>
      </c>
      <c r="O27" s="8">
        <f t="shared" si="43"/>
        <v>0.98765426864684513</v>
      </c>
      <c r="P27" s="8">
        <f t="shared" si="43"/>
        <v>1.2429675542987479</v>
      </c>
      <c r="Q27" s="8">
        <f t="shared" si="43"/>
        <v>2.8949425745428647</v>
      </c>
      <c r="R27" s="8">
        <f t="shared" si="43"/>
        <v>6.5558419644636263</v>
      </c>
      <c r="S27" s="8">
        <f t="shared" si="44"/>
        <v>0.50418884517211204</v>
      </c>
      <c r="T27" s="8">
        <f t="shared" si="44"/>
        <v>1.004980822306426</v>
      </c>
      <c r="U27" s="8">
        <f t="shared" si="44"/>
        <v>12.696916325057103</v>
      </c>
      <c r="V27" s="8">
        <f t="shared" si="44"/>
        <v>147.45646741083502</v>
      </c>
      <c r="W27" s="8">
        <f t="shared" si="45"/>
        <v>0.13361004397060969</v>
      </c>
      <c r="X27" s="8">
        <f t="shared" si="46"/>
        <v>0.21730479306168998</v>
      </c>
      <c r="Y27" s="8">
        <f t="shared" si="46"/>
        <v>2.4742673765781245</v>
      </c>
      <c r="Z27" s="8">
        <f t="shared" si="46"/>
        <v>25.986548956993534</v>
      </c>
      <c r="AA27" s="8">
        <f t="shared" si="58"/>
        <v>8615.4428553128546</v>
      </c>
      <c r="AB27" s="8">
        <f t="shared" si="59"/>
        <v>2003.5501920287816</v>
      </c>
      <c r="AC27" s="8">
        <f t="shared" si="60"/>
        <v>3983.5704762907803</v>
      </c>
      <c r="AD27" s="8">
        <f t="shared" si="61"/>
        <v>19385.965521917176</v>
      </c>
      <c r="AE27" s="8">
        <f t="shared" si="62"/>
        <v>0.25348089773955512</v>
      </c>
      <c r="AF27" s="8">
        <f t="shared" si="63"/>
        <v>5.894783470457729E-2</v>
      </c>
      <c r="AG27" s="8">
        <f t="shared" si="64"/>
        <v>0.11720337973297444</v>
      </c>
      <c r="AH27" s="8">
        <f t="shared" si="65"/>
        <v>0.57036788782289316</v>
      </c>
      <c r="AN27" s="5">
        <v>30</v>
      </c>
      <c r="AO27" s="8">
        <f t="shared" si="55"/>
        <v>0.92211715833660146</v>
      </c>
      <c r="AP27" s="8">
        <f t="shared" si="56"/>
        <v>0.56990185387131953</v>
      </c>
      <c r="AV27" s="5">
        <f t="shared" si="57"/>
        <v>63485</v>
      </c>
      <c r="AW27" s="5">
        <f t="shared" si="57"/>
        <v>261300</v>
      </c>
    </row>
    <row r="28" spans="1:49" x14ac:dyDescent="0.2">
      <c r="A28" s="5" t="s">
        <v>264</v>
      </c>
      <c r="B28" s="5">
        <v>30</v>
      </c>
      <c r="C28" s="5">
        <v>61408</v>
      </c>
      <c r="D28" s="5">
        <v>9662</v>
      </c>
      <c r="E28" s="5">
        <v>1755</v>
      </c>
      <c r="F28" s="5">
        <v>802</v>
      </c>
      <c r="G28" s="5">
        <v>13262</v>
      </c>
      <c r="H28" s="5">
        <v>62939</v>
      </c>
      <c r="I28" s="7">
        <v>261600</v>
      </c>
      <c r="J28" s="7">
        <v>259500</v>
      </c>
      <c r="K28" s="5">
        <v>5769</v>
      </c>
      <c r="L28" s="5">
        <v>68732</v>
      </c>
      <c r="M28" s="7">
        <v>454300</v>
      </c>
      <c r="N28" s="7">
        <v>1286000</v>
      </c>
      <c r="O28" s="8">
        <f t="shared" si="43"/>
        <v>0.97554171559878067</v>
      </c>
      <c r="P28" s="8">
        <f t="shared" si="43"/>
        <v>1.2424799996608316</v>
      </c>
      <c r="Q28" s="8">
        <f t="shared" si="43"/>
        <v>2.877136231245045</v>
      </c>
      <c r="R28" s="8">
        <f t="shared" si="43"/>
        <v>6.4032161647680299</v>
      </c>
      <c r="S28" s="8">
        <f t="shared" si="44"/>
        <v>0.48586535591465724</v>
      </c>
      <c r="T28" s="8">
        <f t="shared" si="44"/>
        <v>1.0037986734524107</v>
      </c>
      <c r="U28" s="8">
        <f t="shared" si="44"/>
        <v>12.464064157734907</v>
      </c>
      <c r="V28" s="8">
        <f t="shared" si="44"/>
        <v>137.39561983537027</v>
      </c>
      <c r="W28" s="8">
        <f t="shared" si="45"/>
        <v>0.12875431931738415</v>
      </c>
      <c r="X28" s="8">
        <f t="shared" si="46"/>
        <v>0.21705965385253773</v>
      </c>
      <c r="Y28" s="8">
        <f t="shared" si="46"/>
        <v>2.430735082316696</v>
      </c>
      <c r="Z28" s="8">
        <f t="shared" si="46"/>
        <v>24.283763759815695</v>
      </c>
      <c r="AA28" s="8">
        <f t="shared" si="58"/>
        <v>7906.5452406419263</v>
      </c>
      <c r="AB28" s="8">
        <f t="shared" si="59"/>
        <v>2097.2303755232197</v>
      </c>
      <c r="AC28" s="8">
        <f t="shared" si="60"/>
        <v>4265.9400694658016</v>
      </c>
      <c r="AD28" s="8">
        <f t="shared" si="61"/>
        <v>19475.578535372188</v>
      </c>
      <c r="AE28" s="8">
        <f t="shared" si="62"/>
        <v>0.2343006757878815</v>
      </c>
      <c r="AF28" s="8">
        <f t="shared" si="63"/>
        <v>6.2148824715770289E-2</v>
      </c>
      <c r="AG28" s="8">
        <f t="shared" si="64"/>
        <v>0.12641585050429557</v>
      </c>
      <c r="AH28" s="8">
        <f t="shared" si="65"/>
        <v>0.57713464899205269</v>
      </c>
      <c r="AN28" s="5">
        <v>30</v>
      </c>
      <c r="AO28" s="8">
        <f t="shared" si="55"/>
        <v>0.91571611476459291</v>
      </c>
      <c r="AP28" s="8">
        <f t="shared" si="56"/>
        <v>0.57583094871230467</v>
      </c>
      <c r="AV28" s="5">
        <f t="shared" si="57"/>
        <v>62939</v>
      </c>
      <c r="AW28" s="5">
        <f t="shared" si="57"/>
        <v>261600</v>
      </c>
    </row>
    <row r="29" spans="1:49" x14ac:dyDescent="0.2">
      <c r="A29" s="5" t="s">
        <v>265</v>
      </c>
      <c r="B29" s="5">
        <v>40</v>
      </c>
      <c r="C29" s="5">
        <v>10709</v>
      </c>
      <c r="D29" s="5">
        <v>1233</v>
      </c>
      <c r="E29" s="5">
        <v>301</v>
      </c>
      <c r="F29" s="5">
        <v>109</v>
      </c>
      <c r="G29" s="5">
        <v>16306</v>
      </c>
      <c r="H29" s="5">
        <v>70869</v>
      </c>
      <c r="I29" s="7">
        <v>256100</v>
      </c>
      <c r="J29" s="7">
        <v>277800</v>
      </c>
      <c r="K29" s="5">
        <v>10336</v>
      </c>
      <c r="L29" s="5">
        <v>78535</v>
      </c>
      <c r="M29" s="7">
        <v>404800</v>
      </c>
      <c r="N29" s="7">
        <v>1382000</v>
      </c>
      <c r="O29" s="8">
        <f t="shared" si="43"/>
        <v>0.99490399413238595</v>
      </c>
      <c r="P29" s="8">
        <f t="shared" si="43"/>
        <v>1.2840408528390519</v>
      </c>
      <c r="Q29" s="8">
        <f t="shared" si="43"/>
        <v>2.6672757566635998</v>
      </c>
      <c r="R29" s="8">
        <f t="shared" si="43"/>
        <v>6.8102182972896204</v>
      </c>
      <c r="S29" s="8">
        <f t="shared" si="44"/>
        <v>0.51537330662647507</v>
      </c>
      <c r="T29" s="8">
        <f t="shared" si="44"/>
        <v>1.1079366322012529</v>
      </c>
      <c r="U29" s="8">
        <f t="shared" si="44"/>
        <v>9.9307523220487131</v>
      </c>
      <c r="V29" s="8">
        <f t="shared" si="44"/>
        <v>165.29567762928963</v>
      </c>
      <c r="W29" s="8">
        <f t="shared" si="45"/>
        <v>0.13657392625601589</v>
      </c>
      <c r="X29" s="8">
        <f t="shared" si="46"/>
        <v>0.2386106424644267</v>
      </c>
      <c r="Y29" s="8">
        <f t="shared" si="46"/>
        <v>1.9548159878430407</v>
      </c>
      <c r="Z29" s="8">
        <f t="shared" si="46"/>
        <v>28.994309857132528</v>
      </c>
      <c r="AA29" s="8">
        <f t="shared" si="58"/>
        <v>1462.5701762756742</v>
      </c>
      <c r="AB29" s="8">
        <f t="shared" si="59"/>
        <v>294.20692215863812</v>
      </c>
      <c r="AC29" s="8">
        <f t="shared" si="60"/>
        <v>588.3996123407552</v>
      </c>
      <c r="AD29" s="8">
        <f t="shared" si="61"/>
        <v>3160.3797744274457</v>
      </c>
      <c r="AE29" s="8">
        <f t="shared" si="62"/>
        <v>0.26565346849254529</v>
      </c>
      <c r="AF29" s="8">
        <f t="shared" si="63"/>
        <v>5.3438180672451353E-2</v>
      </c>
      <c r="AG29" s="8">
        <f t="shared" si="64"/>
        <v>0.10687377632437675</v>
      </c>
      <c r="AH29" s="8">
        <f t="shared" si="65"/>
        <v>0.57403457451062667</v>
      </c>
      <c r="AN29" s="5">
        <v>40</v>
      </c>
      <c r="AO29" s="8">
        <f t="shared" si="55"/>
        <v>0.90238747055452984</v>
      </c>
      <c r="AP29" s="8">
        <f t="shared" si="56"/>
        <v>0.63265810276679846</v>
      </c>
      <c r="AV29" s="5">
        <f t="shared" si="57"/>
        <v>70869</v>
      </c>
      <c r="AW29" s="5">
        <f t="shared" si="57"/>
        <v>256100</v>
      </c>
    </row>
    <row r="30" spans="1:49" x14ac:dyDescent="0.2">
      <c r="A30" s="5" t="s">
        <v>266</v>
      </c>
      <c r="B30" s="5">
        <v>40</v>
      </c>
      <c r="C30" s="5">
        <v>29104</v>
      </c>
      <c r="D30" s="5">
        <v>3527</v>
      </c>
      <c r="E30" s="5">
        <v>960</v>
      </c>
      <c r="F30" s="5">
        <v>303</v>
      </c>
      <c r="G30" s="5">
        <v>17104</v>
      </c>
      <c r="H30" s="5">
        <v>74354</v>
      </c>
      <c r="I30" s="7">
        <v>254200</v>
      </c>
      <c r="J30" s="7">
        <v>268600</v>
      </c>
      <c r="K30" s="5">
        <v>7827</v>
      </c>
      <c r="L30" s="5">
        <v>87368</v>
      </c>
      <c r="M30" s="7">
        <v>368600</v>
      </c>
      <c r="N30" s="7">
        <v>1269000</v>
      </c>
      <c r="O30" s="8">
        <f t="shared" ref="O30:O31" si="66">(224333+K30)/235871</f>
        <v>0.98426682381471231</v>
      </c>
      <c r="P30" s="8">
        <f t="shared" ref="P30:P31" si="67">(224333+L30)/235871</f>
        <v>1.3214892886365852</v>
      </c>
      <c r="Q30" s="8">
        <f t="shared" ref="Q30:Q31" si="68">(224333+M30)/235871</f>
        <v>2.5138020358585837</v>
      </c>
      <c r="R30" s="8">
        <f t="shared" ref="R30:R31" si="69">(224333+N30)/235871</f>
        <v>6.3311428704673318</v>
      </c>
      <c r="S30" s="8">
        <f t="shared" ref="S30:S31" si="70">4/3*3.14*((O30/2)^3)</f>
        <v>0.49901883516006768</v>
      </c>
      <c r="T30" s="8">
        <f t="shared" ref="T30:T31" si="71">4/3*3.14*((P30/2)^3)</f>
        <v>1.2077285686087724</v>
      </c>
      <c r="U30" s="8">
        <f t="shared" ref="U30:U31" si="72">4/3*3.14*((Q30/2)^3)</f>
        <v>8.3132648837229866</v>
      </c>
      <c r="V30" s="8">
        <f t="shared" ref="V30:V31" si="73">4/3*3.14*((R30/2)^3)</f>
        <v>132.80815390453489</v>
      </c>
      <c r="W30" s="8">
        <f t="shared" si="45"/>
        <v>0.13223999131741795</v>
      </c>
      <c r="X30" s="8">
        <f t="shared" ref="X30:X31" si="74">(10^(-0.665+LOG(T30, 10)*0.959))</f>
        <v>0.25918424384363231</v>
      </c>
      <c r="Y30" s="8">
        <f t="shared" ref="Y30:Y31" si="75">(10^(-0.665+LOG(U30, 10)*0.959))</f>
        <v>1.6483938372717908</v>
      </c>
      <c r="Z30" s="8">
        <f t="shared" ref="Z30:Z31" si="76">(10^(-0.665+LOG(V30, 10)*0.959))</f>
        <v>23.505664088793015</v>
      </c>
      <c r="AA30" s="8">
        <f t="shared" si="58"/>
        <v>3848.712707302132</v>
      </c>
      <c r="AB30" s="8">
        <f t="shared" si="59"/>
        <v>914.14282803649121</v>
      </c>
      <c r="AC30" s="8">
        <f t="shared" si="60"/>
        <v>1582.4580837809192</v>
      </c>
      <c r="AD30" s="8">
        <f t="shared" si="61"/>
        <v>7122.2162189042838</v>
      </c>
      <c r="AE30" s="8">
        <f t="shared" si="62"/>
        <v>0.28577718064049057</v>
      </c>
      <c r="AF30" s="8">
        <f t="shared" si="63"/>
        <v>6.7877542432133856E-2</v>
      </c>
      <c r="AG30" s="8">
        <f t="shared" si="64"/>
        <v>0.11750173215232489</v>
      </c>
      <c r="AH30" s="8">
        <f t="shared" si="65"/>
        <v>0.52884354477505058</v>
      </c>
      <c r="AN30" s="5">
        <v>40</v>
      </c>
      <c r="AO30" s="8">
        <f t="shared" si="55"/>
        <v>0.85104386045233948</v>
      </c>
      <c r="AP30" s="8">
        <f t="shared" si="56"/>
        <v>0.68963646228974496</v>
      </c>
      <c r="AV30" s="5">
        <f t="shared" ref="AV30:AW31" si="77">H30</f>
        <v>74354</v>
      </c>
      <c r="AW30" s="5">
        <f t="shared" si="77"/>
        <v>254200</v>
      </c>
    </row>
    <row r="31" spans="1:49" x14ac:dyDescent="0.2">
      <c r="A31" s="5" t="s">
        <v>267</v>
      </c>
      <c r="B31" s="5">
        <v>40</v>
      </c>
      <c r="C31" s="5">
        <v>27226</v>
      </c>
      <c r="D31" s="5">
        <v>3129</v>
      </c>
      <c r="E31" s="5">
        <v>932</v>
      </c>
      <c r="F31" s="5">
        <v>317</v>
      </c>
      <c r="G31" s="5">
        <v>17114</v>
      </c>
      <c r="H31" s="5">
        <v>73386</v>
      </c>
      <c r="I31" s="7">
        <v>258200</v>
      </c>
      <c r="J31" s="7">
        <v>276400</v>
      </c>
      <c r="K31" s="5">
        <v>8889</v>
      </c>
      <c r="L31" s="5">
        <v>82787</v>
      </c>
      <c r="M31" s="7">
        <v>379400</v>
      </c>
      <c r="N31" s="7">
        <v>1202000</v>
      </c>
      <c r="O31" s="8">
        <f t="shared" si="66"/>
        <v>0.98876928490573235</v>
      </c>
      <c r="P31" s="8">
        <f t="shared" si="67"/>
        <v>1.3020676556253206</v>
      </c>
      <c r="Q31" s="8">
        <f t="shared" si="68"/>
        <v>2.5595897757672628</v>
      </c>
      <c r="R31" s="8">
        <f t="shared" si="69"/>
        <v>6.0470892988116383</v>
      </c>
      <c r="S31" s="8">
        <f t="shared" si="70"/>
        <v>0.50589839179362028</v>
      </c>
      <c r="T31" s="8">
        <f t="shared" si="71"/>
        <v>1.1552581743128361</v>
      </c>
      <c r="U31" s="8">
        <f t="shared" si="72"/>
        <v>8.7758561901792245</v>
      </c>
      <c r="V31" s="8">
        <f t="shared" si="73"/>
        <v>115.72242974058855</v>
      </c>
      <c r="W31" s="8">
        <f t="shared" si="45"/>
        <v>0.13406307382530938</v>
      </c>
      <c r="X31" s="8">
        <f t="shared" si="74"/>
        <v>0.24837576005345183</v>
      </c>
      <c r="Y31" s="8">
        <f t="shared" si="75"/>
        <v>1.7362594737247445</v>
      </c>
      <c r="Z31" s="8">
        <f t="shared" si="76"/>
        <v>20.597638148291139</v>
      </c>
      <c r="AA31" s="8">
        <f t="shared" si="58"/>
        <v>3650.001247967873</v>
      </c>
      <c r="AB31" s="8">
        <f t="shared" si="59"/>
        <v>777.16775320725071</v>
      </c>
      <c r="AC31" s="8">
        <f t="shared" si="60"/>
        <v>1618.1938295114619</v>
      </c>
      <c r="AD31" s="8">
        <f t="shared" si="61"/>
        <v>6529.451293008291</v>
      </c>
      <c r="AE31" s="8">
        <f t="shared" si="62"/>
        <v>0.29026283904190131</v>
      </c>
      <c r="AF31" s="8">
        <f t="shared" si="63"/>
        <v>6.1803518172314297E-2</v>
      </c>
      <c r="AG31" s="8">
        <f t="shared" si="64"/>
        <v>0.12868530807642553</v>
      </c>
      <c r="AH31" s="8">
        <f t="shared" si="65"/>
        <v>0.51924833470935894</v>
      </c>
      <c r="AN31" s="5">
        <v>40</v>
      </c>
      <c r="AO31" s="8">
        <f t="shared" si="55"/>
        <v>0.88644352374165025</v>
      </c>
      <c r="AP31" s="8">
        <f t="shared" si="56"/>
        <v>0.68054823405376907</v>
      </c>
      <c r="AV31" s="5">
        <f t="shared" si="77"/>
        <v>73386</v>
      </c>
      <c r="AW31" s="5">
        <f t="shared" si="77"/>
        <v>258200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242</v>
      </c>
      <c r="B38" s="5">
        <v>5</v>
      </c>
      <c r="C38" s="31">
        <f>1-0.27-0.025</f>
        <v>0.70499999999999996</v>
      </c>
      <c r="D38" s="12">
        <f>H38/$C38</f>
        <v>103331.91489361702</v>
      </c>
      <c r="E38" s="12">
        <f t="shared" ref="E38:G45" si="78">I38/$C38</f>
        <v>30075.177304964542</v>
      </c>
      <c r="F38" s="12">
        <f t="shared" si="78"/>
        <v>2987.2340425531916</v>
      </c>
      <c r="G38" s="12">
        <f>K38/$C38</f>
        <v>3626.9503546099295</v>
      </c>
      <c r="H38" s="5">
        <v>72849</v>
      </c>
      <c r="I38" s="5">
        <v>21203</v>
      </c>
      <c r="J38" s="5">
        <v>2106</v>
      </c>
      <c r="K38" s="5">
        <v>2557</v>
      </c>
      <c r="L38" s="26">
        <f t="shared" ref="L38:O45" si="79">W4*D38*1000/1000000</f>
        <v>14.742951085896937</v>
      </c>
      <c r="M38" s="26">
        <f t="shared" si="79"/>
        <v>6.8101890148758795</v>
      </c>
      <c r="N38" s="26">
        <f t="shared" si="79"/>
        <v>38.044509259841092</v>
      </c>
      <c r="O38" s="26">
        <f t="shared" si="79"/>
        <v>292.90671243802149</v>
      </c>
      <c r="P38" s="26">
        <f>SUM(L38:O38)</f>
        <v>352.50436179863539</v>
      </c>
      <c r="Q38" s="26">
        <f>SUM(L38:N38)</f>
        <v>59.597649360613907</v>
      </c>
      <c r="R38" s="26">
        <f>(LN(L48/(L38*0.25)))/$B$1</f>
        <v>0.40296707479587701</v>
      </c>
      <c r="S38" s="26">
        <f>(R38-R39)/(1-0.25)</f>
        <v>0.27831262422179553</v>
      </c>
      <c r="T38" s="26">
        <f>S38+R40</f>
        <v>0.63344458763493339</v>
      </c>
      <c r="V38" s="26">
        <f>(LN(L51/(L39*0.25)))/$B$1</f>
        <v>0.44715441265253136</v>
      </c>
      <c r="W38" s="26">
        <f>(V38-V39)/(1-0.25)</f>
        <v>0.40329845973128808</v>
      </c>
      <c r="X38" s="26">
        <f>W38+V40</f>
        <v>0.65043181889158597</v>
      </c>
      <c r="Z38" s="26">
        <f>(LN(L54/(L40*0.25)))/$B$1</f>
        <v>0.30036606540828009</v>
      </c>
      <c r="AA38" s="26">
        <f>(Z38-Z39)/(1-0.25)</f>
        <v>0.44594180037723369</v>
      </c>
      <c r="AB38" s="26">
        <f>AA38+Z40</f>
        <v>0.54603028960106637</v>
      </c>
    </row>
    <row r="39" spans="1:28" x14ac:dyDescent="0.2">
      <c r="A39" s="5" t="s">
        <v>243</v>
      </c>
      <c r="B39" s="5">
        <v>12</v>
      </c>
      <c r="C39" s="31">
        <f t="shared" ref="C39:C45" si="80">1-0.27-0.025</f>
        <v>0.70499999999999996</v>
      </c>
      <c r="D39" s="12">
        <f t="shared" ref="D39:D44" si="81">H39/$C39</f>
        <v>104397.16312056738</v>
      </c>
      <c r="E39" s="12">
        <f t="shared" si="78"/>
        <v>30045.390070921989</v>
      </c>
      <c r="F39" s="12">
        <f t="shared" si="78"/>
        <v>2836.8794326241136</v>
      </c>
      <c r="G39" s="12">
        <f t="shared" si="78"/>
        <v>3269.5035460992908</v>
      </c>
      <c r="H39" s="5">
        <v>73600</v>
      </c>
      <c r="I39" s="5">
        <v>21182</v>
      </c>
      <c r="J39" s="5">
        <v>2000</v>
      </c>
      <c r="K39" s="5">
        <v>2305</v>
      </c>
      <c r="L39" s="26">
        <f t="shared" si="79"/>
        <v>14.375636613334116</v>
      </c>
      <c r="M39" s="26">
        <f t="shared" si="79"/>
        <v>6.8201082918777995</v>
      </c>
      <c r="N39" s="26">
        <f t="shared" si="79"/>
        <v>36.727132192822005</v>
      </c>
      <c r="O39" s="26">
        <f t="shared" si="79"/>
        <v>287.89678381318407</v>
      </c>
      <c r="P39" s="26">
        <f t="shared" ref="P39:P44" si="82">SUM(L39:O39)</f>
        <v>345.81966091121797</v>
      </c>
      <c r="Q39" s="26">
        <f t="shared" ref="Q39:Q45" si="83">SUM(L39:N39)</f>
        <v>57.922877098033922</v>
      </c>
      <c r="R39" s="26">
        <f>(LN(L49/L38))/$B$1</f>
        <v>0.19423260662953037</v>
      </c>
      <c r="V39" s="26">
        <f>(LN(L52/L39))/$B$1</f>
        <v>0.14468056785406527</v>
      </c>
      <c r="Z39" s="26">
        <f>(LN(L55/L40))/$B$1</f>
        <v>-3.4090284874645174E-2</v>
      </c>
    </row>
    <row r="40" spans="1:28" x14ac:dyDescent="0.2">
      <c r="A40" s="5" t="s">
        <v>244</v>
      </c>
      <c r="B40" s="5">
        <v>20</v>
      </c>
      <c r="C40" s="31">
        <f t="shared" si="80"/>
        <v>0.70499999999999996</v>
      </c>
      <c r="D40" s="12">
        <f t="shared" si="81"/>
        <v>128960.28368794327</v>
      </c>
      <c r="E40" s="12">
        <f t="shared" si="78"/>
        <v>30415.602836879436</v>
      </c>
      <c r="F40" s="12">
        <f t="shared" si="78"/>
        <v>2255.3191489361702</v>
      </c>
      <c r="G40" s="12">
        <f t="shared" si="78"/>
        <v>2307.8014184397166</v>
      </c>
      <c r="H40" s="5">
        <v>90917</v>
      </c>
      <c r="I40" s="5">
        <v>21443</v>
      </c>
      <c r="J40" s="5">
        <v>1590</v>
      </c>
      <c r="K40" s="5">
        <v>1627</v>
      </c>
      <c r="L40" s="26">
        <f t="shared" si="79"/>
        <v>18.050981764187302</v>
      </c>
      <c r="M40" s="26">
        <f t="shared" si="79"/>
        <v>6.5686773685436286</v>
      </c>
      <c r="N40" s="26">
        <f t="shared" si="79"/>
        <v>24.990678344622648</v>
      </c>
      <c r="O40" s="26">
        <f t="shared" si="79"/>
        <v>227.87869481126717</v>
      </c>
      <c r="P40" s="26">
        <f t="shared" si="82"/>
        <v>277.48903228862076</v>
      </c>
      <c r="Q40" s="26">
        <f t="shared" si="83"/>
        <v>49.610337477353582</v>
      </c>
      <c r="R40" s="26">
        <f>LN(L50/L38)/$B$1</f>
        <v>0.35513196341313785</v>
      </c>
      <c r="V40" s="26">
        <f>LN(L53/L39)/$B$1</f>
        <v>0.24713335916029788</v>
      </c>
      <c r="Z40" s="26">
        <f>LN(L56/L40)/$B$1</f>
        <v>0.10008848922383269</v>
      </c>
    </row>
    <row r="41" spans="1:28" x14ac:dyDescent="0.2">
      <c r="A41" s="5" t="s">
        <v>245</v>
      </c>
      <c r="B41" s="5">
        <v>25</v>
      </c>
      <c r="C41" s="31">
        <f t="shared" si="80"/>
        <v>0.70499999999999996</v>
      </c>
      <c r="D41" s="12">
        <f t="shared" si="81"/>
        <v>166950.35460992908</v>
      </c>
      <c r="E41" s="12">
        <f t="shared" si="78"/>
        <v>25975.886524822698</v>
      </c>
      <c r="F41" s="12">
        <f t="shared" si="78"/>
        <v>2252.4822695035464</v>
      </c>
      <c r="G41" s="12">
        <f t="shared" si="78"/>
        <v>1429.7872340425533</v>
      </c>
      <c r="H41" s="7">
        <v>117700</v>
      </c>
      <c r="I41" s="5">
        <v>18313</v>
      </c>
      <c r="J41" s="5">
        <v>1588</v>
      </c>
      <c r="K41" s="5">
        <v>1008</v>
      </c>
      <c r="L41" s="26">
        <f t="shared" si="79"/>
        <v>21.748794645041663</v>
      </c>
      <c r="M41" s="26">
        <f t="shared" si="79"/>
        <v>4.9136313974672445</v>
      </c>
      <c r="N41" s="26">
        <f t="shared" si="79"/>
        <v>11.731139993742866</v>
      </c>
      <c r="O41" s="26">
        <f t="shared" si="79"/>
        <v>96.586424576867898</v>
      </c>
      <c r="P41" s="26">
        <f t="shared" si="82"/>
        <v>134.97999061311967</v>
      </c>
      <c r="Q41" s="26">
        <f t="shared" si="83"/>
        <v>38.393566036251777</v>
      </c>
      <c r="R41" s="5" t="s">
        <v>535</v>
      </c>
      <c r="V41" s="5" t="s">
        <v>535</v>
      </c>
      <c r="Z41" s="5" t="s">
        <v>535</v>
      </c>
    </row>
    <row r="42" spans="1:28" x14ac:dyDescent="0.2">
      <c r="A42" s="5" t="s">
        <v>246</v>
      </c>
      <c r="B42" s="5">
        <v>30</v>
      </c>
      <c r="C42" s="31">
        <f t="shared" si="80"/>
        <v>0.70499999999999996</v>
      </c>
      <c r="D42" s="12">
        <f t="shared" si="81"/>
        <v>142978.72340425532</v>
      </c>
      <c r="E42" s="12">
        <f t="shared" si="78"/>
        <v>18686.524822695035</v>
      </c>
      <c r="F42" s="12">
        <f t="shared" si="78"/>
        <v>2249.6453900709221</v>
      </c>
      <c r="G42" s="12">
        <f t="shared" si="78"/>
        <v>1065.2482269503546</v>
      </c>
      <c r="H42" s="7">
        <v>100800</v>
      </c>
      <c r="I42" s="5">
        <v>13174</v>
      </c>
      <c r="J42" s="5">
        <v>1586</v>
      </c>
      <c r="K42" s="5">
        <v>751</v>
      </c>
      <c r="L42" s="26">
        <f t="shared" si="79"/>
        <v>18.393771672918785</v>
      </c>
      <c r="M42" s="26">
        <f t="shared" si="79"/>
        <v>3.6150338458945797</v>
      </c>
      <c r="N42" s="26">
        <f t="shared" si="79"/>
        <v>5.9399772628213601</v>
      </c>
      <c r="O42" s="26">
        <f t="shared" si="79"/>
        <v>52.713883004721737</v>
      </c>
      <c r="P42" s="26">
        <f t="shared" si="82"/>
        <v>80.662665786356456</v>
      </c>
      <c r="Q42" s="26">
        <f t="shared" si="83"/>
        <v>27.948782781634726</v>
      </c>
      <c r="R42" s="6" t="s">
        <v>539</v>
      </c>
      <c r="S42" s="6" t="s">
        <v>540</v>
      </c>
      <c r="T42" s="6" t="s">
        <v>541</v>
      </c>
      <c r="V42" s="6" t="s">
        <v>539</v>
      </c>
      <c r="W42" s="6" t="s">
        <v>540</v>
      </c>
      <c r="X42" s="6" t="s">
        <v>541</v>
      </c>
      <c r="Z42" s="6" t="s">
        <v>539</v>
      </c>
      <c r="AA42" s="6" t="s">
        <v>540</v>
      </c>
      <c r="AB42" s="6" t="s">
        <v>541</v>
      </c>
    </row>
    <row r="43" spans="1:28" x14ac:dyDescent="0.2">
      <c r="A43" s="5" t="s">
        <v>247</v>
      </c>
      <c r="B43" s="5">
        <v>40</v>
      </c>
      <c r="C43" s="31">
        <f t="shared" si="80"/>
        <v>0.70499999999999996</v>
      </c>
      <c r="D43" s="12">
        <f t="shared" si="81"/>
        <v>57536.170212765959</v>
      </c>
      <c r="E43" s="12">
        <f t="shared" si="78"/>
        <v>5469.5035460992913</v>
      </c>
      <c r="F43" s="12">
        <f t="shared" si="78"/>
        <v>1377.3049645390072</v>
      </c>
      <c r="G43" s="12">
        <f t="shared" si="78"/>
        <v>523.404255319149</v>
      </c>
      <c r="H43" s="5">
        <v>40563</v>
      </c>
      <c r="I43" s="5">
        <v>3856</v>
      </c>
      <c r="J43" s="5">
        <v>971</v>
      </c>
      <c r="K43" s="5">
        <v>369</v>
      </c>
      <c r="L43" s="26">
        <f t="shared" si="79"/>
        <v>7.7162543453011354</v>
      </c>
      <c r="M43" s="26">
        <f t="shared" si="79"/>
        <v>1.2976201935078926</v>
      </c>
      <c r="N43" s="26">
        <f t="shared" si="79"/>
        <v>2.2659373905614038</v>
      </c>
      <c r="O43" s="26">
        <f t="shared" si="79"/>
        <v>30.112417443645935</v>
      </c>
      <c r="P43" s="26">
        <f t="shared" si="82"/>
        <v>41.392229373016363</v>
      </c>
      <c r="Q43" s="26">
        <f t="shared" si="83"/>
        <v>11.279811929370432</v>
      </c>
      <c r="R43" s="26">
        <f>(LN(M48/(M38*0.25)))/$B$1</f>
        <v>0.67215715960548428</v>
      </c>
      <c r="S43" s="26">
        <f>(R43-R44)/(1-0.25)</f>
        <v>0.26092503427938207</v>
      </c>
      <c r="T43" s="26">
        <f>S43+R45</f>
        <v>0.62459594159053067</v>
      </c>
      <c r="V43" s="26">
        <f>(LN(M51/(M39*0.25)))/$B$1</f>
        <v>0.52026775764875177</v>
      </c>
      <c r="W43" s="26">
        <f>(V43-V44)/(1-0.25)</f>
        <v>0.38370724678449419</v>
      </c>
      <c r="X43" s="26">
        <f>W43+V45</f>
        <v>0.51140348114351586</v>
      </c>
      <c r="Z43" s="26">
        <f>(LN(M54/(M40*0.25)))/$B$1</f>
        <v>0.27451370104104056</v>
      </c>
      <c r="AA43" s="26">
        <f>(Z43-Z44)/(1-0.25)</f>
        <v>0.35807106464695276</v>
      </c>
      <c r="AB43" s="26">
        <f>AA43+Z45</f>
        <v>0.31598011893446359</v>
      </c>
    </row>
    <row r="44" spans="1:28" x14ac:dyDescent="0.2">
      <c r="A44" s="5" t="s">
        <v>248</v>
      </c>
      <c r="B44" s="5">
        <v>70</v>
      </c>
      <c r="C44" s="31">
        <f t="shared" si="80"/>
        <v>0.70499999999999996</v>
      </c>
      <c r="D44" s="12">
        <f t="shared" si="81"/>
        <v>21948.936170212768</v>
      </c>
      <c r="E44" s="12">
        <f t="shared" si="78"/>
        <v>2153.1914893617022</v>
      </c>
      <c r="F44" s="12">
        <f t="shared" si="78"/>
        <v>655.31914893617022</v>
      </c>
      <c r="G44" s="12">
        <f t="shared" si="78"/>
        <v>164.5390070921986</v>
      </c>
      <c r="H44" s="5">
        <v>15474</v>
      </c>
      <c r="I44" s="5">
        <v>1518</v>
      </c>
      <c r="J44" s="5">
        <v>462</v>
      </c>
      <c r="K44" s="5">
        <v>116</v>
      </c>
      <c r="L44" s="26">
        <f t="shared" si="79"/>
        <v>3.1829918027320141</v>
      </c>
      <c r="M44" s="26">
        <f t="shared" si="79"/>
        <v>0.50697622861546499</v>
      </c>
      <c r="N44" s="26">
        <f t="shared" si="79"/>
        <v>0.95818245625765996</v>
      </c>
      <c r="O44" s="26">
        <f t="shared" si="79"/>
        <v>17.334283730047012</v>
      </c>
      <c r="P44" s="26">
        <f t="shared" si="82"/>
        <v>21.982434217652152</v>
      </c>
      <c r="Q44" s="26">
        <f t="shared" si="83"/>
        <v>4.6481504876051396</v>
      </c>
      <c r="R44" s="26">
        <f>(LN(M49/M38))/$B$1</f>
        <v>0.47646338389594772</v>
      </c>
      <c r="V44" s="26">
        <f>(LN(M52/M39))/$B$1</f>
        <v>0.23248732256038113</v>
      </c>
      <c r="Z44" s="26">
        <f>(LN(M55/M40))/$B$1</f>
        <v>5.9604025558259947E-3</v>
      </c>
    </row>
    <row r="45" spans="1:28" x14ac:dyDescent="0.2">
      <c r="A45" s="5" t="s">
        <v>249</v>
      </c>
      <c r="B45" s="5">
        <v>100</v>
      </c>
      <c r="C45" s="31">
        <f t="shared" si="80"/>
        <v>0.70499999999999996</v>
      </c>
      <c r="D45" s="12">
        <f>H45/$C45</f>
        <v>2658.1560283687945</v>
      </c>
      <c r="E45" s="12">
        <f t="shared" si="78"/>
        <v>801.41843971631215</v>
      </c>
      <c r="F45" s="12">
        <f t="shared" si="78"/>
        <v>157.44680851063831</v>
      </c>
      <c r="G45" s="12">
        <f t="shared" si="78"/>
        <v>63.829787234042556</v>
      </c>
      <c r="H45" s="5">
        <v>1874</v>
      </c>
      <c r="I45" s="5">
        <v>565</v>
      </c>
      <c r="J45" s="5">
        <v>111</v>
      </c>
      <c r="K45" s="5">
        <v>45</v>
      </c>
      <c r="L45" s="26">
        <f t="shared" si="79"/>
        <v>0.772492384890205</v>
      </c>
      <c r="M45" s="26">
        <f t="shared" si="79"/>
        <v>0.3067432968811209</v>
      </c>
      <c r="N45" s="26">
        <f t="shared" si="79"/>
        <v>0.30483311520550449</v>
      </c>
      <c r="O45" s="26">
        <f t="shared" si="79"/>
        <v>1.9245644591655326</v>
      </c>
      <c r="P45" s="26">
        <f>SUM(L45:O45)</f>
        <v>3.3086332561423628</v>
      </c>
      <c r="Q45" s="26">
        <f t="shared" si="83"/>
        <v>1.3840687969768304</v>
      </c>
      <c r="R45" s="26">
        <f>LN(M50/M38)/$B$1</f>
        <v>0.36367090731114865</v>
      </c>
      <c r="V45" s="26">
        <f>LN(M53/M39)/$B$1</f>
        <v>0.12769623435902167</v>
      </c>
      <c r="Z45" s="26">
        <f>LN(M56/M40)/$B$1</f>
        <v>-4.2090945712489149E-2</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250</v>
      </c>
      <c r="B48" s="5">
        <v>5</v>
      </c>
      <c r="C48" s="31">
        <f>1-0.21-0.025</f>
        <v>0.76500000000000001</v>
      </c>
      <c r="D48" s="12">
        <f t="shared" ref="D48:G65" si="84">H48/$C48</f>
        <v>43559.477124183002</v>
      </c>
      <c r="E48" s="12">
        <f t="shared" si="84"/>
        <v>15326.797385620916</v>
      </c>
      <c r="F48" s="12">
        <f t="shared" si="84"/>
        <v>1316.3398692810458</v>
      </c>
      <c r="G48" s="12">
        <f>K48/$C48</f>
        <v>1203.9215686274511</v>
      </c>
      <c r="H48" s="5">
        <v>33323</v>
      </c>
      <c r="I48" s="5">
        <v>11725</v>
      </c>
      <c r="J48" s="5">
        <v>1007</v>
      </c>
      <c r="K48" s="5">
        <v>921</v>
      </c>
      <c r="L48" s="26">
        <f>W14*D48*1000/1000000</f>
        <v>5.695492973916422</v>
      </c>
      <c r="M48" s="26">
        <f>X14*E48*1000/1000000</f>
        <v>3.5185720740235982</v>
      </c>
      <c r="N48" s="26">
        <f>Y14*F48*1000/1000000</f>
        <v>17.102412667036212</v>
      </c>
      <c r="O48" s="26">
        <f>Z14*G48*1000/1000000</f>
        <v>78.856576554647134</v>
      </c>
      <c r="P48" s="26">
        <f>SUM(L48:O48)</f>
        <v>105.17305426962336</v>
      </c>
      <c r="Q48" s="26">
        <f>SUM(L48:N48)</f>
        <v>26.31647771497623</v>
      </c>
      <c r="R48" s="26">
        <f>(LN(N48/(N38*0.25)))/$B$1</f>
        <v>0.54329364417584636</v>
      </c>
      <c r="S48" s="26">
        <f>(R48-R49)/(1-0.25)</f>
        <v>0.48484411122940374</v>
      </c>
      <c r="T48" s="26">
        <f>S48+R50</f>
        <v>0.68687239170329639</v>
      </c>
      <c r="V48" s="26">
        <f>(LN(N51/(N39*0.25)))/$B$1</f>
        <v>0.43197938956580528</v>
      </c>
      <c r="W48" s="26">
        <f>(V48-V49)/(1-0.25)</f>
        <v>0.40002251098187741</v>
      </c>
      <c r="X48" s="26">
        <f>W48+V50</f>
        <v>0.34942255428401164</v>
      </c>
      <c r="Z48" s="26">
        <f>(LN(N54/(N40*0.25)))/$B$1</f>
        <v>0.26980042404172561</v>
      </c>
      <c r="AA48" s="26">
        <f>(Z48-Z49)/(1-0.25)</f>
        <v>0.37877318434582402</v>
      </c>
      <c r="AB48" s="26">
        <f>AA48+Z50</f>
        <v>0.3945646604839102</v>
      </c>
    </row>
    <row r="49" spans="1:28" x14ac:dyDescent="0.2">
      <c r="A49" s="5" t="s">
        <v>251</v>
      </c>
      <c r="B49" s="5">
        <v>5</v>
      </c>
      <c r="C49" s="31">
        <f t="shared" ref="C49:C64" si="85">1-0.21-0.025</f>
        <v>0.76500000000000001</v>
      </c>
      <c r="D49" s="12">
        <f t="shared" si="84"/>
        <v>135163.39869281044</v>
      </c>
      <c r="E49" s="12">
        <f t="shared" si="84"/>
        <v>50112.418300653597</v>
      </c>
      <c r="F49" s="12">
        <f t="shared" si="84"/>
        <v>4133.333333333333</v>
      </c>
      <c r="G49" s="12">
        <f t="shared" si="84"/>
        <v>3712.4183006535945</v>
      </c>
      <c r="H49" s="7">
        <v>103400</v>
      </c>
      <c r="I49" s="5">
        <v>38336</v>
      </c>
      <c r="J49" s="5">
        <v>3162</v>
      </c>
      <c r="K49" s="5">
        <v>2840</v>
      </c>
      <c r="L49" s="26">
        <f t="shared" ref="L49:O64" si="86">W15*D49*1000/1000000</f>
        <v>18.18389461833214</v>
      </c>
      <c r="M49" s="26">
        <f t="shared" si="86"/>
        <v>11.393013650602574</v>
      </c>
      <c r="N49" s="26">
        <f t="shared" si="86"/>
        <v>46.191240300242264</v>
      </c>
      <c r="O49" s="26">
        <f t="shared" si="86"/>
        <v>248.7817263191458</v>
      </c>
      <c r="P49" s="26">
        <f t="shared" ref="P49:P65" si="87">SUM(L49:O49)</f>
        <v>324.54987488832279</v>
      </c>
      <c r="Q49" s="26">
        <f t="shared" ref="Q49:Q65" si="88">SUM(L49:N49)</f>
        <v>75.768148569176986</v>
      </c>
      <c r="R49" s="26">
        <f>(LN(N49/N38))/$B$1</f>
        <v>0.17966056075379352</v>
      </c>
      <c r="V49" s="26">
        <f>(LN(N52/N39))/$B$1</f>
        <v>0.13196250632939724</v>
      </c>
      <c r="Z49" s="26">
        <f>(LN(N55/N40))/$B$1</f>
        <v>-1.427946421764245E-2</v>
      </c>
    </row>
    <row r="50" spans="1:28" x14ac:dyDescent="0.2">
      <c r="A50" s="5" t="s">
        <v>252</v>
      </c>
      <c r="B50" s="5">
        <v>5</v>
      </c>
      <c r="C50" s="31">
        <f t="shared" si="85"/>
        <v>0.76500000000000001</v>
      </c>
      <c r="D50" s="12">
        <f t="shared" si="84"/>
        <v>169803.92156862744</v>
      </c>
      <c r="E50" s="12">
        <f t="shared" si="84"/>
        <v>47882.352941176468</v>
      </c>
      <c r="F50" s="12">
        <f t="shared" si="84"/>
        <v>3938.5620915032678</v>
      </c>
      <c r="G50" s="12">
        <f t="shared" si="84"/>
        <v>3151.6339869281046</v>
      </c>
      <c r="H50" s="7">
        <v>129900</v>
      </c>
      <c r="I50" s="5">
        <v>36630</v>
      </c>
      <c r="J50" s="5">
        <v>3013</v>
      </c>
      <c r="K50" s="5">
        <v>2411</v>
      </c>
      <c r="L50" s="26">
        <f t="shared" si="86"/>
        <v>21.634896647398467</v>
      </c>
      <c r="M50" s="26">
        <f t="shared" si="86"/>
        <v>10.086364428954504</v>
      </c>
      <c r="N50" s="26">
        <f t="shared" si="86"/>
        <v>47.320675469772688</v>
      </c>
      <c r="O50" s="26">
        <f t="shared" si="86"/>
        <v>210.63675339109707</v>
      </c>
      <c r="P50" s="26">
        <f t="shared" si="87"/>
        <v>289.67868993722271</v>
      </c>
      <c r="Q50" s="26">
        <f t="shared" si="88"/>
        <v>79.041936546125655</v>
      </c>
      <c r="R50" s="26">
        <f>LN(N50/N38)/$B$1</f>
        <v>0.2020282804738926</v>
      </c>
      <c r="V50" s="26">
        <f>LN(N53/N39)/$B$1</f>
        <v>-5.059995669786576E-2</v>
      </c>
      <c r="Z50" s="26">
        <f>LN(N56/N40)/$B$1</f>
        <v>1.579147613808618E-2</v>
      </c>
    </row>
    <row r="51" spans="1:28" x14ac:dyDescent="0.2">
      <c r="A51" s="5" t="s">
        <v>253</v>
      </c>
      <c r="B51" s="5">
        <v>12</v>
      </c>
      <c r="C51" s="31">
        <f>1-0.18-0.025</f>
        <v>0.79500000000000004</v>
      </c>
      <c r="D51" s="12">
        <f>H51/$C51</f>
        <v>43862.893081761002</v>
      </c>
      <c r="E51" s="12">
        <f t="shared" si="84"/>
        <v>13671.698113207547</v>
      </c>
      <c r="F51" s="12">
        <f t="shared" si="84"/>
        <v>1318.2389937106918</v>
      </c>
      <c r="G51" s="12">
        <f t="shared" si="84"/>
        <v>913.20754716981128</v>
      </c>
      <c r="H51" s="5">
        <v>34871</v>
      </c>
      <c r="I51" s="5">
        <v>10869</v>
      </c>
      <c r="J51" s="5">
        <v>1048</v>
      </c>
      <c r="K51" s="5">
        <v>726</v>
      </c>
      <c r="L51" s="26">
        <f t="shared" si="86"/>
        <v>5.8250482133801134</v>
      </c>
      <c r="M51" s="26">
        <f t="shared" si="86"/>
        <v>2.990588430219137</v>
      </c>
      <c r="N51" s="26">
        <f t="shared" si="86"/>
        <v>14.640024153097899</v>
      </c>
      <c r="O51" s="26">
        <f t="shared" si="86"/>
        <v>59.091416518826009</v>
      </c>
      <c r="P51" s="26">
        <f t="shared" si="87"/>
        <v>82.547077315523154</v>
      </c>
      <c r="Q51" s="26">
        <f t="shared" si="88"/>
        <v>23.455660796697149</v>
      </c>
    </row>
    <row r="52" spans="1:28" x14ac:dyDescent="0.2">
      <c r="A52" s="5" t="s">
        <v>254</v>
      </c>
      <c r="B52" s="5">
        <v>12</v>
      </c>
      <c r="C52" s="31">
        <f t="shared" si="85"/>
        <v>0.76500000000000001</v>
      </c>
      <c r="D52" s="12">
        <f t="shared" si="84"/>
        <v>123575.16339869281</v>
      </c>
      <c r="E52" s="12">
        <f t="shared" si="84"/>
        <v>40351.633986928107</v>
      </c>
      <c r="F52" s="12">
        <f t="shared" si="84"/>
        <v>4334.6405228758167</v>
      </c>
      <c r="G52" s="12">
        <f t="shared" si="84"/>
        <v>2918.954248366013</v>
      </c>
      <c r="H52" s="5">
        <v>94535</v>
      </c>
      <c r="I52" s="5">
        <v>30869</v>
      </c>
      <c r="J52" s="5">
        <v>3316</v>
      </c>
      <c r="K52" s="5">
        <v>2233</v>
      </c>
      <c r="L52" s="26">
        <f t="shared" si="86"/>
        <v>16.806906197634294</v>
      </c>
      <c r="M52" s="26">
        <f t="shared" si="86"/>
        <v>8.7667105715877955</v>
      </c>
      <c r="N52" s="26">
        <f t="shared" si="86"/>
        <v>42.352831804556878</v>
      </c>
      <c r="O52" s="26">
        <f t="shared" si="86"/>
        <v>139.97888918429697</v>
      </c>
      <c r="P52" s="26">
        <f t="shared" si="87"/>
        <v>207.90533775807594</v>
      </c>
      <c r="Q52" s="26">
        <f t="shared" si="88"/>
        <v>67.92644857377897</v>
      </c>
      <c r="R52" s="6" t="s">
        <v>545</v>
      </c>
      <c r="S52" s="6" t="s">
        <v>546</v>
      </c>
      <c r="T52" s="6" t="s">
        <v>547</v>
      </c>
      <c r="V52" s="6" t="s">
        <v>545</v>
      </c>
      <c r="W52" s="6" t="s">
        <v>546</v>
      </c>
      <c r="X52" s="6" t="s">
        <v>547</v>
      </c>
      <c r="Z52" s="6" t="s">
        <v>545</v>
      </c>
      <c r="AA52" s="6" t="s">
        <v>546</v>
      </c>
      <c r="AB52" s="6" t="s">
        <v>547</v>
      </c>
    </row>
    <row r="53" spans="1:28" x14ac:dyDescent="0.2">
      <c r="A53" s="5" t="s">
        <v>255</v>
      </c>
      <c r="B53" s="5">
        <v>12</v>
      </c>
      <c r="C53" s="31">
        <f t="shared" si="85"/>
        <v>0.76500000000000001</v>
      </c>
      <c r="D53" s="12">
        <f t="shared" si="84"/>
        <v>144575.16339869282</v>
      </c>
      <c r="E53" s="12">
        <f t="shared" si="84"/>
        <v>36712.418300653597</v>
      </c>
      <c r="F53" s="12">
        <f t="shared" si="84"/>
        <v>3805.2287581699347</v>
      </c>
      <c r="G53" s="12">
        <f t="shared" si="84"/>
        <v>2564.705882352941</v>
      </c>
      <c r="H53" s="7">
        <v>110600</v>
      </c>
      <c r="I53" s="5">
        <v>28085</v>
      </c>
      <c r="J53" s="5">
        <v>2911</v>
      </c>
      <c r="K53" s="5">
        <v>1962</v>
      </c>
      <c r="L53" s="26">
        <f t="shared" si="86"/>
        <v>18.773361053292565</v>
      </c>
      <c r="M53" s="26">
        <f t="shared" si="86"/>
        <v>7.8286280959914194</v>
      </c>
      <c r="N53" s="26">
        <f t="shared" si="86"/>
        <v>34.77392504065876</v>
      </c>
      <c r="O53" s="26">
        <f t="shared" si="86"/>
        <v>112.21824610282884</v>
      </c>
      <c r="P53" s="26">
        <f t="shared" si="87"/>
        <v>173.59416029277159</v>
      </c>
      <c r="Q53" s="26">
        <f t="shared" si="88"/>
        <v>61.375914189942748</v>
      </c>
      <c r="R53" s="26">
        <f>(LN(O48/(O38*0.25)))/$B$1</f>
        <v>6.8584172413169289E-2</v>
      </c>
      <c r="S53" s="26">
        <f>(R53-R54)/(1-0.25)</f>
        <v>0.29302366178559364</v>
      </c>
      <c r="T53" s="26">
        <f>S53+R55</f>
        <v>-1.2271772230513234E-2</v>
      </c>
      <c r="V53" s="26">
        <f>(LN(O51/(O39*0.25)))/$B$1</f>
        <v>-0.18261295180139667</v>
      </c>
      <c r="W53" s="26">
        <f>(V53-V54)/(1-0.25)</f>
        <v>0.64677582557731172</v>
      </c>
      <c r="X53" s="26">
        <f>W53+V55</f>
        <v>-0.22559123484582</v>
      </c>
      <c r="Z53" s="26">
        <f>(LN(O54/(O40*0.25)))/$B$1</f>
        <v>6.2398054218148466E-2</v>
      </c>
      <c r="AA53" s="26">
        <f>(Z53-Z54)/(1-0.25)</f>
        <v>0.73033110510105848</v>
      </c>
      <c r="AB53" s="26">
        <f>AA53+Z55</f>
        <v>0.46519051999868571</v>
      </c>
    </row>
    <row r="54" spans="1:28" x14ac:dyDescent="0.2">
      <c r="A54" s="5" t="s">
        <v>256</v>
      </c>
      <c r="B54" s="5">
        <v>20</v>
      </c>
      <c r="C54" s="31">
        <f>1-0.22-0.025</f>
        <v>0.755</v>
      </c>
      <c r="D54" s="12">
        <f t="shared" si="84"/>
        <v>45092.715231788083</v>
      </c>
      <c r="E54" s="12">
        <f t="shared" si="84"/>
        <v>10920.529801324503</v>
      </c>
      <c r="F54" s="12">
        <f t="shared" si="84"/>
        <v>1282.1192052980132</v>
      </c>
      <c r="G54" s="12">
        <f t="shared" si="84"/>
        <v>880.79470198675494</v>
      </c>
      <c r="H54" s="5">
        <v>34045</v>
      </c>
      <c r="I54" s="5">
        <v>8245</v>
      </c>
      <c r="J54" s="5">
        <v>968</v>
      </c>
      <c r="K54" s="5">
        <v>665</v>
      </c>
      <c r="L54" s="26">
        <f t="shared" si="86"/>
        <v>6.2420026237622999</v>
      </c>
      <c r="M54" s="26">
        <f t="shared" si="86"/>
        <v>2.2088962015918119</v>
      </c>
      <c r="N54" s="26">
        <f t="shared" si="86"/>
        <v>8.3611249878381901</v>
      </c>
      <c r="O54" s="26">
        <f t="shared" si="86"/>
        <v>60.941170726383895</v>
      </c>
      <c r="P54" s="26">
        <f t="shared" si="87"/>
        <v>77.753194539576199</v>
      </c>
      <c r="Q54" s="26">
        <f t="shared" si="88"/>
        <v>16.812023813192305</v>
      </c>
      <c r="R54" s="26">
        <f>(LN(O49/O38))/$B$1</f>
        <v>-0.15118357392602594</v>
      </c>
      <c r="V54" s="26">
        <f>(LN(O52/O39))/$B$1</f>
        <v>-0.66769482098438049</v>
      </c>
      <c r="Z54" s="26">
        <f>(LN(O55/O40))/$B$1</f>
        <v>-0.48535027460764535</v>
      </c>
    </row>
    <row r="55" spans="1:28" x14ac:dyDescent="0.2">
      <c r="A55" s="5" t="s">
        <v>257</v>
      </c>
      <c r="B55" s="5">
        <v>20</v>
      </c>
      <c r="C55" s="31">
        <f>1-0.23-0.025</f>
        <v>0.745</v>
      </c>
      <c r="D55" s="12">
        <f t="shared" si="84"/>
        <v>131594.63087248322</v>
      </c>
      <c r="E55" s="12">
        <f t="shared" si="84"/>
        <v>32791.94630872483</v>
      </c>
      <c r="F55" s="12">
        <f t="shared" si="84"/>
        <v>3700.6711409395975</v>
      </c>
      <c r="G55" s="12">
        <f t="shared" si="84"/>
        <v>2589.2617449664431</v>
      </c>
      <c r="H55" s="5">
        <v>98038</v>
      </c>
      <c r="I55" s="5">
        <v>24430</v>
      </c>
      <c r="J55" s="5">
        <v>2757</v>
      </c>
      <c r="K55" s="5">
        <v>1929</v>
      </c>
      <c r="L55" s="26">
        <f t="shared" si="86"/>
        <v>17.398475144432449</v>
      </c>
      <c r="M55" s="26">
        <f t="shared" si="86"/>
        <v>6.6110978757263039</v>
      </c>
      <c r="N55" s="26">
        <f t="shared" si="86"/>
        <v>24.608233148196035</v>
      </c>
      <c r="O55" s="26">
        <f t="shared" si="86"/>
        <v>134.91367783735217</v>
      </c>
      <c r="P55" s="26">
        <f t="shared" si="87"/>
        <v>183.53148400570694</v>
      </c>
      <c r="Q55" s="26">
        <f t="shared" si="88"/>
        <v>48.61780616835479</v>
      </c>
      <c r="R55" s="26">
        <f>LN(O50/O38)/$B$1</f>
        <v>-0.30529543401610687</v>
      </c>
      <c r="V55" s="26">
        <f>LN(O53/O39)/$B$1</f>
        <v>-0.87236706042313172</v>
      </c>
      <c r="Z55" s="26">
        <f>LN(O56/O40)/$B$1</f>
        <v>-0.26514058510237276</v>
      </c>
    </row>
    <row r="56" spans="1:28" x14ac:dyDescent="0.2">
      <c r="A56" s="5" t="s">
        <v>258</v>
      </c>
      <c r="B56" s="5">
        <v>20</v>
      </c>
      <c r="C56" s="31">
        <f>1-0.215-0.025</f>
        <v>0.76</v>
      </c>
      <c r="D56" s="12">
        <f t="shared" si="84"/>
        <v>152631.57894736843</v>
      </c>
      <c r="E56" s="12">
        <f t="shared" si="84"/>
        <v>31497.36842105263</v>
      </c>
      <c r="F56" s="12">
        <f t="shared" si="84"/>
        <v>3951.3157894736842</v>
      </c>
      <c r="G56" s="12">
        <f t="shared" si="84"/>
        <v>3034.2105263157896</v>
      </c>
      <c r="H56" s="7">
        <v>116000</v>
      </c>
      <c r="I56" s="5">
        <v>23938</v>
      </c>
      <c r="J56" s="5">
        <v>3003</v>
      </c>
      <c r="K56" s="5">
        <v>2306</v>
      </c>
      <c r="L56" s="26">
        <f t="shared" si="86"/>
        <v>20.111577475076665</v>
      </c>
      <c r="M56" s="26">
        <f t="shared" si="86"/>
        <v>6.2767622176658779</v>
      </c>
      <c r="N56" s="26">
        <f t="shared" si="86"/>
        <v>25.420544440943683</v>
      </c>
      <c r="O56" s="26">
        <f t="shared" si="86"/>
        <v>171.13652249942777</v>
      </c>
      <c r="P56" s="26">
        <f t="shared" si="87"/>
        <v>222.94540663311398</v>
      </c>
      <c r="Q56" s="26">
        <f t="shared" si="88"/>
        <v>51.80888413368622</v>
      </c>
    </row>
    <row r="57" spans="1:28" x14ac:dyDescent="0.2">
      <c r="A57" s="5" t="s">
        <v>259</v>
      </c>
      <c r="B57" s="5">
        <v>25</v>
      </c>
      <c r="C57" s="31">
        <f t="shared" si="85"/>
        <v>0.76500000000000001</v>
      </c>
      <c r="D57" s="12">
        <f t="shared" si="84"/>
        <v>53206.535947712415</v>
      </c>
      <c r="E57" s="12">
        <f t="shared" si="84"/>
        <v>9019.6078431372553</v>
      </c>
      <c r="F57" s="12">
        <f t="shared" si="84"/>
        <v>1145.0980392156862</v>
      </c>
      <c r="G57" s="12">
        <f t="shared" si="84"/>
        <v>579.0849673202614</v>
      </c>
      <c r="H57" s="5">
        <v>40703</v>
      </c>
      <c r="I57" s="5">
        <v>6900</v>
      </c>
      <c r="J57" s="5">
        <v>876</v>
      </c>
      <c r="K57" s="5">
        <v>443</v>
      </c>
      <c r="L57" s="26">
        <f t="shared" si="86"/>
        <v>6.8620995009478811</v>
      </c>
      <c r="M57" s="26">
        <f t="shared" si="86"/>
        <v>1.7389377505052186</v>
      </c>
      <c r="N57" s="26">
        <f t="shared" si="86"/>
        <v>5.3151091499219172</v>
      </c>
      <c r="O57" s="26">
        <f t="shared" si="86"/>
        <v>35.378123711732826</v>
      </c>
      <c r="P57" s="26">
        <f t="shared" si="87"/>
        <v>49.294270113107842</v>
      </c>
      <c r="Q57" s="26">
        <f t="shared" si="88"/>
        <v>13.916146401375016</v>
      </c>
      <c r="R57" s="4"/>
      <c r="S57" s="4"/>
      <c r="T57" s="4"/>
      <c r="V57" s="4"/>
      <c r="W57" s="4"/>
      <c r="X57" s="4"/>
      <c r="Z57" s="4"/>
      <c r="AA57" s="4"/>
      <c r="AB57" s="4"/>
    </row>
    <row r="58" spans="1:28" x14ac:dyDescent="0.2">
      <c r="A58" s="5" t="s">
        <v>260</v>
      </c>
      <c r="B58" s="5">
        <v>25</v>
      </c>
      <c r="C58" s="31">
        <f t="shared" si="85"/>
        <v>0.76500000000000001</v>
      </c>
      <c r="D58" s="12">
        <f t="shared" si="84"/>
        <v>144967.32026143791</v>
      </c>
      <c r="E58" s="12">
        <f t="shared" si="84"/>
        <v>25296.732026143789</v>
      </c>
      <c r="F58" s="12">
        <f t="shared" si="84"/>
        <v>3324.1830065359477</v>
      </c>
      <c r="G58" s="12">
        <f t="shared" si="84"/>
        <v>1881.0457516339868</v>
      </c>
      <c r="H58" s="7">
        <v>110900</v>
      </c>
      <c r="I58" s="5">
        <v>19352</v>
      </c>
      <c r="J58" s="5">
        <v>2543</v>
      </c>
      <c r="K58" s="5">
        <v>1439</v>
      </c>
      <c r="L58" s="26">
        <f t="shared" si="86"/>
        <v>18.746809906026321</v>
      </c>
      <c r="M58" s="26">
        <f t="shared" si="86"/>
        <v>4.8941728998215241</v>
      </c>
      <c r="N58" s="26">
        <f t="shared" si="86"/>
        <v>14.213717769017565</v>
      </c>
      <c r="O58" s="26">
        <f t="shared" si="86"/>
        <v>82.177119399509408</v>
      </c>
      <c r="P58" s="26">
        <f t="shared" si="87"/>
        <v>120.03181997437483</v>
      </c>
      <c r="Q58" s="26">
        <f t="shared" si="88"/>
        <v>37.854700574865412</v>
      </c>
      <c r="R58" s="6" t="s">
        <v>548</v>
      </c>
      <c r="S58" s="6" t="s">
        <v>549</v>
      </c>
      <c r="T58" s="6" t="s">
        <v>550</v>
      </c>
      <c r="V58" s="6" t="s">
        <v>548</v>
      </c>
      <c r="W58" s="6" t="s">
        <v>549</v>
      </c>
      <c r="X58" s="6" t="s">
        <v>550</v>
      </c>
      <c r="Z58" s="6" t="s">
        <v>548</v>
      </c>
      <c r="AA58" s="6" t="s">
        <v>549</v>
      </c>
      <c r="AB58" s="6" t="s">
        <v>550</v>
      </c>
    </row>
    <row r="59" spans="1:28" x14ac:dyDescent="0.2">
      <c r="A59" s="5" t="s">
        <v>261</v>
      </c>
      <c r="B59" s="5">
        <v>25</v>
      </c>
      <c r="C59" s="31">
        <f>1-0.24-0.025</f>
        <v>0.73499999999999999</v>
      </c>
      <c r="D59" s="12">
        <f t="shared" si="84"/>
        <v>140272.10884353743</v>
      </c>
      <c r="E59" s="12">
        <f t="shared" si="84"/>
        <v>21579.591836734693</v>
      </c>
      <c r="F59" s="12">
        <f t="shared" si="84"/>
        <v>2846.2585034013605</v>
      </c>
      <c r="G59" s="12">
        <f t="shared" si="84"/>
        <v>1502.0408163265306</v>
      </c>
      <c r="H59" s="7">
        <v>103100</v>
      </c>
      <c r="I59" s="5">
        <v>15861</v>
      </c>
      <c r="J59" s="5">
        <v>2092</v>
      </c>
      <c r="K59" s="5">
        <v>1104</v>
      </c>
      <c r="L59" s="26">
        <f t="shared" si="86"/>
        <v>18.005596129173938</v>
      </c>
      <c r="M59" s="26">
        <f t="shared" si="86"/>
        <v>4.1046788675154211</v>
      </c>
      <c r="N59" s="26">
        <f t="shared" si="86"/>
        <v>10.213920780481967</v>
      </c>
      <c r="O59" s="26">
        <f t="shared" si="86"/>
        <v>54.750321795453104</v>
      </c>
      <c r="P59" s="26">
        <f t="shared" si="87"/>
        <v>87.07451757262443</v>
      </c>
      <c r="Q59" s="26">
        <f t="shared" si="88"/>
        <v>32.324195777171326</v>
      </c>
      <c r="R59" s="26">
        <f>(LN(Q48/(Q38*0.25)))/$B$1</f>
        <v>0.52673472237721275</v>
      </c>
      <c r="S59" s="26">
        <f>(R59-R60)/(1-0.25)</f>
        <v>0.40594028695993645</v>
      </c>
      <c r="T59" s="26">
        <f>S59+R61</f>
        <v>0.66738697301615957</v>
      </c>
      <c r="V59" s="26">
        <f>(LN(Q51/(Q39*0.25)))/$B$1</f>
        <v>0.44656833792814743</v>
      </c>
      <c r="W59" s="26">
        <f>(V59-V60)/(1-0.25)</f>
        <v>0.39874165962724711</v>
      </c>
      <c r="X59" s="26">
        <f>W59+V61</f>
        <v>0.45235745653271309</v>
      </c>
      <c r="Z59" s="26">
        <f>(LN(Q54/(Q40*0.25)))/$B$1</f>
        <v>0.28165691278213734</v>
      </c>
      <c r="AA59" s="26">
        <f>(Z59-Z60)/(1-0.25)</f>
        <v>0.40049240596555008</v>
      </c>
      <c r="AB59" s="26">
        <f>AA59+Z61</f>
        <v>0.44064278933096629</v>
      </c>
    </row>
    <row r="60" spans="1:28" x14ac:dyDescent="0.2">
      <c r="A60" s="5" t="s">
        <v>262</v>
      </c>
      <c r="B60" s="5">
        <v>30</v>
      </c>
      <c r="C60" s="31">
        <f t="shared" si="85"/>
        <v>0.76500000000000001</v>
      </c>
      <c r="D60" s="12">
        <f t="shared" si="84"/>
        <v>34190.849673202611</v>
      </c>
      <c r="E60" s="12">
        <f t="shared" si="84"/>
        <v>4504.5751633986929</v>
      </c>
      <c r="F60" s="12">
        <f t="shared" si="84"/>
        <v>737.25490196078431</v>
      </c>
      <c r="G60" s="12">
        <f t="shared" si="84"/>
        <v>298.03921568627453</v>
      </c>
      <c r="H60" s="5">
        <v>26156</v>
      </c>
      <c r="I60" s="5">
        <v>3446</v>
      </c>
      <c r="J60" s="5">
        <v>564</v>
      </c>
      <c r="K60" s="5">
        <v>228</v>
      </c>
      <c r="L60" s="26">
        <f t="shared" si="86"/>
        <v>4.576481925431902</v>
      </c>
      <c r="M60" s="26">
        <f t="shared" si="86"/>
        <v>0.9885119126850157</v>
      </c>
      <c r="N60" s="26">
        <f t="shared" si="86"/>
        <v>1.8871162914724096</v>
      </c>
      <c r="O60" s="26">
        <f t="shared" si="86"/>
        <v>9.9722739385531352</v>
      </c>
      <c r="P60" s="26">
        <f t="shared" si="87"/>
        <v>17.424384068142462</v>
      </c>
      <c r="Q60" s="26">
        <f t="shared" si="88"/>
        <v>7.4521101295893271</v>
      </c>
      <c r="R60" s="26">
        <f>(LN(Q49/Q38))/$B$1</f>
        <v>0.22227950715726044</v>
      </c>
      <c r="S60" s="10"/>
      <c r="T60" s="10"/>
      <c r="V60" s="26">
        <f>(LN(Q52/Q39))/$B$1</f>
        <v>0.14751209320771205</v>
      </c>
      <c r="W60" s="10"/>
      <c r="X60" s="10"/>
      <c r="Z60" s="26">
        <f>(LN(Q55/Q40))/$B$1</f>
        <v>-1.871239169202521E-2</v>
      </c>
      <c r="AA60" s="10"/>
      <c r="AB60" s="10"/>
    </row>
    <row r="61" spans="1:28" x14ac:dyDescent="0.2">
      <c r="A61" s="5" t="s">
        <v>263</v>
      </c>
      <c r="B61" s="5">
        <v>30</v>
      </c>
      <c r="C61" s="31">
        <f>1-0.23-0.025</f>
        <v>0.745</v>
      </c>
      <c r="D61" s="12">
        <f t="shared" si="84"/>
        <v>86553.020134228194</v>
      </c>
      <c r="E61" s="12">
        <f t="shared" si="84"/>
        <v>12375.838926174496</v>
      </c>
      <c r="F61" s="12">
        <f t="shared" si="84"/>
        <v>2161.0738255033557</v>
      </c>
      <c r="G61" s="12">
        <f t="shared" si="84"/>
        <v>1001.3422818791946</v>
      </c>
      <c r="H61" s="5">
        <v>64482</v>
      </c>
      <c r="I61" s="5">
        <v>9220</v>
      </c>
      <c r="J61" s="5">
        <v>1610</v>
      </c>
      <c r="K61" s="5">
        <v>746</v>
      </c>
      <c r="L61" s="26">
        <f t="shared" si="86"/>
        <v>11.564352825923295</v>
      </c>
      <c r="M61" s="26">
        <f t="shared" si="86"/>
        <v>2.6893291168171563</v>
      </c>
      <c r="N61" s="26">
        <f t="shared" si="86"/>
        <v>5.3470744648198405</v>
      </c>
      <c r="O61" s="26">
        <f t="shared" si="86"/>
        <v>26.021430230761311</v>
      </c>
      <c r="P61" s="26">
        <f t="shared" si="87"/>
        <v>45.622186638321601</v>
      </c>
      <c r="Q61" s="26">
        <f t="shared" si="88"/>
        <v>19.60075640756029</v>
      </c>
      <c r="R61" s="26">
        <f>LN(Q50/Q38)/$B$1</f>
        <v>0.26144668605622312</v>
      </c>
      <c r="S61" s="10"/>
      <c r="T61" s="10"/>
      <c r="V61" s="26">
        <f>LN(Q53/Q39)/$B$1</f>
        <v>5.3615796905465966E-2</v>
      </c>
      <c r="W61" s="10"/>
      <c r="X61" s="10"/>
      <c r="Z61" s="26">
        <f>LN(Q56/Q40)/$B$1</f>
        <v>4.0150383365416202E-2</v>
      </c>
      <c r="AA61" s="10"/>
      <c r="AB61" s="10"/>
    </row>
    <row r="62" spans="1:28" x14ac:dyDescent="0.2">
      <c r="A62" s="5" t="s">
        <v>264</v>
      </c>
      <c r="B62" s="5">
        <v>30</v>
      </c>
      <c r="C62" s="31">
        <f t="shared" si="85"/>
        <v>0.76500000000000001</v>
      </c>
      <c r="D62" s="12">
        <f t="shared" si="84"/>
        <v>80271.895424836606</v>
      </c>
      <c r="E62" s="12">
        <f t="shared" si="84"/>
        <v>12630.065359477125</v>
      </c>
      <c r="F62" s="12">
        <f t="shared" si="84"/>
        <v>2294.1176470588234</v>
      </c>
      <c r="G62" s="12">
        <f t="shared" si="84"/>
        <v>1048.3660130718954</v>
      </c>
      <c r="H62" s="5">
        <v>61408</v>
      </c>
      <c r="I62" s="5">
        <v>9662</v>
      </c>
      <c r="J62" s="5">
        <v>1755</v>
      </c>
      <c r="K62" s="5">
        <v>802</v>
      </c>
      <c r="L62" s="26">
        <f t="shared" si="86"/>
        <v>10.335353255741079</v>
      </c>
      <c r="M62" s="26">
        <f t="shared" si="86"/>
        <v>2.7414776150630322</v>
      </c>
      <c r="N62" s="26">
        <f t="shared" si="86"/>
        <v>5.5763922476677141</v>
      </c>
      <c r="O62" s="26">
        <f t="shared" si="86"/>
        <v>25.45827259525776</v>
      </c>
      <c r="P62" s="26">
        <f t="shared" si="87"/>
        <v>44.111495713729589</v>
      </c>
      <c r="Q62" s="26">
        <f t="shared" si="88"/>
        <v>18.653223118471828</v>
      </c>
    </row>
    <row r="63" spans="1:28" x14ac:dyDescent="0.2">
      <c r="A63" s="5" t="s">
        <v>265</v>
      </c>
      <c r="B63" s="5">
        <v>40</v>
      </c>
      <c r="C63" s="31">
        <f t="shared" si="85"/>
        <v>0.76500000000000001</v>
      </c>
      <c r="D63" s="12">
        <f t="shared" si="84"/>
        <v>13998.692810457516</v>
      </c>
      <c r="E63" s="12">
        <f t="shared" si="84"/>
        <v>1611.7647058823529</v>
      </c>
      <c r="F63" s="12">
        <f t="shared" si="84"/>
        <v>393.46405228758169</v>
      </c>
      <c r="G63" s="12">
        <f t="shared" si="84"/>
        <v>142.48366013071896</v>
      </c>
      <c r="H63" s="5">
        <v>10709</v>
      </c>
      <c r="I63" s="5">
        <v>1233</v>
      </c>
      <c r="J63" s="5">
        <v>301</v>
      </c>
      <c r="K63" s="5">
        <v>109</v>
      </c>
      <c r="L63" s="26">
        <f t="shared" si="86"/>
        <v>1.9118564395760445</v>
      </c>
      <c r="M63" s="26">
        <f t="shared" si="86"/>
        <v>0.38458421197207598</v>
      </c>
      <c r="N63" s="26">
        <f t="shared" si="86"/>
        <v>0.7691498200532747</v>
      </c>
      <c r="O63" s="26">
        <f t="shared" si="86"/>
        <v>4.1312153914084258</v>
      </c>
      <c r="P63" s="26">
        <f t="shared" si="87"/>
        <v>7.1968058630098213</v>
      </c>
      <c r="Q63" s="26">
        <f t="shared" si="88"/>
        <v>3.0655904716013951</v>
      </c>
    </row>
    <row r="64" spans="1:28" x14ac:dyDescent="0.2">
      <c r="A64" s="5" t="s">
        <v>266</v>
      </c>
      <c r="B64" s="5">
        <v>40</v>
      </c>
      <c r="C64" s="31">
        <f t="shared" si="85"/>
        <v>0.76500000000000001</v>
      </c>
      <c r="D64" s="12">
        <f t="shared" si="84"/>
        <v>38044.444444444445</v>
      </c>
      <c r="E64" s="12">
        <f t="shared" si="84"/>
        <v>4610.4575163398695</v>
      </c>
      <c r="F64" s="12">
        <f t="shared" si="84"/>
        <v>1254.9019607843138</v>
      </c>
      <c r="G64" s="12">
        <f t="shared" si="84"/>
        <v>396.07843137254901</v>
      </c>
      <c r="H64" s="5">
        <v>29104</v>
      </c>
      <c r="I64" s="5">
        <v>3527</v>
      </c>
      <c r="J64" s="5">
        <v>960</v>
      </c>
      <c r="K64" s="5">
        <v>303</v>
      </c>
      <c r="L64" s="26">
        <f t="shared" si="86"/>
        <v>5.0309970030093227</v>
      </c>
      <c r="M64" s="26">
        <f t="shared" si="86"/>
        <v>1.1949579451457399</v>
      </c>
      <c r="N64" s="26">
        <f t="shared" si="86"/>
        <v>2.0685726585371493</v>
      </c>
      <c r="O64" s="26">
        <f t="shared" si="86"/>
        <v>9.3100865606591938</v>
      </c>
      <c r="P64" s="26">
        <f t="shared" si="87"/>
        <v>17.604614167351407</v>
      </c>
      <c r="Q64" s="26">
        <f t="shared" si="88"/>
        <v>8.2945276066922116</v>
      </c>
      <c r="R64" s="6" t="s">
        <v>555</v>
      </c>
      <c r="S64" s="6" t="s">
        <v>555</v>
      </c>
      <c r="T64" s="6" t="s">
        <v>555</v>
      </c>
      <c r="V64" s="6" t="s">
        <v>556</v>
      </c>
      <c r="W64" s="6" t="s">
        <v>556</v>
      </c>
      <c r="X64" s="6" t="s">
        <v>556</v>
      </c>
      <c r="Z64" s="6" t="s">
        <v>558</v>
      </c>
      <c r="AA64" s="6" t="s">
        <v>557</v>
      </c>
      <c r="AB64" s="6" t="s">
        <v>557</v>
      </c>
    </row>
    <row r="65" spans="1:28" x14ac:dyDescent="0.2">
      <c r="A65" s="5" t="s">
        <v>267</v>
      </c>
      <c r="B65" s="5">
        <v>40</v>
      </c>
      <c r="C65" s="31">
        <f>1-0.2-0.025</f>
        <v>0.77500000000000002</v>
      </c>
      <c r="D65" s="12">
        <f t="shared" si="84"/>
        <v>35130.322580645159</v>
      </c>
      <c r="E65" s="12">
        <f t="shared" si="84"/>
        <v>4037.4193548387098</v>
      </c>
      <c r="F65" s="12">
        <f t="shared" si="84"/>
        <v>1202.5806451612902</v>
      </c>
      <c r="G65" s="12">
        <f t="shared" si="84"/>
        <v>409.0322580645161</v>
      </c>
      <c r="H65" s="5">
        <v>27226</v>
      </c>
      <c r="I65" s="5">
        <v>3129</v>
      </c>
      <c r="J65" s="5">
        <v>932</v>
      </c>
      <c r="K65" s="5">
        <v>317</v>
      </c>
      <c r="L65" s="26">
        <f>W31*D65*1000/1000000</f>
        <v>4.7096790296359652</v>
      </c>
      <c r="M65" s="26">
        <f t="shared" ref="M65:O65" si="89">X31*E65*1000/1000000</f>
        <v>1.0027971009125816</v>
      </c>
      <c r="N65" s="26">
        <f t="shared" si="89"/>
        <v>2.0879920380793053</v>
      </c>
      <c r="O65" s="26">
        <f t="shared" si="89"/>
        <v>8.4250984425913433</v>
      </c>
      <c r="P65" s="26">
        <f t="shared" si="87"/>
        <v>16.225566611219193</v>
      </c>
      <c r="Q65" s="26">
        <f t="shared" si="88"/>
        <v>7.8004681686278516</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0.21550876699503219</v>
      </c>
      <c r="S66" s="26">
        <f>(R66-R67)/(1-0.25)</f>
        <v>0.47072124214678829</v>
      </c>
      <c r="T66" s="26">
        <f>S66+R68</f>
        <v>0.29583630535323785</v>
      </c>
      <c r="V66" s="26">
        <f>(LN(L60/(L42*0.25)))/$B$1</f>
        <v>-4.4325793988757587E-3</v>
      </c>
      <c r="W66" s="26">
        <f>(V66-V67)/(1-0.25)</f>
        <v>0.56703406311044324</v>
      </c>
      <c r="X66" s="26">
        <f>W66+V68</f>
        <v>3.329171292605404E-2</v>
      </c>
      <c r="Z66" s="26">
        <f>(LN(L63/(L43*0.25)))/$B$1</f>
        <v>-8.2962674405327348E-3</v>
      </c>
      <c r="AA66" s="26">
        <f>(Z66-Z67)/(1-0.25)</f>
        <v>0.51697643607676802</v>
      </c>
      <c r="AB66" s="26">
        <f>AA66+Z68</f>
        <v>5.9838196511899922E-2</v>
      </c>
    </row>
    <row r="67" spans="1:28" x14ac:dyDescent="0.2">
      <c r="M67" s="12"/>
      <c r="N67" s="12"/>
      <c r="R67" s="26">
        <f>(LN(L58/L41))/$B$1</f>
        <v>-0.13753216461505904</v>
      </c>
      <c r="V67" s="26">
        <f>(LN(L61/L42))/$B$1</f>
        <v>-0.42970812673170816</v>
      </c>
      <c r="Z67" s="26">
        <f>(LN(L64/L43))/$B$1</f>
        <v>-0.39602859449810879</v>
      </c>
    </row>
    <row r="68" spans="1:28" x14ac:dyDescent="0.2">
      <c r="M68" s="12"/>
      <c r="N68" s="12"/>
      <c r="R68" s="26">
        <f>LN(L59/L41)/$B$1</f>
        <v>-0.17488493679355044</v>
      </c>
      <c r="V68" s="26">
        <f>LN(L62/L42)/$B$1</f>
        <v>-0.5337423501843892</v>
      </c>
      <c r="Z68" s="26">
        <f>LN(L65/L43)/$B$1</f>
        <v>-0.4571382395648681</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0.32181068436297294</v>
      </c>
      <c r="S71" s="26">
        <f>(R71-R72)/(1-0.25)</f>
        <v>0.43397963749742668</v>
      </c>
      <c r="T71" s="26">
        <f>S71+R73</f>
        <v>0.26741875754824551</v>
      </c>
      <c r="V71" s="26">
        <f>(LN(M60/(M42*0.25)))/$B$1</f>
        <v>8.2998664589949103E-2</v>
      </c>
      <c r="W71" s="26">
        <f>(V71-V72)/(1-0.25)</f>
        <v>0.47586174369698336</v>
      </c>
      <c r="X71" s="26">
        <f>W71+V73</f>
        <v>0.21974677371575685</v>
      </c>
      <c r="Z71" s="26">
        <f>(LN(M63/(M43*0.25)))/$B$1</f>
        <v>0.15756471988839973</v>
      </c>
      <c r="AA71" s="26">
        <f>(Z71-Z72)/(1-0.25)</f>
        <v>0.3118405821205763</v>
      </c>
      <c r="AB71" s="26">
        <f>AA71+Z73</f>
        <v>7.3193572721910155E-2</v>
      </c>
    </row>
    <row r="72" spans="1:28" x14ac:dyDescent="0.2">
      <c r="M72" s="12"/>
      <c r="N72" s="12"/>
      <c r="R72" s="26">
        <f>(LN(M58/M41))/$B$1</f>
        <v>-3.6740437600970423E-3</v>
      </c>
      <c r="V72" s="26">
        <f>(LN(M61/M42))/$B$1</f>
        <v>-0.27389764318278842</v>
      </c>
      <c r="Z72" s="26">
        <f>(LN(M64/M43))/$B$1</f>
        <v>-7.6315716702032479E-2</v>
      </c>
    </row>
    <row r="73" spans="1:28" x14ac:dyDescent="0.2">
      <c r="M73" s="12"/>
      <c r="N73" s="12"/>
      <c r="R73" s="26">
        <f>LN(M59/M41)/$B$1</f>
        <v>-0.16656087994918115</v>
      </c>
      <c r="V73" s="26">
        <f>LN(M62/M42)/$B$1</f>
        <v>-0.25611496998122651</v>
      </c>
      <c r="Z73" s="26">
        <f>LN(M65/M43)/$B$1</f>
        <v>-0.23864700939866615</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0.55055654147781885</v>
      </c>
      <c r="S76" s="26">
        <f>(R76-R77)/(1-0.25)</f>
        <v>0.49708687721485867</v>
      </c>
      <c r="T76" s="26">
        <f>S76+R78</f>
        <v>0.36885051435463845</v>
      </c>
      <c r="V76" s="26">
        <f>(LN(N60/(N42*0.25)))/$B$1</f>
        <v>0.2218879145827308</v>
      </c>
      <c r="W76" s="26">
        <f>(V76-V77)/(1-0.25)</f>
        <v>0.42567243329870957</v>
      </c>
      <c r="X76" s="26">
        <f>W76+V78</f>
        <v>0.36718790656971606</v>
      </c>
      <c r="Z76" s="26">
        <f>(LN(N63/(N43*0.25)))/$B$1</f>
        <v>0.283181782312662</v>
      </c>
      <c r="AA76" s="26">
        <f>(Z76-Z77)/(1-0.25)</f>
        <v>0.49008151195729588</v>
      </c>
      <c r="AB76" s="26">
        <f>AA76+Z78</f>
        <v>0.41435403468526777</v>
      </c>
    </row>
    <row r="77" spans="1:28" x14ac:dyDescent="0.2">
      <c r="M77" s="12"/>
      <c r="N77" s="12"/>
      <c r="R77" s="26">
        <f>(LN(N58/N41))/$B$1</f>
        <v>0.17774138356667485</v>
      </c>
      <c r="V77" s="26">
        <f>(LN(N61/N42))/$B$1</f>
        <v>-9.7366410391301381E-2</v>
      </c>
      <c r="Z77" s="26">
        <f>(LN(N64/N43))/$B$1</f>
        <v>-8.4379351655309895E-2</v>
      </c>
    </row>
    <row r="78" spans="1:28" x14ac:dyDescent="0.2">
      <c r="M78" s="12"/>
      <c r="N78" s="12"/>
      <c r="R78" s="26">
        <f>LN(N59/N41)/$B$1</f>
        <v>-0.12823636286022022</v>
      </c>
      <c r="V78" s="26">
        <f>LN(N62/N42)/$B$1</f>
        <v>-5.8484526728993513E-2</v>
      </c>
      <c r="Z78" s="26">
        <f>LN(N65/N43)/$B$1</f>
        <v>-7.5727477272028124E-2</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0.3536572379422947</v>
      </c>
      <c r="S81" s="26">
        <f>(R81-R82)/(1-0.25)</f>
        <v>0.67100136478915695</v>
      </c>
      <c r="T81" s="26">
        <f>S81+R83</f>
        <v>0.14539492702021339</v>
      </c>
      <c r="V81" s="26">
        <f>(LN(O60/(O42*0.25)))/$B$1</f>
        <v>-0.2581257947239286</v>
      </c>
      <c r="W81" s="26">
        <f>(V81-V82)/(1-0.25)</f>
        <v>0.52738587532120385</v>
      </c>
      <c r="X81" s="26">
        <f>W81+V83</f>
        <v>-0.14653830286589031</v>
      </c>
      <c r="Z81" s="26">
        <f>(LN(O63/(O43*0.25)))/$B$1</f>
        <v>-0.5556218684313472</v>
      </c>
      <c r="AA81" s="26">
        <f>(Z81-Z82)/(1-0.25)</f>
        <v>0.7083550859108666</v>
      </c>
      <c r="AB81" s="26">
        <f>AA81+Z83</f>
        <v>-0.47101756741229728</v>
      </c>
    </row>
    <row r="82" spans="13:28" x14ac:dyDescent="0.2">
      <c r="M82" s="12"/>
      <c r="N82" s="12"/>
      <c r="R82" s="26">
        <f>(LN(O58/O41))/$B$1</f>
        <v>-0.14959378564957301</v>
      </c>
      <c r="V82" s="26">
        <f>(LN(O61/O42))/$B$1</f>
        <v>-0.65366520121483151</v>
      </c>
      <c r="Z82" s="26">
        <f>(LN(O64/O43))/$B$1</f>
        <v>-1.0868881828644972</v>
      </c>
    </row>
    <row r="83" spans="13:28" x14ac:dyDescent="0.2">
      <c r="M83" s="12"/>
      <c r="N83" s="12"/>
      <c r="R83" s="26">
        <f>LN(O59/O41)/$B$1</f>
        <v>-0.52560643776894356</v>
      </c>
      <c r="V83" s="26">
        <f>LN(O62/O42)/$B$1</f>
        <v>-0.67392417818709416</v>
      </c>
      <c r="Z83" s="26">
        <f>LN(O65/O43)/$B$1</f>
        <v>-1.1793726533231639</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0.34393911509384761</v>
      </c>
      <c r="S87" s="26">
        <f>(R87-R88)/(1-0.25)</f>
        <v>0.47603577405483222</v>
      </c>
      <c r="T87" s="26">
        <f>S87+R89</f>
        <v>0.31670813576696749</v>
      </c>
      <c r="V87" s="26">
        <f>(LN(Q60/(Q42*0.25)))/$B$1</f>
        <v>5.9646243960309361E-2</v>
      </c>
      <c r="W87" s="26">
        <f>(V87-V88)/(1-0.25)</f>
        <v>0.51755979575750388</v>
      </c>
      <c r="X87" s="26">
        <f>W87+V89</f>
        <v>0.14315729920472198</v>
      </c>
      <c r="Z87" s="26">
        <f>(LN(Q63/(Q43*0.25)))/$B$1</f>
        <v>7.7333322906570842E-2</v>
      </c>
      <c r="AA87" s="26">
        <f>(Z87-Z88)/(1-0.25)</f>
        <v>0.48264023319037469</v>
      </c>
      <c r="AB87" s="26">
        <f>AA87+Z89</f>
        <v>0.14113021514455176</v>
      </c>
    </row>
    <row r="88" spans="13:28" x14ac:dyDescent="0.2">
      <c r="M88" s="12"/>
      <c r="N88" s="12"/>
      <c r="R88" s="26">
        <f>(LN(Q58/Q41))/$B$1</f>
        <v>-1.3087715447276561E-2</v>
      </c>
      <c r="S88" s="10"/>
      <c r="T88" s="10"/>
      <c r="V88" s="26">
        <f>(LN(Q61/Q42))/$B$1</f>
        <v>-0.32852360285781856</v>
      </c>
      <c r="W88" s="10"/>
      <c r="X88" s="10"/>
      <c r="Z88" s="26">
        <f>(LN(Q64/Q43))/$B$1</f>
        <v>-0.28464685198621015</v>
      </c>
      <c r="AA88" s="10"/>
      <c r="AB88" s="10"/>
    </row>
    <row r="89" spans="13:28" x14ac:dyDescent="0.2">
      <c r="M89" s="12"/>
      <c r="N89" s="12"/>
      <c r="R89" s="26">
        <f>LN(Q59/Q41)/$B$1</f>
        <v>-0.15932763828786473</v>
      </c>
      <c r="S89" s="10"/>
      <c r="T89" s="10"/>
      <c r="V89" s="26">
        <f>LN(Q62/Q42)/$B$1</f>
        <v>-0.3744024965527819</v>
      </c>
      <c r="W89" s="10"/>
      <c r="X89" s="10"/>
      <c r="Z89" s="26">
        <f>LN(Q65/Q43)/$B$1</f>
        <v>-0.34151001804582293</v>
      </c>
      <c r="AA89" s="10"/>
      <c r="AB89"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Z89"/>
  <sheetViews>
    <sheetView topLeftCell="I1" workbookViewId="0">
      <selection activeCell="B3" sqref="B3"/>
    </sheetView>
  </sheetViews>
  <sheetFormatPr baseColWidth="10" defaultRowHeight="16" x14ac:dyDescent="0.2"/>
  <cols>
    <col min="1" max="1" width="20.1640625" style="5" bestFit="1"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578</v>
      </c>
      <c r="B1" s="32">
        <v>1.19</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268</v>
      </c>
      <c r="B4" s="5">
        <v>5</v>
      </c>
      <c r="C4" s="5">
        <v>56400</v>
      </c>
      <c r="D4" s="5">
        <v>20612</v>
      </c>
      <c r="E4" s="5">
        <v>2450</v>
      </c>
      <c r="F4" s="5">
        <v>3028</v>
      </c>
      <c r="G4" s="5">
        <v>5987</v>
      </c>
      <c r="H4" s="5">
        <v>41557</v>
      </c>
      <c r="I4" s="7">
        <v>288000</v>
      </c>
      <c r="J4" s="7">
        <v>275700</v>
      </c>
      <c r="K4" s="5">
        <v>11525</v>
      </c>
      <c r="L4" s="5">
        <v>79479</v>
      </c>
      <c r="M4" s="7">
        <v>946800</v>
      </c>
      <c r="N4" s="7">
        <v>2038000</v>
      </c>
      <c r="O4" s="8">
        <f>(224333+K4)/235871</f>
        <v>0.99994488512788771</v>
      </c>
      <c r="P4" s="8">
        <f>(224333+L4)/235871</f>
        <v>1.2880430404755141</v>
      </c>
      <c r="Q4" s="8">
        <f t="shared" ref="Q4:R9" si="0">(224333+M4)/235871</f>
        <v>4.9651419631917451</v>
      </c>
      <c r="R4" s="8">
        <f t="shared" si="0"/>
        <v>9.5913995361871525</v>
      </c>
      <c r="S4" s="8">
        <f>4/3*3.14*((O4/2)^3)</f>
        <v>0.52324680775313859</v>
      </c>
      <c r="T4" s="8">
        <f t="shared" ref="T4:V9" si="1">4/3*3.14*((P4/2)^3)</f>
        <v>1.1183288374890108</v>
      </c>
      <c r="U4" s="8">
        <f t="shared" si="1"/>
        <v>64.058004955382245</v>
      </c>
      <c r="V4" s="8">
        <f>4/3*3.14*((R4/2)^3)</f>
        <v>461.7685430828007</v>
      </c>
      <c r="W4" s="8">
        <f>(S4*265)/1000</f>
        <v>0.13866040405458174</v>
      </c>
      <c r="X4" s="8">
        <f>(10^(-0.665+LOG(T4, 10)*0.959))</f>
        <v>0.24075658439908307</v>
      </c>
      <c r="Y4" s="8">
        <f>(10^(-0.665+LOG(U4, 10)*0.959))</f>
        <v>11.681642172368514</v>
      </c>
      <c r="Z4" s="8">
        <f>(10^(-0.665+LOG(V4, 10)*0.959))</f>
        <v>77.657417891694976</v>
      </c>
      <c r="AA4" s="8">
        <f>W4*C4</f>
        <v>7820.4467886784105</v>
      </c>
      <c r="AB4" s="8">
        <f>X4*D4</f>
        <v>4962.4747176339006</v>
      </c>
      <c r="AC4" s="8">
        <f t="shared" ref="AC4:AD9" si="2">Y4*E4</f>
        <v>28620.023322302859</v>
      </c>
      <c r="AD4" s="8">
        <f>Z4*F4</f>
        <v>235146.66137605239</v>
      </c>
      <c r="AE4" s="8">
        <f>AA4/(AA4+AB4+AC4+AD4)</f>
        <v>2.8278640118151857E-2</v>
      </c>
      <c r="AF4" s="8">
        <f>AB4/(AA4+AB4+AC4+AD4)</f>
        <v>1.7944247998535549E-2</v>
      </c>
      <c r="AG4" s="8">
        <f>AC4/(AA4+AB4+AC4+AD4)</f>
        <v>0.10348965494863833</v>
      </c>
      <c r="AH4" s="8">
        <f>AD4/(AA4+AB4+AC4+AD4)</f>
        <v>0.85028745693467411</v>
      </c>
      <c r="AI4" s="8">
        <f>LN((AVERAGE(G14:G16))/G4)/1.19</f>
        <v>3.4197516601212556E-2</v>
      </c>
      <c r="AJ4" s="8">
        <f>LN((AVERAGE(H14:H16))/H4)/1.19</f>
        <v>-6.3260535838485414E-3</v>
      </c>
      <c r="AK4" s="8">
        <f>LN((AVERAGE(I14:I16))/I4)/1.19</f>
        <v>2.2340336907891679E-3</v>
      </c>
      <c r="AL4" s="8">
        <f>LN((AVERAGE(J14:J16))/J4)/1.19</f>
        <v>-1.4035809432551821E-2</v>
      </c>
      <c r="AM4" s="15">
        <f>(AI4*AE4)+(AJ4*AF4)+(AG4*AK4)+(AH4*AL4)</f>
        <v>-1.0849730342081185E-2</v>
      </c>
      <c r="AN4" s="5">
        <v>5</v>
      </c>
      <c r="AO4" s="50">
        <f>H4/L4</f>
        <v>0.52286767573824533</v>
      </c>
      <c r="AP4" s="50">
        <f>I4/M4</f>
        <v>0.30418250950570341</v>
      </c>
      <c r="AQ4" s="50">
        <f>LN((AVERAGE(AO14:AO16))/AO4)/1.19</f>
        <v>-3.0538158159904308E-2</v>
      </c>
      <c r="AR4" s="50">
        <f>LN((AVERAGE(AP14:AP16))/AP4)/1.19</f>
        <v>-1.6603025092102142E-2</v>
      </c>
      <c r="AS4" s="8">
        <f>AB4/(AB4+AC4)</f>
        <v>0.14776967192054796</v>
      </c>
      <c r="AT4" s="8">
        <f>AC4/(AC4+AB4)</f>
        <v>0.85223032807945198</v>
      </c>
      <c r="AU4" s="50">
        <f>(AQ4*AS4)+(AR4*AT4)</f>
        <v>-1.8662215133700446E-2</v>
      </c>
      <c r="AV4" s="46">
        <f>H4</f>
        <v>41557</v>
      </c>
      <c r="AW4" s="46">
        <f t="shared" ref="AW4:AW11" si="3">I4</f>
        <v>288000</v>
      </c>
      <c r="AX4" s="48">
        <f>LN((AVERAGE(AV14:AV16))/AV4)/1.19</f>
        <v>-6.3260535838485414E-3</v>
      </c>
      <c r="AY4" s="48">
        <f>LN((AVERAGE(AW14:AW16))/AW4)/1.19</f>
        <v>2.2340336907891679E-3</v>
      </c>
      <c r="AZ4" s="48">
        <f t="shared" ref="AZ4:AZ9" si="4">(AX4*AS4)+(AY4*AT4)</f>
        <v>9.6911240260469584E-4</v>
      </c>
    </row>
    <row r="5" spans="1:52" x14ac:dyDescent="0.2">
      <c r="A5" s="5" t="s">
        <v>269</v>
      </c>
      <c r="B5" s="5">
        <v>12</v>
      </c>
      <c r="C5" s="5">
        <v>86405</v>
      </c>
      <c r="D5" s="5">
        <v>21444</v>
      </c>
      <c r="E5" s="5">
        <v>2287</v>
      </c>
      <c r="F5" s="5">
        <v>2068</v>
      </c>
      <c r="G5" s="5">
        <v>6780</v>
      </c>
      <c r="H5" s="5">
        <v>45208</v>
      </c>
      <c r="I5" s="7">
        <v>285800</v>
      </c>
      <c r="J5" s="7">
        <v>268900</v>
      </c>
      <c r="K5" s="5">
        <v>7055</v>
      </c>
      <c r="L5" s="5">
        <v>71598</v>
      </c>
      <c r="M5" s="7">
        <v>855400</v>
      </c>
      <c r="N5" s="7">
        <v>1915000</v>
      </c>
      <c r="O5" s="8">
        <f t="shared" ref="O5:P9" si="5">(224333+K5)/235871</f>
        <v>0.98099384833235115</v>
      </c>
      <c r="P5" s="8">
        <f t="shared" si="5"/>
        <v>1.2546307091588198</v>
      </c>
      <c r="Q5" s="8">
        <f t="shared" si="0"/>
        <v>4.5776420161868137</v>
      </c>
      <c r="R5" s="8">
        <f t="shared" si="0"/>
        <v>9.0699280538938662</v>
      </c>
      <c r="S5" s="8">
        <f t="shared" ref="S5:S9" si="6">4/3*3.14*((O5/2)^3)</f>
        <v>0.49405721925198709</v>
      </c>
      <c r="T5" s="8">
        <f t="shared" si="1"/>
        <v>1.0335372598426937</v>
      </c>
      <c r="U5" s="8">
        <f t="shared" si="1"/>
        <v>50.200018561867289</v>
      </c>
      <c r="V5" s="8">
        <f t="shared" si="1"/>
        <v>390.4720243134567</v>
      </c>
      <c r="W5" s="8">
        <f t="shared" ref="W5:W9" si="7">(S5*265)/1000</f>
        <v>0.13092516310177657</v>
      </c>
      <c r="X5" s="8">
        <f t="shared" ref="X5:Z9" si="8">(10^(-0.665+LOG(T5, 10)*0.959))</f>
        <v>0.22322291042510847</v>
      </c>
      <c r="Y5" s="8">
        <f t="shared" si="8"/>
        <v>9.2464498546780582</v>
      </c>
      <c r="Z5" s="8">
        <f t="shared" si="8"/>
        <v>66.120288076853882</v>
      </c>
      <c r="AA5" s="8">
        <f t="shared" ref="AA5:AB9" si="9">W5*C5</f>
        <v>11312.588717809005</v>
      </c>
      <c r="AB5" s="8">
        <f t="shared" si="9"/>
        <v>4786.7920911560259</v>
      </c>
      <c r="AC5" s="8">
        <f t="shared" si="2"/>
        <v>21146.630817648718</v>
      </c>
      <c r="AD5" s="8">
        <f t="shared" si="2"/>
        <v>136736.75574293383</v>
      </c>
      <c r="AE5" s="8">
        <f t="shared" ref="AE5:AE9" si="10">AA5/(AA5+AB5+AC5+AD5)</f>
        <v>6.502131727667336E-2</v>
      </c>
      <c r="AF5" s="8">
        <f t="shared" ref="AF5:AF9" si="11">AB5/(AA5+AB5+AC5+AD5)</f>
        <v>2.7513024212269567E-2</v>
      </c>
      <c r="AG5" s="8">
        <f t="shared" ref="AG5:AG9" si="12">AC5/(AA5+AB5+AC5+AD5)</f>
        <v>0.12154439854800264</v>
      </c>
      <c r="AH5" s="8">
        <f t="shared" ref="AH5:AH9" si="13">AD5/(AA5+AB5+AC5+AD5)</f>
        <v>0.78592125996305451</v>
      </c>
      <c r="AI5" s="8">
        <f>LN((AVERAGE(G17:G19))/G5)/1.19</f>
        <v>0.12417402921722424</v>
      </c>
      <c r="AJ5" s="8">
        <f>LN((AVERAGE(H17:H19))/H5)/1.19</f>
        <v>4.4790653708649611E-2</v>
      </c>
      <c r="AK5" s="8">
        <f>LN((AVERAGE(I17:I19))/I5)/1.19</f>
        <v>2.9397801050350195E-4</v>
      </c>
      <c r="AL5" s="8">
        <f>LN((AVERAGE(J17:J19))/J5)/1.19</f>
        <v>-1.5029863124817563E-2</v>
      </c>
      <c r="AM5" s="15">
        <f t="shared" ref="AM5:AM9" si="14">(AI5*AE5)+(AJ5*AF5)+(AG5*AK5)+(AH5*AL5)</f>
        <v>-2.470272292430381E-3</v>
      </c>
      <c r="AN5" s="5">
        <v>12</v>
      </c>
      <c r="AO5" s="50">
        <f t="shared" ref="AO5:AO11" si="15">H5/L5</f>
        <v>0.63141428531523225</v>
      </c>
      <c r="AP5" s="50">
        <f t="shared" ref="AP5:AP11" si="16">I5/M5</f>
        <v>0.3341126958148235</v>
      </c>
      <c r="AQ5" s="50">
        <f>LN((AVERAGE(AO17:AO19))/AO5)/1.19</f>
        <v>2.1502464463802377E-2</v>
      </c>
      <c r="AR5" s="50">
        <f>LN((AVERAGE(AP17:AP19))/AP5)/1.19</f>
        <v>3.2187800222176557E-2</v>
      </c>
      <c r="AS5" s="8">
        <f t="shared" ref="AS5:AS9" si="17">AB5/(AB5+AC5)</f>
        <v>0.18458003434366724</v>
      </c>
      <c r="AT5" s="8">
        <f t="shared" ref="AT5:AT9" si="18">AC5/(AC5+AB5)</f>
        <v>0.81541996565633279</v>
      </c>
      <c r="AU5" s="50">
        <f t="shared" ref="AU5:AU9" si="19">(AQ5*AS5)+(AR5*AT5)</f>
        <v>3.0215500580922237E-2</v>
      </c>
      <c r="AV5" s="46">
        <f t="shared" ref="AV5:AV11" si="20">H5</f>
        <v>45208</v>
      </c>
      <c r="AW5" s="46">
        <f t="shared" si="3"/>
        <v>285800</v>
      </c>
      <c r="AX5" s="48">
        <f>LN((AVERAGE(AV17:AV19))/AV5)/1.19</f>
        <v>4.4790653708649611E-2</v>
      </c>
      <c r="AY5" s="48">
        <f>LN((AVERAGE(AW17:AW19))/AW5)/1.19</f>
        <v>2.9397801050350195E-4</v>
      </c>
      <c r="AZ5" s="48">
        <f t="shared" si="4"/>
        <v>8.5071759390463342E-3</v>
      </c>
    </row>
    <row r="6" spans="1:52" x14ac:dyDescent="0.2">
      <c r="A6" s="5" t="s">
        <v>270</v>
      </c>
      <c r="B6" s="5">
        <v>20</v>
      </c>
      <c r="C6" s="5">
        <v>79810</v>
      </c>
      <c r="D6" s="5">
        <v>15874</v>
      </c>
      <c r="E6" s="5">
        <v>1916</v>
      </c>
      <c r="F6" s="5">
        <v>1050</v>
      </c>
      <c r="G6" s="5">
        <v>9474</v>
      </c>
      <c r="H6" s="5">
        <v>57052</v>
      </c>
      <c r="I6" s="7">
        <v>275800</v>
      </c>
      <c r="J6" s="7">
        <v>269500</v>
      </c>
      <c r="K6" s="5">
        <v>7064</v>
      </c>
      <c r="L6" s="5">
        <v>58077</v>
      </c>
      <c r="M6" s="7">
        <v>507400</v>
      </c>
      <c r="N6" s="7">
        <v>1512000</v>
      </c>
      <c r="O6" s="8">
        <f t="shared" si="5"/>
        <v>0.98103200478227504</v>
      </c>
      <c r="P6" s="8">
        <f t="shared" si="5"/>
        <v>1.197307002556482</v>
      </c>
      <c r="Q6" s="8">
        <f t="shared" si="0"/>
        <v>3.1022592857960496</v>
      </c>
      <c r="R6" s="8">
        <f t="shared" si="0"/>
        <v>7.361367018412607</v>
      </c>
      <c r="S6" s="8">
        <f t="shared" si="6"/>
        <v>0.49411487160983436</v>
      </c>
      <c r="T6" s="8">
        <f t="shared" si="1"/>
        <v>0.89824532437003801</v>
      </c>
      <c r="U6" s="8">
        <f t="shared" si="1"/>
        <v>15.624735608653618</v>
      </c>
      <c r="V6" s="8">
        <f t="shared" si="1"/>
        <v>208.76313538807463</v>
      </c>
      <c r="W6" s="8">
        <f t="shared" si="7"/>
        <v>0.13094044097660612</v>
      </c>
      <c r="X6" s="8">
        <f t="shared" si="8"/>
        <v>0.19512179010828173</v>
      </c>
      <c r="Y6" s="8">
        <f t="shared" si="8"/>
        <v>3.0190225538728432</v>
      </c>
      <c r="Z6" s="8">
        <f t="shared" si="8"/>
        <v>36.270037500072952</v>
      </c>
      <c r="AA6" s="8">
        <f t="shared" si="9"/>
        <v>10450.356594342935</v>
      </c>
      <c r="AB6" s="8">
        <f t="shared" si="9"/>
        <v>3097.3632961788644</v>
      </c>
      <c r="AC6" s="8">
        <f t="shared" si="2"/>
        <v>5784.4472132203673</v>
      </c>
      <c r="AD6" s="8">
        <f t="shared" si="2"/>
        <v>38083.539375076602</v>
      </c>
      <c r="AE6" s="8">
        <f t="shared" si="10"/>
        <v>0.18201215721691374</v>
      </c>
      <c r="AF6" s="8">
        <f t="shared" si="11"/>
        <v>5.3946271606385487E-2</v>
      </c>
      <c r="AG6" s="8">
        <f t="shared" si="12"/>
        <v>0.10074677414888743</v>
      </c>
      <c r="AH6" s="8">
        <f t="shared" si="13"/>
        <v>0.66329479702781324</v>
      </c>
      <c r="AI6" s="8">
        <f>LN((AVERAGE(G20:G22))/G6)/1.19</f>
        <v>0.17164924515897192</v>
      </c>
      <c r="AJ6" s="8">
        <f>LN((AVERAGE(H20:H22))/H6)/1.19</f>
        <v>6.8327147043222763E-2</v>
      </c>
      <c r="AK6" s="8">
        <f>LN((AVERAGE(I20:I22))/I6)/1.19</f>
        <v>9.493142254913621E-3</v>
      </c>
      <c r="AL6" s="8">
        <f>LN((AVERAGE(J20:J22))/J6)/1.19</f>
        <v>-3.0196114393353829E-3</v>
      </c>
      <c r="AM6" s="15">
        <f t="shared" si="14"/>
        <v>3.388175513048472E-2</v>
      </c>
      <c r="AN6" s="5">
        <v>20</v>
      </c>
      <c r="AO6" s="50">
        <f t="shared" si="15"/>
        <v>0.98235101675362024</v>
      </c>
      <c r="AP6" s="50">
        <f t="shared" si="16"/>
        <v>0.54355538037051632</v>
      </c>
      <c r="AQ6" s="50">
        <f>LN((AVERAGE(AO20:AO22))/AO6)/1.19</f>
        <v>-6.1687668609283541E-2</v>
      </c>
      <c r="AR6" s="50">
        <f>LN((AVERAGE(AP20:AP22))/AP6)/1.19</f>
        <v>-4.5198806406572381E-2</v>
      </c>
      <c r="AS6" s="8">
        <f t="shared" si="17"/>
        <v>0.34873107154234606</v>
      </c>
      <c r="AT6" s="8">
        <f t="shared" si="18"/>
        <v>0.65126892845765405</v>
      </c>
      <c r="AU6" s="50">
        <f t="shared" si="19"/>
        <v>-5.0948984991037935E-2</v>
      </c>
      <c r="AV6" s="46">
        <f t="shared" si="20"/>
        <v>57052</v>
      </c>
      <c r="AW6" s="46">
        <f t="shared" si="3"/>
        <v>275800</v>
      </c>
      <c r="AX6" s="48">
        <f>LN((AVERAGE(AV20:AV22))/AV6)/1.19</f>
        <v>6.8327147043222763E-2</v>
      </c>
      <c r="AY6" s="48">
        <f>LN((AVERAGE(AW20:AW22))/AW6)/1.19</f>
        <v>9.493142254913621E-3</v>
      </c>
      <c r="AZ6" s="48">
        <f t="shared" si="4"/>
        <v>3.001038778786819E-2</v>
      </c>
    </row>
    <row r="7" spans="1:52" x14ac:dyDescent="0.2">
      <c r="A7" s="5" t="s">
        <v>271</v>
      </c>
      <c r="B7" s="5">
        <v>25</v>
      </c>
      <c r="C7" s="5">
        <v>52103</v>
      </c>
      <c r="D7" s="5">
        <v>9990</v>
      </c>
      <c r="E7" s="5">
        <v>1579</v>
      </c>
      <c r="F7" s="5">
        <v>655</v>
      </c>
      <c r="G7" s="5">
        <v>12186</v>
      </c>
      <c r="H7" s="5">
        <v>66857</v>
      </c>
      <c r="I7" s="7">
        <v>274100</v>
      </c>
      <c r="J7" s="7">
        <v>272000</v>
      </c>
      <c r="K7" s="5">
        <v>7076</v>
      </c>
      <c r="L7" s="5">
        <v>63371</v>
      </c>
      <c r="M7" s="7">
        <v>420300</v>
      </c>
      <c r="N7" s="7">
        <v>1445000</v>
      </c>
      <c r="O7" s="8">
        <f t="shared" si="5"/>
        <v>0.98108288004884026</v>
      </c>
      <c r="P7" s="8">
        <f t="shared" si="5"/>
        <v>1.219751474322829</v>
      </c>
      <c r="Q7" s="8">
        <f t="shared" si="0"/>
        <v>2.7329896426436484</v>
      </c>
      <c r="R7" s="8">
        <f t="shared" si="0"/>
        <v>7.0773134467569134</v>
      </c>
      <c r="S7" s="8">
        <f t="shared" si="6"/>
        <v>0.49419174839677416</v>
      </c>
      <c r="T7" s="8">
        <f t="shared" si="1"/>
        <v>0.94971315314323279</v>
      </c>
      <c r="U7" s="8">
        <f t="shared" si="1"/>
        <v>10.682978520012346</v>
      </c>
      <c r="V7" s="8">
        <f t="shared" si="1"/>
        <v>185.51698992675458</v>
      </c>
      <c r="W7" s="8">
        <f t="shared" si="7"/>
        <v>0.13096081332514514</v>
      </c>
      <c r="X7" s="8">
        <f t="shared" si="8"/>
        <v>0.20583117928049072</v>
      </c>
      <c r="Y7" s="8">
        <f t="shared" si="8"/>
        <v>2.0966018689947505</v>
      </c>
      <c r="Z7" s="8">
        <f t="shared" si="8"/>
        <v>32.387688814746248</v>
      </c>
      <c r="AA7" s="8">
        <f t="shared" si="9"/>
        <v>6823.4512566800377</v>
      </c>
      <c r="AB7" s="8">
        <f t="shared" si="9"/>
        <v>2056.2534810121024</v>
      </c>
      <c r="AC7" s="8">
        <f t="shared" si="2"/>
        <v>3310.5343511427109</v>
      </c>
      <c r="AD7" s="8">
        <f t="shared" si="2"/>
        <v>21213.936173658793</v>
      </c>
      <c r="AE7" s="8">
        <f t="shared" si="10"/>
        <v>0.20426941252285427</v>
      </c>
      <c r="AF7" s="8">
        <f t="shared" si="11"/>
        <v>6.1556780398074162E-2</v>
      </c>
      <c r="AG7" s="8">
        <f t="shared" si="12"/>
        <v>9.9105405989765416E-2</v>
      </c>
      <c r="AH7" s="8">
        <f t="shared" si="13"/>
        <v>0.63506840108930618</v>
      </c>
      <c r="AI7" s="8">
        <f>LN((AVERAGE(G23:G25))/G7)/1.19</f>
        <v>0.14352835522813281</v>
      </c>
      <c r="AJ7" s="8">
        <f>LN((AVERAGE(H23:H25))/H7)/1.19</f>
        <v>7.378017033121298E-2</v>
      </c>
      <c r="AK7" s="8">
        <f>LN((AVERAGE(I23:I25))/I7)/1.19</f>
        <v>9.1474357648677774E-3</v>
      </c>
      <c r="AL7" s="8">
        <f>LN((AVERAGE(J23:J25))/J7)/1.19</f>
        <v>1.0540797263051693E-2</v>
      </c>
      <c r="AM7" s="15">
        <f t="shared" si="14"/>
        <v>4.1460810144928507E-2</v>
      </c>
      <c r="AN7" s="5">
        <v>25</v>
      </c>
      <c r="AO7" s="50">
        <f t="shared" si="15"/>
        <v>1.055009389152767</v>
      </c>
      <c r="AP7" s="50">
        <f t="shared" si="16"/>
        <v>0.65215322388769925</v>
      </c>
      <c r="AQ7" s="50">
        <f>LN((AVERAGE(AO23:AO25))/AO7)/1.19</f>
        <v>-6.2717981160166289E-2</v>
      </c>
      <c r="AR7" s="50">
        <f>LN((AVERAGE(AP23:AP25))/AP7)/1.19</f>
        <v>-7.6598975910996736E-2</v>
      </c>
      <c r="AS7" s="8">
        <f t="shared" si="17"/>
        <v>0.3831441721418859</v>
      </c>
      <c r="AT7" s="8">
        <f t="shared" si="18"/>
        <v>0.6168558278581141</v>
      </c>
      <c r="AU7" s="50">
        <f t="shared" si="19"/>
        <v>-7.1280553668683938E-2</v>
      </c>
      <c r="AV7" s="46">
        <f t="shared" si="20"/>
        <v>66857</v>
      </c>
      <c r="AW7" s="46">
        <f t="shared" si="3"/>
        <v>274100</v>
      </c>
      <c r="AX7" s="48">
        <f>LN((AVERAGE(AV23:AV25))/AV7)/1.19</f>
        <v>7.378017033121298E-2</v>
      </c>
      <c r="AY7" s="48">
        <f>LN((AVERAGE(AW23:AW25))/AW7)/1.19</f>
        <v>9.1474357648677774E-3</v>
      </c>
      <c r="AZ7" s="48">
        <f t="shared" si="4"/>
        <v>3.3911091343556361E-2</v>
      </c>
    </row>
    <row r="8" spans="1:52" x14ac:dyDescent="0.2">
      <c r="A8" s="5" t="s">
        <v>272</v>
      </c>
      <c r="B8" s="5">
        <v>30</v>
      </c>
      <c r="C8" s="5">
        <v>51791</v>
      </c>
      <c r="D8" s="5">
        <v>10044</v>
      </c>
      <c r="E8" s="5">
        <v>1607</v>
      </c>
      <c r="F8" s="5">
        <v>771</v>
      </c>
      <c r="G8" s="5">
        <v>12291</v>
      </c>
      <c r="H8" s="5">
        <v>65717</v>
      </c>
      <c r="I8" s="7">
        <v>273900</v>
      </c>
      <c r="J8" s="7">
        <v>272800</v>
      </c>
      <c r="K8" s="5">
        <v>15764</v>
      </c>
      <c r="L8" s="5">
        <v>62820</v>
      </c>
      <c r="M8" s="7">
        <v>414100</v>
      </c>
      <c r="N8" s="7">
        <v>1498000</v>
      </c>
      <c r="O8" s="8">
        <f t="shared" si="5"/>
        <v>1.0179165730420441</v>
      </c>
      <c r="P8" s="8">
        <f t="shared" si="5"/>
        <v>1.2174154516663769</v>
      </c>
      <c r="Q8" s="8">
        <f t="shared" si="0"/>
        <v>2.7067040882516289</v>
      </c>
      <c r="R8" s="8">
        <f t="shared" si="0"/>
        <v>7.3020125407532079</v>
      </c>
      <c r="S8" s="8">
        <f t="shared" si="6"/>
        <v>0.5519693384837312</v>
      </c>
      <c r="T8" s="8">
        <f t="shared" si="1"/>
        <v>0.94426703076162455</v>
      </c>
      <c r="U8" s="8">
        <f t="shared" si="1"/>
        <v>10.377690979958148</v>
      </c>
      <c r="V8" s="8">
        <f t="shared" si="1"/>
        <v>203.75398958419939</v>
      </c>
      <c r="W8" s="8">
        <f t="shared" si="7"/>
        <v>0.14627187469818875</v>
      </c>
      <c r="X8" s="8">
        <f t="shared" si="8"/>
        <v>0.20469910254355475</v>
      </c>
      <c r="Y8" s="8">
        <f t="shared" si="8"/>
        <v>2.0391097644625948</v>
      </c>
      <c r="Z8" s="8">
        <f t="shared" si="8"/>
        <v>35.435027177458473</v>
      </c>
      <c r="AA8" s="8">
        <f t="shared" si="9"/>
        <v>7575.566662493894</v>
      </c>
      <c r="AB8" s="8">
        <f t="shared" si="9"/>
        <v>2055.9977859474639</v>
      </c>
      <c r="AC8" s="8">
        <f t="shared" si="2"/>
        <v>3276.8493914913897</v>
      </c>
      <c r="AD8" s="8">
        <f t="shared" si="2"/>
        <v>27320.405953820482</v>
      </c>
      <c r="AE8" s="8">
        <f t="shared" si="10"/>
        <v>0.18831192914265499</v>
      </c>
      <c r="AF8" s="8">
        <f t="shared" si="11"/>
        <v>5.1107583978059465E-2</v>
      </c>
      <c r="AG8" s="8">
        <f t="shared" si="12"/>
        <v>8.1455270333340046E-2</v>
      </c>
      <c r="AH8" s="8">
        <f t="shared" si="13"/>
        <v>0.6791252165459456</v>
      </c>
      <c r="AI8" s="8">
        <f>LN((AVERAGE(G26:G28))/G8)/1.19</f>
        <v>0.22404460797652015</v>
      </c>
      <c r="AJ8" s="8">
        <f>LN((AVERAGE(H26:H28))/H8)/1.19</f>
        <v>0.1090933936918568</v>
      </c>
      <c r="AK8" s="8">
        <f>LN((AVERAGE(I26:I28))/I8)/1.19</f>
        <v>1.0972989006266125E-2</v>
      </c>
      <c r="AL8" s="8">
        <f>LN((AVERAGE(J26:J28))/J8)/1.19</f>
        <v>1.0814235712502722E-2</v>
      </c>
      <c r="AM8" s="15">
        <f t="shared" si="14"/>
        <v>5.6003800077528934E-2</v>
      </c>
      <c r="AN8" s="5">
        <v>30</v>
      </c>
      <c r="AO8" s="50">
        <f t="shared" si="15"/>
        <v>1.0461158866602993</v>
      </c>
      <c r="AP8" s="50">
        <f t="shared" si="16"/>
        <v>0.66143443612653952</v>
      </c>
      <c r="AQ8" s="50">
        <f>LN((AVERAGE(AO26:AO28))/AO8)/1.19</f>
        <v>-4.8661551189486327E-2</v>
      </c>
      <c r="AR8" s="50">
        <f>LN((AVERAGE(AP26:AP28))/AP8)/1.19</f>
        <v>-3.5088765182174415E-2</v>
      </c>
      <c r="AS8" s="8">
        <f t="shared" si="17"/>
        <v>0.38553472798650024</v>
      </c>
      <c r="AT8" s="8">
        <f t="shared" si="18"/>
        <v>0.61446527201349976</v>
      </c>
      <c r="AU8" s="50">
        <f t="shared" si="19"/>
        <v>-4.0321545543522387E-2</v>
      </c>
      <c r="AV8" s="46">
        <f t="shared" si="20"/>
        <v>65717</v>
      </c>
      <c r="AW8" s="46">
        <f t="shared" si="3"/>
        <v>273900</v>
      </c>
      <c r="AX8" s="48">
        <f>LN((AVERAGE(AV26:AV28))/AV8)/1.19</f>
        <v>0.1090933936918568</v>
      </c>
      <c r="AY8" s="48">
        <f>LN((AVERAGE(AW26:AW28))/AW8)/1.19</f>
        <v>1.0972989006266125E-2</v>
      </c>
      <c r="AZ8" s="48">
        <f t="shared" si="4"/>
        <v>4.8801812536650648E-2</v>
      </c>
    </row>
    <row r="9" spans="1:52" x14ac:dyDescent="0.2">
      <c r="A9" s="5" t="s">
        <v>273</v>
      </c>
      <c r="B9" s="5">
        <v>35</v>
      </c>
      <c r="C9" s="5">
        <v>28748</v>
      </c>
      <c r="D9" s="5">
        <v>5375</v>
      </c>
      <c r="E9" s="5">
        <v>1019</v>
      </c>
      <c r="F9" s="5">
        <v>417</v>
      </c>
      <c r="G9" s="5">
        <v>14936</v>
      </c>
      <c r="H9" s="5">
        <v>73722</v>
      </c>
      <c r="I9" s="7">
        <v>273500</v>
      </c>
      <c r="J9" s="7">
        <v>274300</v>
      </c>
      <c r="K9" s="5">
        <v>10381</v>
      </c>
      <c r="L9" s="5">
        <v>70213</v>
      </c>
      <c r="M9" s="7">
        <v>374000</v>
      </c>
      <c r="N9" s="7">
        <v>1243000</v>
      </c>
      <c r="O9" s="8">
        <f t="shared" si="5"/>
        <v>0.99509477638200539</v>
      </c>
      <c r="P9" s="8">
        <f t="shared" si="5"/>
        <v>1.2487588554760864</v>
      </c>
      <c r="Q9" s="8">
        <f t="shared" si="0"/>
        <v>2.5366959058129233</v>
      </c>
      <c r="R9" s="8">
        <f t="shared" si="0"/>
        <v>6.220913126242734</v>
      </c>
      <c r="S9" s="8">
        <f t="shared" si="6"/>
        <v>0.51566984659974635</v>
      </c>
      <c r="T9" s="8">
        <f t="shared" si="1"/>
        <v>1.0190937561188445</v>
      </c>
      <c r="U9" s="8">
        <f t="shared" si="1"/>
        <v>8.5424731330852381</v>
      </c>
      <c r="V9" s="8">
        <f t="shared" si="1"/>
        <v>125.99137260364489</v>
      </c>
      <c r="W9" s="8">
        <f t="shared" si="7"/>
        <v>0.1366525093489328</v>
      </c>
      <c r="X9" s="8">
        <f t="shared" si="8"/>
        <v>0.22023044734239411</v>
      </c>
      <c r="Y9" s="8">
        <f t="shared" si="8"/>
        <v>1.6919545516846013</v>
      </c>
      <c r="Z9" s="8">
        <f t="shared" si="8"/>
        <v>22.347391338341982</v>
      </c>
      <c r="AA9" s="8">
        <f t="shared" si="9"/>
        <v>3928.4863387631203</v>
      </c>
      <c r="AB9" s="8">
        <f t="shared" si="9"/>
        <v>1183.7386544653684</v>
      </c>
      <c r="AC9" s="8">
        <f t="shared" si="2"/>
        <v>1724.1016881666087</v>
      </c>
      <c r="AD9" s="8">
        <f t="shared" si="2"/>
        <v>9318.8621880886058</v>
      </c>
      <c r="AE9" s="8">
        <f t="shared" si="10"/>
        <v>0.24317179888771359</v>
      </c>
      <c r="AF9" s="8">
        <f t="shared" si="11"/>
        <v>7.3272969076912997E-2</v>
      </c>
      <c r="AG9" s="8">
        <f t="shared" si="12"/>
        <v>0.10672123378410918</v>
      </c>
      <c r="AH9" s="8">
        <f t="shared" si="13"/>
        <v>0.57683399825126425</v>
      </c>
      <c r="AI9" s="8">
        <f>LN((AVERAGE(G29:G31))/G9)/1.19</f>
        <v>0.13505006781900458</v>
      </c>
      <c r="AJ9" s="8">
        <f>LN((AVERAGE(H29:H31))/H9)/1.19</f>
        <v>7.1811685261814542E-2</v>
      </c>
      <c r="AK9" s="8">
        <f>LN((AVERAGE(I29:I31))/I9)/1.19</f>
        <v>9.9774544015456407E-3</v>
      </c>
      <c r="AL9" s="8">
        <f>LN((AVERAGE(J29:J31))/J9)/1.19</f>
        <v>-1.3900381655379896E-2</v>
      </c>
      <c r="AM9" s="15">
        <f t="shared" si="14"/>
        <v>3.1148816841271333E-2</v>
      </c>
      <c r="AN9" s="5">
        <v>35</v>
      </c>
      <c r="AO9" s="50">
        <f t="shared" si="15"/>
        <v>1.049976500078333</v>
      </c>
      <c r="AP9" s="50">
        <f t="shared" si="16"/>
        <v>0.73128342245989308</v>
      </c>
      <c r="AQ9" s="50">
        <f>LN((AVERAGE(AO29:AO31))/AO9)/1.19</f>
        <v>-7.6149791813656708E-3</v>
      </c>
      <c r="AR9" s="50">
        <f>LN((AVERAGE(AP29:AP31))/AP9)/1.19</f>
        <v>-5.865307551305169E-2</v>
      </c>
      <c r="AS9" s="8">
        <f t="shared" si="17"/>
        <v>0.40708516114537757</v>
      </c>
      <c r="AT9" s="8">
        <f t="shared" si="18"/>
        <v>0.59291483885462237</v>
      </c>
      <c r="AU9" s="50">
        <f t="shared" si="19"/>
        <v>-3.7876223843313975E-2</v>
      </c>
      <c r="AV9" s="46">
        <f t="shared" si="20"/>
        <v>73722</v>
      </c>
      <c r="AW9" s="46">
        <f t="shared" si="3"/>
        <v>273500</v>
      </c>
      <c r="AX9" s="48">
        <f>LN((AVERAGE(AV29:AV31))/AV9)/1.19</f>
        <v>7.1811685261814542E-2</v>
      </c>
      <c r="AY9" s="48">
        <f>LN((AVERAGE(AW29:AW31))/AW9)/1.19</f>
        <v>9.9774544015456407E-3</v>
      </c>
      <c r="AZ9" s="48">
        <f t="shared" si="4"/>
        <v>3.5149252235598685E-2</v>
      </c>
    </row>
    <row r="10" spans="1:52" x14ac:dyDescent="0.2">
      <c r="A10" s="5" t="s">
        <v>274</v>
      </c>
      <c r="B10" s="5">
        <v>70</v>
      </c>
      <c r="C10" s="5">
        <v>10979</v>
      </c>
      <c r="D10" s="5">
        <v>1312</v>
      </c>
      <c r="E10" s="5">
        <v>209</v>
      </c>
      <c r="F10" s="5">
        <v>102</v>
      </c>
      <c r="G10" s="5">
        <v>12538</v>
      </c>
      <c r="H10" s="5">
        <v>65979</v>
      </c>
      <c r="I10" s="7">
        <v>278300</v>
      </c>
      <c r="J10" s="7">
        <v>258900</v>
      </c>
      <c r="K10" s="5">
        <v>13067</v>
      </c>
      <c r="L10" s="5">
        <v>67425</v>
      </c>
      <c r="M10" s="7">
        <v>408000</v>
      </c>
      <c r="N10" s="7">
        <v>1552000</v>
      </c>
      <c r="O10" s="8">
        <f t="shared" ref="O10:O11" si="21">(224333+K10)/235871</f>
        <v>1.0064823568815158</v>
      </c>
      <c r="P10" s="8">
        <f t="shared" ref="P10:P11" si="22">(224333+L10)/235871</f>
        <v>1.236938835210772</v>
      </c>
      <c r="Q10" s="8">
        <f t="shared" ref="Q10:Q11" si="23">(224333+M10)/235871</f>
        <v>2.6808424944143199</v>
      </c>
      <c r="R10" s="8">
        <f t="shared" ref="R10:R11" si="24">(224333+N10)/235871</f>
        <v>7.530951240296603</v>
      </c>
      <c r="S10" s="8">
        <f t="shared" ref="S10:S11" si="25">4/3*3.14*((O10/2)^3)</f>
        <v>0.53357674908325203</v>
      </c>
      <c r="T10" s="8">
        <f t="shared" ref="T10:T11" si="26">4/3*3.14*((P10/2)^3)</f>
        <v>0.99042837149976937</v>
      </c>
      <c r="U10" s="8">
        <f t="shared" ref="U10:U11" si="27">4/3*3.14*((Q10/2)^3)</f>
        <v>10.083058677241279</v>
      </c>
      <c r="V10" s="8">
        <f t="shared" ref="V10:V11" si="28">4/3*3.14*((R10/2)^3)</f>
        <v>223.52592713183927</v>
      </c>
      <c r="W10" s="8">
        <f t="shared" ref="W10:W11" si="29">(S10*265)/1000</f>
        <v>0.14139783850706178</v>
      </c>
      <c r="X10" s="8">
        <f t="shared" ref="X10:X11" si="30">(10^(-0.665+LOG(T10, 10)*0.959))</f>
        <v>0.21428626074057239</v>
      </c>
      <c r="Y10" s="8">
        <f t="shared" ref="Y10:Y11" si="31">(10^(-0.665+LOG(U10, 10)*0.959))</f>
        <v>1.9835584864905895</v>
      </c>
      <c r="Z10" s="8">
        <f t="shared" ref="Z10:Z11" si="32">(10^(-0.665+LOG(V10, 10)*0.959))</f>
        <v>38.726251431674982</v>
      </c>
      <c r="AA10" s="8">
        <f t="shared" ref="AA10:AA11" si="33">W10*C10</f>
        <v>1552.4068689690312</v>
      </c>
      <c r="AB10" s="8">
        <f t="shared" ref="AB10:AB11" si="34">X10*D10</f>
        <v>281.14357409163097</v>
      </c>
      <c r="AC10" s="8">
        <f t="shared" ref="AC10:AC11" si="35">Y10*E10</f>
        <v>414.56372367653319</v>
      </c>
      <c r="AD10" s="8">
        <f t="shared" ref="AD10:AD11" si="36">Z10*F10</f>
        <v>3950.077646030848</v>
      </c>
      <c r="AE10" s="8">
        <f t="shared" ref="AE10:AE11" si="37">AA10/(AA10+AB10+AC10+AD10)</f>
        <v>0.25046124996827801</v>
      </c>
      <c r="AF10" s="8">
        <f t="shared" ref="AF10:AF11" si="38">AB10/(AA10+AB10+AC10+AD10)</f>
        <v>4.5358966386371859E-2</v>
      </c>
      <c r="AG10" s="8">
        <f t="shared" ref="AG10:AG11" si="39">AC10/(AA10+AB10+AC10+AD10)</f>
        <v>6.688462316099146E-2</v>
      </c>
      <c r="AH10" s="8">
        <f t="shared" ref="AH10:AH11" si="40">AD10/(AA10+AB10+AC10+AD10)</f>
        <v>0.63729516048435864</v>
      </c>
      <c r="AI10" s="8"/>
      <c r="AN10" s="5">
        <v>70</v>
      </c>
      <c r="AO10" s="50">
        <f t="shared" si="15"/>
        <v>0.97855394883203561</v>
      </c>
      <c r="AP10" s="50">
        <f t="shared" si="16"/>
        <v>0.68210784313725492</v>
      </c>
      <c r="AQ10" s="51"/>
      <c r="AR10" s="51"/>
      <c r="AU10" s="51"/>
      <c r="AV10" s="46">
        <f t="shared" si="20"/>
        <v>65979</v>
      </c>
      <c r="AW10" s="46">
        <f t="shared" si="3"/>
        <v>278300</v>
      </c>
    </row>
    <row r="11" spans="1:52" x14ac:dyDescent="0.2">
      <c r="A11" s="5" t="s">
        <v>275</v>
      </c>
      <c r="B11" s="5">
        <v>100</v>
      </c>
      <c r="C11" s="5">
        <v>3904</v>
      </c>
      <c r="D11" s="5">
        <v>985</v>
      </c>
      <c r="E11" s="5">
        <v>248</v>
      </c>
      <c r="F11" s="5">
        <v>67</v>
      </c>
      <c r="G11" s="5">
        <v>20674</v>
      </c>
      <c r="H11" s="5">
        <v>74365</v>
      </c>
      <c r="I11" s="7">
        <v>281300</v>
      </c>
      <c r="J11" s="7">
        <v>255000</v>
      </c>
      <c r="K11" s="5">
        <v>26620</v>
      </c>
      <c r="L11" s="5">
        <v>83525</v>
      </c>
      <c r="M11" s="7">
        <v>353400</v>
      </c>
      <c r="N11" s="7">
        <v>1310000</v>
      </c>
      <c r="O11" s="8">
        <f t="shared" si="21"/>
        <v>1.0639417308613606</v>
      </c>
      <c r="P11" s="8">
        <f t="shared" si="22"/>
        <v>1.3051964845190804</v>
      </c>
      <c r="Q11" s="8">
        <f t="shared" si="23"/>
        <v>2.4493600315426654</v>
      </c>
      <c r="R11" s="8">
        <f t="shared" si="24"/>
        <v>6.5049666978984275</v>
      </c>
      <c r="S11" s="8">
        <f t="shared" si="25"/>
        <v>0.63027768067205125</v>
      </c>
      <c r="T11" s="8">
        <f t="shared" si="26"/>
        <v>1.1636063531877412</v>
      </c>
      <c r="U11" s="8">
        <f t="shared" si="27"/>
        <v>7.6901759771563141</v>
      </c>
      <c r="V11" s="8">
        <f t="shared" si="28"/>
        <v>144.05012195697054</v>
      </c>
      <c r="W11" s="8">
        <f t="shared" si="29"/>
        <v>0.16702358537809356</v>
      </c>
      <c r="X11" s="8">
        <f t="shared" si="30"/>
        <v>0.25009674207173271</v>
      </c>
      <c r="Y11" s="8">
        <f t="shared" si="31"/>
        <v>1.5297233314833918</v>
      </c>
      <c r="Z11" s="8">
        <f t="shared" si="32"/>
        <v>25.410579617653909</v>
      </c>
      <c r="AA11" s="8">
        <f t="shared" si="33"/>
        <v>652.06007731607724</v>
      </c>
      <c r="AB11" s="8">
        <f t="shared" si="34"/>
        <v>246.34529094065672</v>
      </c>
      <c r="AC11" s="8">
        <f t="shared" si="35"/>
        <v>379.37138620788119</v>
      </c>
      <c r="AD11" s="8">
        <f t="shared" si="36"/>
        <v>1702.508834382812</v>
      </c>
      <c r="AE11" s="8">
        <f t="shared" si="37"/>
        <v>0.21879113859294605</v>
      </c>
      <c r="AF11" s="8">
        <f t="shared" si="38"/>
        <v>8.2658283441865196E-2</v>
      </c>
      <c r="AG11" s="8">
        <f t="shared" si="39"/>
        <v>0.12729363508904407</v>
      </c>
      <c r="AH11" s="8">
        <f t="shared" si="40"/>
        <v>0.57125694287614481</v>
      </c>
      <c r="AI11" s="8"/>
      <c r="AN11" s="5">
        <v>100</v>
      </c>
      <c r="AO11" s="50">
        <f t="shared" si="15"/>
        <v>0.89033223585752763</v>
      </c>
      <c r="AP11" s="50">
        <f t="shared" si="16"/>
        <v>0.79598189020939447</v>
      </c>
      <c r="AQ11" s="51"/>
      <c r="AR11" s="51"/>
      <c r="AU11" s="51"/>
      <c r="AV11" s="46">
        <f t="shared" si="20"/>
        <v>74365</v>
      </c>
      <c r="AW11" s="46">
        <f t="shared" si="3"/>
        <v>281300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276</v>
      </c>
      <c r="B14" s="5">
        <v>5</v>
      </c>
      <c r="C14" s="5">
        <v>25331</v>
      </c>
      <c r="D14" s="5">
        <v>10660</v>
      </c>
      <c r="E14" s="5">
        <v>1229</v>
      </c>
      <c r="F14" s="5">
        <v>1003</v>
      </c>
      <c r="G14" s="5">
        <v>6540</v>
      </c>
      <c r="H14" s="5">
        <v>41672</v>
      </c>
      <c r="I14" s="7">
        <v>289400</v>
      </c>
      <c r="J14" s="7">
        <v>277800</v>
      </c>
      <c r="K14" s="5">
        <v>9981</v>
      </c>
      <c r="L14" s="5">
        <v>84652</v>
      </c>
      <c r="M14" s="7">
        <v>999500</v>
      </c>
      <c r="N14" s="7">
        <v>2108000</v>
      </c>
      <c r="O14" s="8">
        <f t="shared" ref="O14:R29" si="41">(224333+K14)/235871</f>
        <v>0.99339893416316549</v>
      </c>
      <c r="P14" s="8">
        <f t="shared" si="41"/>
        <v>1.3099745199706618</v>
      </c>
      <c r="Q14" s="8">
        <f t="shared" si="41"/>
        <v>5.1885691755239094</v>
      </c>
      <c r="R14" s="8">
        <f t="shared" si="41"/>
        <v>9.8881719244841459</v>
      </c>
      <c r="S14" s="8">
        <f t="shared" ref="S14:V29" si="42">4/3*3.14*((O14/2)^3)</f>
        <v>0.51303792073054566</v>
      </c>
      <c r="T14" s="8">
        <f t="shared" si="42"/>
        <v>1.1764323077449281</v>
      </c>
      <c r="U14" s="8">
        <f t="shared" si="42"/>
        <v>73.100648785207369</v>
      </c>
      <c r="V14" s="8">
        <f t="shared" si="42"/>
        <v>505.97193025242581</v>
      </c>
      <c r="W14" s="8">
        <f t="shared" ref="W14:W31" si="43">(S14*265)/1000</f>
        <v>0.13595504899359459</v>
      </c>
      <c r="X14" s="8">
        <f t="shared" ref="X14:Z29" si="44">(10^(-0.665+LOG(T14, 10)*0.959))</f>
        <v>0.25273983530191263</v>
      </c>
      <c r="Y14" s="8">
        <f t="shared" si="44"/>
        <v>13.258685250061946</v>
      </c>
      <c r="Z14" s="8">
        <f t="shared" si="44"/>
        <v>84.772939156248185</v>
      </c>
      <c r="AA14" s="8">
        <f t="shared" ref="AA14:AA19" si="45">W14*C14</f>
        <v>3443.8773460567445</v>
      </c>
      <c r="AB14" s="8">
        <f t="shared" ref="AB14:AB19" si="46">X14*D14</f>
        <v>2694.2066443183885</v>
      </c>
      <c r="AC14" s="8">
        <f t="shared" ref="AC14:AC19" si="47">Y14*E14</f>
        <v>16294.924172326131</v>
      </c>
      <c r="AD14" s="8">
        <f t="shared" ref="AD14:AD19" si="48">Z14*F14</f>
        <v>85027.257973716929</v>
      </c>
      <c r="AE14" s="8">
        <f t="shared" ref="AE14:AE19" si="49">AA14/(AA14+AB14+AC14+AD14)</f>
        <v>3.2047913799923278E-2</v>
      </c>
      <c r="AF14" s="8">
        <f t="shared" ref="AF14:AF19" si="50">AB14/(AA14+AB14+AC14+AD14)</f>
        <v>2.5071654307073452E-2</v>
      </c>
      <c r="AG14" s="8">
        <f t="shared" ref="AG14:AG19" si="51">AC14/(AA14+AB14+AC14+AD14)</f>
        <v>0.15163673754204296</v>
      </c>
      <c r="AH14" s="8">
        <f t="shared" ref="AH14:AH19" si="52">AD14/(AA14+AB14+AC14+AD14)</f>
        <v>0.79124369435096042</v>
      </c>
      <c r="AI14" s="8"/>
      <c r="AN14" s="5">
        <v>5</v>
      </c>
      <c r="AO14" s="8">
        <f t="shared" ref="AO14:AO31" si="53">H14/L14</f>
        <v>0.49227425223267024</v>
      </c>
      <c r="AP14" s="8">
        <f t="shared" ref="AP14:AP31" si="54">I14/M14</f>
        <v>0.28954477238619308</v>
      </c>
      <c r="AV14" s="5">
        <f t="shared" ref="AV14:AW29" si="55">H14</f>
        <v>41672</v>
      </c>
      <c r="AW14" s="5">
        <f t="shared" si="55"/>
        <v>289400</v>
      </c>
    </row>
    <row r="15" spans="1:52" x14ac:dyDescent="0.2">
      <c r="A15" s="5" t="s">
        <v>277</v>
      </c>
      <c r="B15" s="5">
        <v>5</v>
      </c>
      <c r="C15" s="5">
        <v>78781</v>
      </c>
      <c r="D15" s="5">
        <v>36041</v>
      </c>
      <c r="E15" s="5">
        <v>3660</v>
      </c>
      <c r="F15" s="5">
        <v>3014</v>
      </c>
      <c r="G15" s="5">
        <v>7446</v>
      </c>
      <c r="H15" s="5">
        <v>42140</v>
      </c>
      <c r="I15" s="7">
        <v>287700</v>
      </c>
      <c r="J15" s="7">
        <v>269800</v>
      </c>
      <c r="K15" s="5">
        <v>12031</v>
      </c>
      <c r="L15" s="5">
        <v>83672</v>
      </c>
      <c r="M15" s="7">
        <v>940900</v>
      </c>
      <c r="N15" s="7">
        <v>2016000</v>
      </c>
      <c r="O15" s="8">
        <f t="shared" si="41"/>
        <v>1.0020901255347203</v>
      </c>
      <c r="P15" s="8">
        <f t="shared" si="41"/>
        <v>1.3058197065345041</v>
      </c>
      <c r="Q15" s="8">
        <f t="shared" si="41"/>
        <v>4.9401282904638553</v>
      </c>
      <c r="R15" s="8">
        <f t="shared" si="41"/>
        <v>9.498128214150956</v>
      </c>
      <c r="S15" s="8">
        <f t="shared" si="42"/>
        <v>0.52662169394224623</v>
      </c>
      <c r="T15" s="8">
        <f t="shared" si="42"/>
        <v>1.1652739904309288</v>
      </c>
      <c r="U15" s="8">
        <f t="shared" si="42"/>
        <v>63.094729030503231</v>
      </c>
      <c r="V15" s="8">
        <f t="shared" si="42"/>
        <v>448.42775090274847</v>
      </c>
      <c r="W15" s="8">
        <f t="shared" si="43"/>
        <v>0.13955474889469524</v>
      </c>
      <c r="X15" s="8">
        <f t="shared" si="44"/>
        <v>0.25044046570201994</v>
      </c>
      <c r="Y15" s="8">
        <f t="shared" si="44"/>
        <v>11.513128801311652</v>
      </c>
      <c r="Z15" s="8">
        <f t="shared" si="44"/>
        <v>75.504544044618612</v>
      </c>
      <c r="AA15" s="8">
        <f t="shared" si="45"/>
        <v>10994.262672672985</v>
      </c>
      <c r="AB15" s="8">
        <f t="shared" si="46"/>
        <v>9026.1248243665013</v>
      </c>
      <c r="AC15" s="8">
        <f t="shared" si="47"/>
        <v>42138.051412800647</v>
      </c>
      <c r="AD15" s="8">
        <f t="shared" si="48"/>
        <v>227570.69575048049</v>
      </c>
      <c r="AE15" s="8">
        <f t="shared" si="49"/>
        <v>3.7946693505859171E-2</v>
      </c>
      <c r="AF15" s="8">
        <f t="shared" si="50"/>
        <v>3.1153666457978967E-2</v>
      </c>
      <c r="AG15" s="8">
        <f t="shared" si="51"/>
        <v>0.14543946870308172</v>
      </c>
      <c r="AH15" s="8">
        <f t="shared" si="52"/>
        <v>0.78546017133308021</v>
      </c>
      <c r="AI15" s="8"/>
      <c r="AN15" s="5">
        <v>5</v>
      </c>
      <c r="AO15" s="8">
        <f t="shared" si="53"/>
        <v>0.50363323453485032</v>
      </c>
      <c r="AP15" s="8">
        <f t="shared" si="54"/>
        <v>0.30577107025188649</v>
      </c>
      <c r="AV15" s="5">
        <f t="shared" si="55"/>
        <v>42140</v>
      </c>
      <c r="AW15" s="5">
        <f t="shared" si="55"/>
        <v>287700</v>
      </c>
    </row>
    <row r="16" spans="1:52" x14ac:dyDescent="0.2">
      <c r="A16" s="5" t="s">
        <v>278</v>
      </c>
      <c r="B16" s="5">
        <v>5</v>
      </c>
      <c r="C16" s="5">
        <v>95417</v>
      </c>
      <c r="D16" s="5">
        <v>29947</v>
      </c>
      <c r="E16" s="5">
        <v>3291</v>
      </c>
      <c r="F16" s="5">
        <v>2916</v>
      </c>
      <c r="G16" s="5">
        <v>4721</v>
      </c>
      <c r="H16" s="5">
        <v>39924</v>
      </c>
      <c r="I16" s="7">
        <v>289200</v>
      </c>
      <c r="J16" s="7">
        <v>265800</v>
      </c>
      <c r="K16" s="5">
        <v>5294</v>
      </c>
      <c r="L16" s="5">
        <v>77265</v>
      </c>
      <c r="M16" s="7">
        <v>966000</v>
      </c>
      <c r="N16" s="7">
        <v>1936000</v>
      </c>
      <c r="O16" s="8">
        <f t="shared" si="41"/>
        <v>0.97352790296390823</v>
      </c>
      <c r="P16" s="8">
        <f t="shared" si="41"/>
        <v>1.2786565537942349</v>
      </c>
      <c r="Q16" s="8">
        <f t="shared" si="41"/>
        <v>5.0465423896960626</v>
      </c>
      <c r="R16" s="8">
        <f t="shared" si="41"/>
        <v>9.1589597703829639</v>
      </c>
      <c r="S16" s="8">
        <f t="shared" si="42"/>
        <v>0.48286264459786571</v>
      </c>
      <c r="T16" s="8">
        <f t="shared" si="42"/>
        <v>1.0940574418659508</v>
      </c>
      <c r="U16" s="8">
        <f t="shared" si="42"/>
        <v>67.260512847826931</v>
      </c>
      <c r="V16" s="8">
        <f t="shared" si="42"/>
        <v>402.08405582277584</v>
      </c>
      <c r="W16" s="8">
        <f t="shared" si="43"/>
        <v>0.12795860081843441</v>
      </c>
      <c r="X16" s="8">
        <f t="shared" si="44"/>
        <v>0.23574336560745279</v>
      </c>
      <c r="Y16" s="8">
        <f t="shared" si="44"/>
        <v>12.241144011659859</v>
      </c>
      <c r="Z16" s="8">
        <f t="shared" si="44"/>
        <v>68.004845936741887</v>
      </c>
      <c r="AA16" s="8">
        <f t="shared" si="45"/>
        <v>12209.425814292556</v>
      </c>
      <c r="AB16" s="8">
        <f t="shared" si="46"/>
        <v>7059.8065698463888</v>
      </c>
      <c r="AC16" s="8">
        <f t="shared" si="47"/>
        <v>40285.6049423726</v>
      </c>
      <c r="AD16" s="8">
        <f t="shared" si="48"/>
        <v>198302.13075153934</v>
      </c>
      <c r="AE16" s="8">
        <f t="shared" si="49"/>
        <v>4.7349605889249725E-2</v>
      </c>
      <c r="AF16" s="8">
        <f t="shared" si="50"/>
        <v>2.7378769798105482E-2</v>
      </c>
      <c r="AG16" s="8">
        <f t="shared" si="51"/>
        <v>0.15623236883084163</v>
      </c>
      <c r="AH16" s="8">
        <f t="shared" si="52"/>
        <v>0.76903925548180319</v>
      </c>
      <c r="AI16" s="8"/>
      <c r="AN16" s="5">
        <v>5</v>
      </c>
      <c r="AO16" s="8">
        <f t="shared" si="53"/>
        <v>0.51671520093185785</v>
      </c>
      <c r="AP16" s="8">
        <f t="shared" si="54"/>
        <v>0.29937888198757762</v>
      </c>
      <c r="AV16" s="5">
        <f t="shared" si="55"/>
        <v>39924</v>
      </c>
      <c r="AW16" s="5">
        <f t="shared" si="55"/>
        <v>289200</v>
      </c>
    </row>
    <row r="17" spans="1:49" x14ac:dyDescent="0.2">
      <c r="A17" s="5" t="s">
        <v>279</v>
      </c>
      <c r="B17" s="5">
        <v>12</v>
      </c>
      <c r="C17" s="5">
        <v>31850</v>
      </c>
      <c r="D17" s="5">
        <v>10120</v>
      </c>
      <c r="E17" s="5">
        <v>1072</v>
      </c>
      <c r="F17" s="5">
        <v>771</v>
      </c>
      <c r="G17" s="5">
        <v>8387</v>
      </c>
      <c r="H17" s="5">
        <v>47839</v>
      </c>
      <c r="I17" s="7">
        <v>286200</v>
      </c>
      <c r="J17" s="7">
        <v>273600</v>
      </c>
      <c r="K17" s="5">
        <v>9868</v>
      </c>
      <c r="L17" s="5">
        <v>74479</v>
      </c>
      <c r="M17" s="7">
        <v>850400</v>
      </c>
      <c r="N17" s="7">
        <v>1799000</v>
      </c>
      <c r="O17" s="8">
        <f t="shared" si="41"/>
        <v>0.99291985873634314</v>
      </c>
      <c r="P17" s="8">
        <f t="shared" si="41"/>
        <v>1.2668450127400146</v>
      </c>
      <c r="Q17" s="8">
        <f t="shared" si="41"/>
        <v>4.5564439884513144</v>
      </c>
      <c r="R17" s="8">
        <f t="shared" si="41"/>
        <v>8.5781338104302769</v>
      </c>
      <c r="S17" s="8">
        <f t="shared" si="42"/>
        <v>0.51229602739842928</v>
      </c>
      <c r="T17" s="8">
        <f t="shared" si="42"/>
        <v>1.0640177081143753</v>
      </c>
      <c r="U17" s="8">
        <f t="shared" si="42"/>
        <v>49.505848163783341</v>
      </c>
      <c r="V17" s="8">
        <f t="shared" si="42"/>
        <v>330.33671620235606</v>
      </c>
      <c r="W17" s="8">
        <f t="shared" si="43"/>
        <v>0.13575844726058375</v>
      </c>
      <c r="X17" s="8">
        <f t="shared" si="44"/>
        <v>0.22953237624257089</v>
      </c>
      <c r="Y17" s="8">
        <f t="shared" si="44"/>
        <v>9.1237964727982312</v>
      </c>
      <c r="Z17" s="8">
        <f t="shared" si="44"/>
        <v>56.322200789290626</v>
      </c>
      <c r="AA17" s="8">
        <f t="shared" si="45"/>
        <v>4323.9065452495925</v>
      </c>
      <c r="AB17" s="8">
        <f t="shared" si="46"/>
        <v>2322.8676475748175</v>
      </c>
      <c r="AC17" s="8">
        <f t="shared" si="47"/>
        <v>9780.7098188397031</v>
      </c>
      <c r="AD17" s="8">
        <f t="shared" si="48"/>
        <v>43424.416808543072</v>
      </c>
      <c r="AE17" s="8">
        <f t="shared" si="49"/>
        <v>7.224342896374239E-2</v>
      </c>
      <c r="AF17" s="8">
        <f t="shared" si="50"/>
        <v>3.8810256913186812E-2</v>
      </c>
      <c r="AG17" s="8">
        <f t="shared" si="51"/>
        <v>0.16341519124380996</v>
      </c>
      <c r="AH17" s="8">
        <f t="shared" si="52"/>
        <v>0.7255311228792608</v>
      </c>
      <c r="AI17" s="8"/>
      <c r="AN17" s="5">
        <v>12</v>
      </c>
      <c r="AO17" s="8">
        <f t="shared" si="53"/>
        <v>0.64231528350273226</v>
      </c>
      <c r="AP17" s="8">
        <f t="shared" si="54"/>
        <v>0.33654750705550329</v>
      </c>
      <c r="AV17" s="5">
        <f t="shared" si="55"/>
        <v>47839</v>
      </c>
      <c r="AW17" s="5">
        <f t="shared" si="55"/>
        <v>286200</v>
      </c>
    </row>
    <row r="18" spans="1:49" x14ac:dyDescent="0.2">
      <c r="A18" s="5" t="s">
        <v>280</v>
      </c>
      <c r="B18" s="5">
        <v>12</v>
      </c>
      <c r="C18" s="5">
        <v>92346</v>
      </c>
      <c r="D18" s="5">
        <v>28809</v>
      </c>
      <c r="E18" s="5">
        <v>2963</v>
      </c>
      <c r="F18" s="5">
        <v>2139</v>
      </c>
      <c r="G18" s="5">
        <v>9008</v>
      </c>
      <c r="H18" s="5">
        <v>48612</v>
      </c>
      <c r="I18" s="7">
        <v>286500</v>
      </c>
      <c r="J18" s="7">
        <v>264600</v>
      </c>
      <c r="K18" s="5">
        <v>8442</v>
      </c>
      <c r="L18" s="5">
        <v>74984</v>
      </c>
      <c r="M18" s="7">
        <v>839400</v>
      </c>
      <c r="N18" s="7">
        <v>1661000</v>
      </c>
      <c r="O18" s="8">
        <f t="shared" si="41"/>
        <v>0.98687418122617876</v>
      </c>
      <c r="P18" s="8">
        <f t="shared" si="41"/>
        <v>1.2689860135413</v>
      </c>
      <c r="Q18" s="8">
        <f t="shared" si="41"/>
        <v>4.5098083274332152</v>
      </c>
      <c r="R18" s="8">
        <f t="shared" si="41"/>
        <v>7.993068244930492</v>
      </c>
      <c r="S18" s="8">
        <f t="shared" si="42"/>
        <v>0.50299510516348389</v>
      </c>
      <c r="T18" s="8">
        <f t="shared" si="42"/>
        <v>1.0694214826009791</v>
      </c>
      <c r="U18" s="8">
        <f t="shared" si="42"/>
        <v>48.00126141995726</v>
      </c>
      <c r="V18" s="8">
        <f t="shared" si="42"/>
        <v>267.25076724128621</v>
      </c>
      <c r="W18" s="8">
        <f t="shared" si="43"/>
        <v>0.13329370286832323</v>
      </c>
      <c r="X18" s="8">
        <f t="shared" si="44"/>
        <v>0.23065018055894171</v>
      </c>
      <c r="Y18" s="8">
        <f t="shared" si="44"/>
        <v>8.8577066182171311</v>
      </c>
      <c r="Z18" s="8">
        <f t="shared" si="44"/>
        <v>45.963731951952028</v>
      </c>
      <c r="AA18" s="8">
        <f t="shared" si="45"/>
        <v>12309.140285078178</v>
      </c>
      <c r="AB18" s="8">
        <f t="shared" si="46"/>
        <v>6644.8010517225521</v>
      </c>
      <c r="AC18" s="8">
        <f t="shared" si="47"/>
        <v>26245.384709777358</v>
      </c>
      <c r="AD18" s="8">
        <f t="shared" si="48"/>
        <v>98316.422645225393</v>
      </c>
      <c r="AE18" s="8">
        <f t="shared" si="49"/>
        <v>8.57685682392373E-2</v>
      </c>
      <c r="AF18" s="8">
        <f t="shared" si="50"/>
        <v>4.6300152507945995E-2</v>
      </c>
      <c r="AG18" s="8">
        <f t="shared" si="51"/>
        <v>0.18287459703212552</v>
      </c>
      <c r="AH18" s="8">
        <f t="shared" si="52"/>
        <v>0.68505668222069116</v>
      </c>
      <c r="AI18" s="8"/>
      <c r="AN18" s="5">
        <v>12</v>
      </c>
      <c r="AO18" s="8">
        <f t="shared" si="53"/>
        <v>0.64829830363810947</v>
      </c>
      <c r="AP18" s="8">
        <f t="shared" si="54"/>
        <v>0.34131522516082918</v>
      </c>
      <c r="AV18" s="5">
        <f t="shared" si="55"/>
        <v>48612</v>
      </c>
      <c r="AW18" s="5">
        <f t="shared" si="55"/>
        <v>286500</v>
      </c>
    </row>
    <row r="19" spans="1:49" x14ac:dyDescent="0.2">
      <c r="A19" s="5" t="s">
        <v>281</v>
      </c>
      <c r="B19" s="5">
        <v>12</v>
      </c>
      <c r="C19" s="7">
        <v>112200</v>
      </c>
      <c r="D19" s="5">
        <v>25564</v>
      </c>
      <c r="E19" s="5">
        <v>2763</v>
      </c>
      <c r="F19" s="5">
        <v>1961</v>
      </c>
      <c r="G19" s="5">
        <v>6184</v>
      </c>
      <c r="H19" s="5">
        <v>46598</v>
      </c>
      <c r="I19" s="7">
        <v>285000</v>
      </c>
      <c r="J19" s="7">
        <v>254200</v>
      </c>
      <c r="K19" s="5">
        <v>4636</v>
      </c>
      <c r="L19" s="5">
        <v>71390</v>
      </c>
      <c r="M19" s="7">
        <v>783800</v>
      </c>
      <c r="N19" s="7">
        <v>1519000</v>
      </c>
      <c r="O19" s="8">
        <f t="shared" si="41"/>
        <v>0.97073824251391649</v>
      </c>
      <c r="P19" s="8">
        <f t="shared" si="41"/>
        <v>1.2537488712050231</v>
      </c>
      <c r="Q19" s="8">
        <f t="shared" si="41"/>
        <v>4.274086259014461</v>
      </c>
      <c r="R19" s="8">
        <f t="shared" si="41"/>
        <v>7.3910442572423065</v>
      </c>
      <c r="S19" s="8">
        <f t="shared" si="42"/>
        <v>0.4787235749661633</v>
      </c>
      <c r="T19" s="8">
        <f t="shared" si="42"/>
        <v>1.0313594749585306</v>
      </c>
      <c r="U19" s="8">
        <f t="shared" si="42"/>
        <v>40.860929910112247</v>
      </c>
      <c r="V19" s="8">
        <f t="shared" si="42"/>
        <v>211.29820425300616</v>
      </c>
      <c r="W19" s="8">
        <f t="shared" si="43"/>
        <v>0.12686174736603328</v>
      </c>
      <c r="X19" s="8">
        <f t="shared" si="44"/>
        <v>0.22277181856782083</v>
      </c>
      <c r="Y19" s="8">
        <f t="shared" si="44"/>
        <v>7.5900494951395601</v>
      </c>
      <c r="Z19" s="8">
        <f t="shared" si="44"/>
        <v>36.692312032466589</v>
      </c>
      <c r="AA19" s="8">
        <f t="shared" si="45"/>
        <v>14233.888054468935</v>
      </c>
      <c r="AB19" s="8">
        <f t="shared" si="46"/>
        <v>5694.938769867772</v>
      </c>
      <c r="AC19" s="8">
        <f t="shared" si="47"/>
        <v>20971.306755070604</v>
      </c>
      <c r="AD19" s="8">
        <f t="shared" si="48"/>
        <v>71953.623895666984</v>
      </c>
      <c r="AE19" s="8">
        <f t="shared" si="49"/>
        <v>0.12612684214446945</v>
      </c>
      <c r="AF19" s="8">
        <f t="shared" si="50"/>
        <v>5.0462996512327891E-2</v>
      </c>
      <c r="AG19" s="8">
        <f t="shared" si="51"/>
        <v>0.18582727969604804</v>
      </c>
      <c r="AH19" s="8">
        <f t="shared" si="52"/>
        <v>0.6375828816471546</v>
      </c>
      <c r="AI19" s="8"/>
      <c r="AN19" s="5">
        <v>12</v>
      </c>
      <c r="AO19" s="8">
        <f t="shared" si="53"/>
        <v>0.65272447121445576</v>
      </c>
      <c r="AP19" s="8">
        <f t="shared" si="54"/>
        <v>0.36361316662413878</v>
      </c>
      <c r="AV19" s="5">
        <f t="shared" si="55"/>
        <v>46598</v>
      </c>
      <c r="AW19" s="5">
        <f t="shared" si="55"/>
        <v>285000</v>
      </c>
    </row>
    <row r="20" spans="1:49" x14ac:dyDescent="0.2">
      <c r="A20" s="5" t="s">
        <v>282</v>
      </c>
      <c r="B20" s="5">
        <v>20</v>
      </c>
      <c r="C20" s="5">
        <v>29699</v>
      </c>
      <c r="D20" s="5">
        <v>6684</v>
      </c>
      <c r="E20" s="5">
        <v>825</v>
      </c>
      <c r="F20" s="5">
        <v>326</v>
      </c>
      <c r="G20" s="5">
        <v>11146</v>
      </c>
      <c r="H20" s="5">
        <v>62119</v>
      </c>
      <c r="I20" s="7">
        <v>279100</v>
      </c>
      <c r="J20" s="7">
        <v>271200</v>
      </c>
      <c r="K20" s="5">
        <v>5521</v>
      </c>
      <c r="L20" s="5">
        <v>69112</v>
      </c>
      <c r="M20" s="7">
        <v>556900</v>
      </c>
      <c r="N20" s="7">
        <v>1491000</v>
      </c>
      <c r="O20" s="8">
        <f t="shared" si="41"/>
        <v>0.9744902934230999</v>
      </c>
      <c r="P20" s="8">
        <f t="shared" si="41"/>
        <v>1.2440910497687294</v>
      </c>
      <c r="Q20" s="8">
        <f t="shared" si="41"/>
        <v>3.3121197603774943</v>
      </c>
      <c r="R20" s="8">
        <f t="shared" si="41"/>
        <v>7.2723353019235093</v>
      </c>
      <c r="S20" s="8">
        <f t="shared" si="42"/>
        <v>0.48429607636174021</v>
      </c>
      <c r="T20" s="8">
        <f t="shared" si="42"/>
        <v>1.0077084372062064</v>
      </c>
      <c r="U20" s="8">
        <f t="shared" si="42"/>
        <v>19.015007140561796</v>
      </c>
      <c r="V20" s="8">
        <f t="shared" si="42"/>
        <v>201.27974849932568</v>
      </c>
      <c r="W20" s="8">
        <f t="shared" si="43"/>
        <v>0.12833846023586115</v>
      </c>
      <c r="X20" s="8">
        <f t="shared" si="44"/>
        <v>0.21787036655981698</v>
      </c>
      <c r="Y20" s="8">
        <f t="shared" si="44"/>
        <v>3.6446307634653556</v>
      </c>
      <c r="Z20" s="8">
        <f t="shared" si="44"/>
        <v>35.022268865970446</v>
      </c>
      <c r="AA20" s="8">
        <f t="shared" ref="AA20:AA31" si="56">W20*C20</f>
        <v>3811.5239305448404</v>
      </c>
      <c r="AB20" s="8">
        <f t="shared" ref="AB20:AB31" si="57">X20*D20</f>
        <v>1456.2455300858167</v>
      </c>
      <c r="AC20" s="8">
        <f t="shared" ref="AC20:AC31" si="58">Y20*E20</f>
        <v>3006.8203798589184</v>
      </c>
      <c r="AD20" s="8">
        <f t="shared" ref="AD20:AD31" si="59">Z20*F20</f>
        <v>11417.259650306365</v>
      </c>
      <c r="AE20" s="8">
        <f t="shared" ref="AE20:AE31" si="60">AA20/(AA20+AB20+AC20+AD20)</f>
        <v>0.19355845332488267</v>
      </c>
      <c r="AF20" s="8">
        <f t="shared" ref="AF20:AF31" si="61">AB20/(AA20+AB20+AC20+AD20)</f>
        <v>7.3951689035937046E-2</v>
      </c>
      <c r="AG20" s="8">
        <f t="shared" ref="AG20:AG31" si="62">AC20/(AA20+AB20+AC20+AD20)</f>
        <v>0.15269365029751625</v>
      </c>
      <c r="AH20" s="8">
        <f t="shared" ref="AH20:AH31" si="63">AD20/(AA20+AB20+AC20+AD20)</f>
        <v>0.57979620734166415</v>
      </c>
      <c r="AN20" s="5">
        <v>20</v>
      </c>
      <c r="AO20" s="8">
        <f t="shared" si="53"/>
        <v>0.89881641393679823</v>
      </c>
      <c r="AP20" s="8">
        <f t="shared" si="54"/>
        <v>0.5011671754354462</v>
      </c>
      <c r="AV20" s="5">
        <f t="shared" si="55"/>
        <v>62119</v>
      </c>
      <c r="AW20" s="5">
        <f t="shared" si="55"/>
        <v>279100</v>
      </c>
    </row>
    <row r="21" spans="1:49" x14ac:dyDescent="0.2">
      <c r="A21" s="5" t="s">
        <v>283</v>
      </c>
      <c r="B21" s="5">
        <v>20</v>
      </c>
      <c r="C21" s="5">
        <v>72357</v>
      </c>
      <c r="D21" s="5">
        <v>17604</v>
      </c>
      <c r="E21" s="5">
        <v>2539</v>
      </c>
      <c r="F21" s="5">
        <v>1148</v>
      </c>
      <c r="G21" s="5">
        <v>12888</v>
      </c>
      <c r="H21" s="5">
        <v>63165</v>
      </c>
      <c r="I21" s="7">
        <v>279100</v>
      </c>
      <c r="J21" s="7">
        <v>267200</v>
      </c>
      <c r="K21" s="5">
        <v>6394</v>
      </c>
      <c r="L21" s="5">
        <v>67216</v>
      </c>
      <c r="M21" s="7">
        <v>540100</v>
      </c>
      <c r="N21" s="7">
        <v>1343000</v>
      </c>
      <c r="O21" s="8">
        <f t="shared" si="41"/>
        <v>0.97819146906571808</v>
      </c>
      <c r="P21" s="8">
        <f t="shared" si="41"/>
        <v>1.2360527576514282</v>
      </c>
      <c r="Q21" s="8">
        <f t="shared" si="41"/>
        <v>3.2408943871862164</v>
      </c>
      <c r="R21" s="8">
        <f t="shared" si="41"/>
        <v>6.644873680952724</v>
      </c>
      <c r="S21" s="8">
        <f t="shared" si="42"/>
        <v>0.48983522241788729</v>
      </c>
      <c r="T21" s="8">
        <f t="shared" si="42"/>
        <v>0.98830142435655977</v>
      </c>
      <c r="U21" s="8">
        <f t="shared" si="42"/>
        <v>17.814475232164256</v>
      </c>
      <c r="V21" s="8">
        <f t="shared" si="42"/>
        <v>153.54602784241263</v>
      </c>
      <c r="W21" s="8">
        <f t="shared" si="43"/>
        <v>0.12980633394074012</v>
      </c>
      <c r="X21" s="8">
        <f t="shared" si="44"/>
        <v>0.2138449284627465</v>
      </c>
      <c r="Y21" s="8">
        <f t="shared" si="44"/>
        <v>3.4236656009641391</v>
      </c>
      <c r="Z21" s="8">
        <f t="shared" si="44"/>
        <v>27.014865144331274</v>
      </c>
      <c r="AA21" s="8">
        <f t="shared" si="56"/>
        <v>9392.396904950132</v>
      </c>
      <c r="AB21" s="8">
        <f t="shared" si="57"/>
        <v>3764.5261206581895</v>
      </c>
      <c r="AC21" s="8">
        <f t="shared" si="58"/>
        <v>8692.6869608479483</v>
      </c>
      <c r="AD21" s="8">
        <f t="shared" si="59"/>
        <v>31013.065185692303</v>
      </c>
      <c r="AE21" s="8">
        <f t="shared" si="60"/>
        <v>0.17767539902896637</v>
      </c>
      <c r="AF21" s="8">
        <f t="shared" si="61"/>
        <v>7.1213310873861749E-2</v>
      </c>
      <c r="AG21" s="8">
        <f t="shared" si="62"/>
        <v>0.16443902871998065</v>
      </c>
      <c r="AH21" s="8">
        <f t="shared" si="63"/>
        <v>0.5866722613771912</v>
      </c>
      <c r="AN21" s="5">
        <v>20</v>
      </c>
      <c r="AO21" s="8">
        <f t="shared" si="53"/>
        <v>0.93973161152106643</v>
      </c>
      <c r="AP21" s="8">
        <f t="shared" si="54"/>
        <v>0.51675615626735794</v>
      </c>
      <c r="AV21" s="5">
        <f t="shared" si="55"/>
        <v>63165</v>
      </c>
      <c r="AW21" s="5">
        <f t="shared" si="55"/>
        <v>279100</v>
      </c>
    </row>
    <row r="22" spans="1:49" x14ac:dyDescent="0.2">
      <c r="A22" s="5" t="s">
        <v>284</v>
      </c>
      <c r="B22" s="5">
        <v>20</v>
      </c>
      <c r="C22" s="5">
        <v>76581</v>
      </c>
      <c r="D22" s="5">
        <v>16375</v>
      </c>
      <c r="E22" s="5">
        <v>2417</v>
      </c>
      <c r="F22" s="5">
        <v>1190</v>
      </c>
      <c r="G22" s="5">
        <v>10829</v>
      </c>
      <c r="H22" s="5">
        <v>60370</v>
      </c>
      <c r="I22" s="7">
        <v>278600</v>
      </c>
      <c r="J22" s="7">
        <v>267200</v>
      </c>
      <c r="K22" s="5">
        <v>4774</v>
      </c>
      <c r="L22" s="5">
        <v>67084</v>
      </c>
      <c r="M22" s="7">
        <v>528300</v>
      </c>
      <c r="N22" s="7">
        <v>1320000</v>
      </c>
      <c r="O22" s="8">
        <f t="shared" si="41"/>
        <v>0.97132330807941625</v>
      </c>
      <c r="P22" s="8">
        <f t="shared" si="41"/>
        <v>1.2354931297192109</v>
      </c>
      <c r="Q22" s="8">
        <f t="shared" si="41"/>
        <v>3.1908670417304372</v>
      </c>
      <c r="R22" s="8">
        <f t="shared" si="41"/>
        <v>6.5473627533694261</v>
      </c>
      <c r="S22" s="8">
        <f t="shared" si="42"/>
        <v>0.47958967926158752</v>
      </c>
      <c r="T22" s="8">
        <f t="shared" si="42"/>
        <v>0.98695965951560649</v>
      </c>
      <c r="U22" s="8">
        <f t="shared" si="42"/>
        <v>17.002176580985246</v>
      </c>
      <c r="V22" s="8">
        <f t="shared" si="42"/>
        <v>146.88505427269234</v>
      </c>
      <c r="W22" s="8">
        <f t="shared" si="43"/>
        <v>0.12709126500432069</v>
      </c>
      <c r="X22" s="8">
        <f t="shared" si="44"/>
        <v>0.2135664980692088</v>
      </c>
      <c r="Y22" s="8">
        <f t="shared" si="44"/>
        <v>3.273812758990883</v>
      </c>
      <c r="Z22" s="8">
        <f t="shared" si="44"/>
        <v>25.889968744298493</v>
      </c>
      <c r="AA22" s="8">
        <f t="shared" si="56"/>
        <v>9732.7761652958834</v>
      </c>
      <c r="AB22" s="8">
        <f t="shared" si="57"/>
        <v>3497.151405883294</v>
      </c>
      <c r="AC22" s="8">
        <f t="shared" si="58"/>
        <v>7912.8054384809639</v>
      </c>
      <c r="AD22" s="8">
        <f t="shared" si="59"/>
        <v>30809.062805715206</v>
      </c>
      <c r="AE22" s="8">
        <f t="shared" si="60"/>
        <v>0.18734243951612214</v>
      </c>
      <c r="AF22" s="8">
        <f t="shared" si="61"/>
        <v>6.7315313185926429E-2</v>
      </c>
      <c r="AG22" s="8">
        <f t="shared" si="62"/>
        <v>0.15231052775540699</v>
      </c>
      <c r="AH22" s="8">
        <f t="shared" si="63"/>
        <v>0.59303171954254441</v>
      </c>
      <c r="AN22" s="5">
        <v>20</v>
      </c>
      <c r="AO22" s="8">
        <f t="shared" si="53"/>
        <v>0.89991652256871979</v>
      </c>
      <c r="AP22" s="8">
        <f t="shared" si="54"/>
        <v>0.52735188339958361</v>
      </c>
      <c r="AV22" s="5">
        <f t="shared" si="55"/>
        <v>60370</v>
      </c>
      <c r="AW22" s="5">
        <f t="shared" si="55"/>
        <v>278600</v>
      </c>
    </row>
    <row r="23" spans="1:49" x14ac:dyDescent="0.2">
      <c r="A23" s="5" t="s">
        <v>285</v>
      </c>
      <c r="B23" s="5">
        <v>25</v>
      </c>
      <c r="C23" s="5">
        <v>17819</v>
      </c>
      <c r="D23" s="5">
        <v>3364</v>
      </c>
      <c r="E23" s="5">
        <v>551</v>
      </c>
      <c r="F23" s="5">
        <v>209</v>
      </c>
      <c r="G23" s="5">
        <v>13845</v>
      </c>
      <c r="H23" s="5">
        <v>73133</v>
      </c>
      <c r="I23" s="7">
        <v>275400</v>
      </c>
      <c r="J23" s="7">
        <v>272400</v>
      </c>
      <c r="K23" s="5">
        <v>6098</v>
      </c>
      <c r="L23" s="5">
        <v>75626</v>
      </c>
      <c r="M23" s="7">
        <v>474000</v>
      </c>
      <c r="N23" s="7">
        <v>1434000</v>
      </c>
      <c r="O23" s="8">
        <f t="shared" si="41"/>
        <v>0.97693654582377654</v>
      </c>
      <c r="P23" s="8">
        <f t="shared" si="41"/>
        <v>1.2717078403025384</v>
      </c>
      <c r="Q23" s="8">
        <f t="shared" si="41"/>
        <v>2.9606564605229129</v>
      </c>
      <c r="R23" s="8">
        <f t="shared" si="41"/>
        <v>7.0306777857388152</v>
      </c>
      <c r="S23" s="8">
        <f t="shared" si="42"/>
        <v>0.48795240901597653</v>
      </c>
      <c r="T23" s="8">
        <f t="shared" si="42"/>
        <v>1.0763176053148469</v>
      </c>
      <c r="U23" s="8">
        <f t="shared" si="42"/>
        <v>13.581334591373583</v>
      </c>
      <c r="V23" s="8">
        <f t="shared" si="42"/>
        <v>181.87373348038284</v>
      </c>
      <c r="W23" s="8">
        <f t="shared" si="43"/>
        <v>0.12930738838923378</v>
      </c>
      <c r="X23" s="8">
        <f t="shared" si="44"/>
        <v>0.23207635022992482</v>
      </c>
      <c r="Y23" s="8">
        <f t="shared" si="44"/>
        <v>2.6393185387293148</v>
      </c>
      <c r="Z23" s="8">
        <f t="shared" si="44"/>
        <v>31.777476978767602</v>
      </c>
      <c r="AA23" s="8">
        <f t="shared" si="56"/>
        <v>2304.1283537077566</v>
      </c>
      <c r="AB23" s="8">
        <f t="shared" si="57"/>
        <v>780.70484217346711</v>
      </c>
      <c r="AC23" s="8">
        <f t="shared" si="58"/>
        <v>1454.2645148398524</v>
      </c>
      <c r="AD23" s="8">
        <f t="shared" si="59"/>
        <v>6641.4926885624291</v>
      </c>
      <c r="AE23" s="8">
        <f t="shared" si="60"/>
        <v>0.20608288752402681</v>
      </c>
      <c r="AF23" s="8">
        <f t="shared" si="61"/>
        <v>6.9826799327475375E-2</v>
      </c>
      <c r="AG23" s="8">
        <f t="shared" si="62"/>
        <v>0.1300704580800176</v>
      </c>
      <c r="AH23" s="8">
        <f t="shared" si="63"/>
        <v>0.59401985506848021</v>
      </c>
      <c r="AN23" s="5">
        <v>25</v>
      </c>
      <c r="AO23" s="8">
        <f t="shared" si="53"/>
        <v>0.96703514664268897</v>
      </c>
      <c r="AP23" s="8">
        <f t="shared" si="54"/>
        <v>0.58101265822784809</v>
      </c>
      <c r="AV23" s="5">
        <f t="shared" si="55"/>
        <v>73133</v>
      </c>
      <c r="AW23" s="5">
        <f t="shared" si="55"/>
        <v>275400</v>
      </c>
    </row>
    <row r="24" spans="1:49" x14ac:dyDescent="0.2">
      <c r="A24" s="5" t="s">
        <v>286</v>
      </c>
      <c r="B24" s="5">
        <v>25</v>
      </c>
      <c r="C24" s="5">
        <v>44417</v>
      </c>
      <c r="D24" s="5">
        <v>9690</v>
      </c>
      <c r="E24" s="5">
        <v>1783</v>
      </c>
      <c r="F24" s="5">
        <v>792</v>
      </c>
      <c r="G24" s="5">
        <v>15329</v>
      </c>
      <c r="H24" s="5">
        <v>74544</v>
      </c>
      <c r="I24" s="7">
        <v>277600</v>
      </c>
      <c r="J24" s="7">
        <v>278400</v>
      </c>
      <c r="K24" s="5">
        <v>6708</v>
      </c>
      <c r="L24" s="5">
        <v>75594</v>
      </c>
      <c r="M24" s="7">
        <v>474500</v>
      </c>
      <c r="N24" s="7">
        <v>1331000</v>
      </c>
      <c r="O24" s="8">
        <f t="shared" si="41"/>
        <v>0.9795227052075075</v>
      </c>
      <c r="P24" s="8">
        <f t="shared" si="41"/>
        <v>1.2715721729250311</v>
      </c>
      <c r="Q24" s="8">
        <f t="shared" si="41"/>
        <v>2.9627762632964627</v>
      </c>
      <c r="R24" s="8">
        <f t="shared" si="41"/>
        <v>6.5939984143875252</v>
      </c>
      <c r="S24" s="8">
        <f t="shared" si="42"/>
        <v>0.49183781866634557</v>
      </c>
      <c r="T24" s="8">
        <f t="shared" si="42"/>
        <v>1.0759731733508</v>
      </c>
      <c r="U24" s="8">
        <f t="shared" si="42"/>
        <v>13.6105278151423</v>
      </c>
      <c r="V24" s="8">
        <f t="shared" si="42"/>
        <v>150.04616947728914</v>
      </c>
      <c r="W24" s="8">
        <f t="shared" si="43"/>
        <v>0.13033702194658159</v>
      </c>
      <c r="X24" s="8">
        <f t="shared" si="44"/>
        <v>0.23200512803617437</v>
      </c>
      <c r="Y24" s="8">
        <f t="shared" si="44"/>
        <v>2.6447589395773066</v>
      </c>
      <c r="Z24" s="8">
        <f t="shared" si="44"/>
        <v>26.424068796269157</v>
      </c>
      <c r="AA24" s="8">
        <f t="shared" si="56"/>
        <v>5789.1795038013142</v>
      </c>
      <c r="AB24" s="8">
        <f t="shared" si="57"/>
        <v>2248.1296906705297</v>
      </c>
      <c r="AC24" s="8">
        <f t="shared" si="58"/>
        <v>4715.6051892663372</v>
      </c>
      <c r="AD24" s="8">
        <f t="shared" si="59"/>
        <v>20927.862486645172</v>
      </c>
      <c r="AE24" s="8">
        <f t="shared" si="60"/>
        <v>0.17188378777842073</v>
      </c>
      <c r="AF24" s="8">
        <f t="shared" si="61"/>
        <v>6.6748154275722366E-2</v>
      </c>
      <c r="AG24" s="8">
        <f t="shared" si="62"/>
        <v>0.14000880108596686</v>
      </c>
      <c r="AH24" s="8">
        <f t="shared" si="63"/>
        <v>0.62135925685988991</v>
      </c>
      <c r="AN24" s="5">
        <v>25</v>
      </c>
      <c r="AO24" s="8">
        <f t="shared" si="53"/>
        <v>0.98611000873085164</v>
      </c>
      <c r="AP24" s="8">
        <f t="shared" si="54"/>
        <v>0.58503688092729189</v>
      </c>
      <c r="AV24" s="5">
        <f t="shared" si="55"/>
        <v>74544</v>
      </c>
      <c r="AW24" s="5">
        <f t="shared" si="55"/>
        <v>277600</v>
      </c>
    </row>
    <row r="25" spans="1:49" x14ac:dyDescent="0.2">
      <c r="A25" s="5" t="s">
        <v>287</v>
      </c>
      <c r="B25" s="5">
        <v>25</v>
      </c>
      <c r="C25" s="5">
        <v>44922</v>
      </c>
      <c r="D25" s="5">
        <v>9115</v>
      </c>
      <c r="E25" s="5">
        <v>1614</v>
      </c>
      <c r="F25" s="5">
        <v>589</v>
      </c>
      <c r="G25" s="5">
        <v>14193</v>
      </c>
      <c r="H25" s="5">
        <v>71300</v>
      </c>
      <c r="I25" s="7">
        <v>278300</v>
      </c>
      <c r="J25" s="7">
        <v>275500</v>
      </c>
      <c r="K25" s="5">
        <v>5453</v>
      </c>
      <c r="L25" s="5">
        <v>72440</v>
      </c>
      <c r="M25" s="7">
        <v>448900</v>
      </c>
      <c r="N25" s="7">
        <v>1299000</v>
      </c>
      <c r="O25" s="8">
        <f t="shared" si="41"/>
        <v>0.97420200024589709</v>
      </c>
      <c r="P25" s="8">
        <f t="shared" si="41"/>
        <v>1.258200457029478</v>
      </c>
      <c r="Q25" s="8">
        <f t="shared" si="41"/>
        <v>2.8542423612907055</v>
      </c>
      <c r="R25" s="8">
        <f t="shared" si="41"/>
        <v>6.4583310368803284</v>
      </c>
      <c r="S25" s="8">
        <f t="shared" si="42"/>
        <v>0.48386638110067715</v>
      </c>
      <c r="T25" s="8">
        <f t="shared" si="42"/>
        <v>1.0423844246245118</v>
      </c>
      <c r="U25" s="8">
        <f t="shared" si="42"/>
        <v>12.168889290296672</v>
      </c>
      <c r="V25" s="8">
        <f t="shared" si="42"/>
        <v>140.97409127428864</v>
      </c>
      <c r="W25" s="8">
        <f t="shared" si="43"/>
        <v>0.12822459099167943</v>
      </c>
      <c r="X25" s="8">
        <f t="shared" si="44"/>
        <v>0.22505505339193502</v>
      </c>
      <c r="Y25" s="8">
        <f t="shared" si="44"/>
        <v>2.3755033733136965</v>
      </c>
      <c r="Z25" s="8">
        <f t="shared" si="44"/>
        <v>24.889982561462251</v>
      </c>
      <c r="AA25" s="8">
        <f t="shared" si="56"/>
        <v>5760.1050765282234</v>
      </c>
      <c r="AB25" s="8">
        <f t="shared" si="57"/>
        <v>2051.3768116674878</v>
      </c>
      <c r="AC25" s="8">
        <f t="shared" si="58"/>
        <v>3834.0624445283061</v>
      </c>
      <c r="AD25" s="8">
        <f t="shared" si="59"/>
        <v>14660.199728701265</v>
      </c>
      <c r="AE25" s="8">
        <f t="shared" si="60"/>
        <v>0.21896757845275455</v>
      </c>
      <c r="AF25" s="8">
        <f t="shared" si="61"/>
        <v>7.7982086607298232E-2</v>
      </c>
      <c r="AG25" s="8">
        <f t="shared" si="62"/>
        <v>0.14575000941146429</v>
      </c>
      <c r="AH25" s="8">
        <f t="shared" si="63"/>
        <v>0.55730032552848285</v>
      </c>
      <c r="AN25" s="5">
        <v>25</v>
      </c>
      <c r="AO25" s="8">
        <f t="shared" si="53"/>
        <v>0.98426283821093319</v>
      </c>
      <c r="AP25" s="8">
        <f t="shared" si="54"/>
        <v>0.61995990198262418</v>
      </c>
      <c r="AV25" s="5">
        <f t="shared" si="55"/>
        <v>71300</v>
      </c>
      <c r="AW25" s="5">
        <f t="shared" si="55"/>
        <v>278300</v>
      </c>
    </row>
    <row r="26" spans="1:49" x14ac:dyDescent="0.2">
      <c r="A26" s="5" t="s">
        <v>288</v>
      </c>
      <c r="B26" s="5">
        <v>30</v>
      </c>
      <c r="C26" s="5">
        <v>13392</v>
      </c>
      <c r="D26" s="5">
        <v>3111</v>
      </c>
      <c r="E26" s="5">
        <v>554</v>
      </c>
      <c r="F26" s="5">
        <v>214</v>
      </c>
      <c r="G26" s="5">
        <v>15466</v>
      </c>
      <c r="H26" s="5">
        <v>71486</v>
      </c>
      <c r="I26" s="7">
        <v>276400</v>
      </c>
      <c r="J26" s="7">
        <v>274100</v>
      </c>
      <c r="K26" s="5">
        <v>8283</v>
      </c>
      <c r="L26" s="5">
        <v>78152</v>
      </c>
      <c r="M26" s="7">
        <v>477300</v>
      </c>
      <c r="N26" s="7">
        <v>1986000</v>
      </c>
      <c r="O26" s="8">
        <f t="shared" si="41"/>
        <v>0.98620008394418979</v>
      </c>
      <c r="P26" s="8">
        <f t="shared" si="41"/>
        <v>1.2824170839145126</v>
      </c>
      <c r="Q26" s="8">
        <f t="shared" si="41"/>
        <v>2.9746471588283425</v>
      </c>
      <c r="R26" s="8">
        <f t="shared" si="41"/>
        <v>9.3709400477379585</v>
      </c>
      <c r="S26" s="8">
        <f t="shared" si="42"/>
        <v>0.50196507695567116</v>
      </c>
      <c r="T26" s="8">
        <f t="shared" si="42"/>
        <v>1.1037387306804443</v>
      </c>
      <c r="U26" s="8">
        <f t="shared" si="42"/>
        <v>13.774783256502543</v>
      </c>
      <c r="V26" s="8">
        <f t="shared" si="42"/>
        <v>430.65339564891389</v>
      </c>
      <c r="W26" s="8">
        <f t="shared" si="43"/>
        <v>0.13302074539325287</v>
      </c>
      <c r="X26" s="8">
        <f t="shared" si="44"/>
        <v>0.23774356176805905</v>
      </c>
      <c r="Y26" s="8">
        <f t="shared" si="44"/>
        <v>2.675360423648629</v>
      </c>
      <c r="Z26" s="8">
        <f t="shared" si="44"/>
        <v>72.632105348912816</v>
      </c>
      <c r="AA26" s="8">
        <f t="shared" si="56"/>
        <v>1781.4138223064424</v>
      </c>
      <c r="AB26" s="8">
        <f t="shared" si="57"/>
        <v>739.62022066043176</v>
      </c>
      <c r="AC26" s="8">
        <f t="shared" si="58"/>
        <v>1482.1496747013405</v>
      </c>
      <c r="AD26" s="8">
        <f t="shared" si="59"/>
        <v>15543.270544667343</v>
      </c>
      <c r="AE26" s="8">
        <f t="shared" si="60"/>
        <v>9.1137441010929701E-2</v>
      </c>
      <c r="AF26" s="8">
        <f t="shared" si="61"/>
        <v>3.783909913961328E-2</v>
      </c>
      <c r="AG26" s="8">
        <f t="shared" si="62"/>
        <v>7.5827035165008078E-2</v>
      </c>
      <c r="AH26" s="8">
        <f t="shared" si="63"/>
        <v>0.79519642468444884</v>
      </c>
      <c r="AN26" s="5">
        <v>30</v>
      </c>
      <c r="AO26" s="8">
        <f t="shared" si="53"/>
        <v>0.91470467806326139</v>
      </c>
      <c r="AP26" s="8">
        <f t="shared" si="54"/>
        <v>0.57909071862560235</v>
      </c>
      <c r="AV26" s="5">
        <f t="shared" si="55"/>
        <v>71486</v>
      </c>
      <c r="AW26" s="5">
        <f t="shared" si="55"/>
        <v>276400</v>
      </c>
    </row>
    <row r="27" spans="1:49" x14ac:dyDescent="0.2">
      <c r="A27" s="5" t="s">
        <v>289</v>
      </c>
      <c r="B27" s="5">
        <v>30</v>
      </c>
      <c r="C27" s="5">
        <v>38918</v>
      </c>
      <c r="D27" s="5">
        <v>8031</v>
      </c>
      <c r="E27" s="5">
        <v>1528</v>
      </c>
      <c r="F27" s="5">
        <v>616</v>
      </c>
      <c r="G27" s="5">
        <v>16456</v>
      </c>
      <c r="H27" s="5">
        <v>75007</v>
      </c>
      <c r="I27" s="7">
        <v>278500</v>
      </c>
      <c r="J27" s="7">
        <v>277000</v>
      </c>
      <c r="K27" s="5">
        <v>6602</v>
      </c>
      <c r="L27" s="5">
        <v>73420</v>
      </c>
      <c r="M27" s="7">
        <v>425200</v>
      </c>
      <c r="N27" s="7">
        <v>1423000</v>
      </c>
      <c r="O27" s="8">
        <f t="shared" si="41"/>
        <v>0.97907330701951489</v>
      </c>
      <c r="P27" s="8">
        <f t="shared" si="41"/>
        <v>1.2623552704656358</v>
      </c>
      <c r="Q27" s="8">
        <f t="shared" si="41"/>
        <v>2.7537637098244381</v>
      </c>
      <c r="R27" s="8">
        <f t="shared" si="41"/>
        <v>6.9840421247207161</v>
      </c>
      <c r="S27" s="8">
        <f t="shared" si="42"/>
        <v>0.49116117391476705</v>
      </c>
      <c r="T27" s="8">
        <f t="shared" si="42"/>
        <v>1.0527450075086211</v>
      </c>
      <c r="U27" s="8">
        <f t="shared" si="42"/>
        <v>10.928446101373916</v>
      </c>
      <c r="V27" s="8">
        <f t="shared" si="42"/>
        <v>178.27849050649078</v>
      </c>
      <c r="W27" s="8">
        <f t="shared" si="43"/>
        <v>0.13015771108741328</v>
      </c>
      <c r="X27" s="8">
        <f t="shared" si="44"/>
        <v>0.22719979736839152</v>
      </c>
      <c r="Y27" s="8">
        <f t="shared" si="44"/>
        <v>2.1427796818935461</v>
      </c>
      <c r="Z27" s="8">
        <f t="shared" si="44"/>
        <v>31.174815461072431</v>
      </c>
      <c r="AA27" s="8">
        <f t="shared" si="56"/>
        <v>5065.4778000999504</v>
      </c>
      <c r="AB27" s="8">
        <f t="shared" si="57"/>
        <v>1824.6415726655523</v>
      </c>
      <c r="AC27" s="8">
        <f t="shared" si="58"/>
        <v>3274.1673539333383</v>
      </c>
      <c r="AD27" s="8">
        <f t="shared" si="59"/>
        <v>19203.686324020618</v>
      </c>
      <c r="AE27" s="8">
        <f t="shared" si="60"/>
        <v>0.17248305803576239</v>
      </c>
      <c r="AF27" s="8">
        <f t="shared" si="61"/>
        <v>6.213032031575131E-2</v>
      </c>
      <c r="AG27" s="8">
        <f t="shared" si="62"/>
        <v>0.11148768586373813</v>
      </c>
      <c r="AH27" s="8">
        <f t="shared" si="63"/>
        <v>0.65389893578474811</v>
      </c>
      <c r="AN27" s="5">
        <v>30</v>
      </c>
      <c r="AO27" s="8">
        <f t="shared" si="53"/>
        <v>1.0216153636611278</v>
      </c>
      <c r="AP27" s="8">
        <f t="shared" si="54"/>
        <v>0.65498588899341481</v>
      </c>
      <c r="AV27" s="5">
        <f t="shared" si="55"/>
        <v>75007</v>
      </c>
      <c r="AW27" s="5">
        <f t="shared" si="55"/>
        <v>278500</v>
      </c>
    </row>
    <row r="28" spans="1:49" x14ac:dyDescent="0.2">
      <c r="A28" s="5" t="s">
        <v>290</v>
      </c>
      <c r="B28" s="5">
        <v>30</v>
      </c>
      <c r="C28" s="5">
        <v>35815</v>
      </c>
      <c r="D28" s="5">
        <v>7526</v>
      </c>
      <c r="E28" s="5">
        <v>1606</v>
      </c>
      <c r="F28" s="5">
        <v>588</v>
      </c>
      <c r="G28" s="5">
        <v>16217</v>
      </c>
      <c r="H28" s="5">
        <v>77988</v>
      </c>
      <c r="I28" s="7">
        <v>277600</v>
      </c>
      <c r="J28" s="7">
        <v>277900</v>
      </c>
      <c r="K28" s="5">
        <v>7444</v>
      </c>
      <c r="L28" s="5">
        <v>76052</v>
      </c>
      <c r="M28" s="7">
        <v>414900</v>
      </c>
      <c r="N28" s="7">
        <v>1206000</v>
      </c>
      <c r="O28" s="8">
        <f t="shared" si="41"/>
        <v>0.98264305489017301</v>
      </c>
      <c r="P28" s="8">
        <f t="shared" si="41"/>
        <v>1.2735139122656027</v>
      </c>
      <c r="Q28" s="8">
        <f t="shared" si="41"/>
        <v>2.7100957726893089</v>
      </c>
      <c r="R28" s="8">
        <f t="shared" si="41"/>
        <v>6.0640477210000379</v>
      </c>
      <c r="S28" s="8">
        <f t="shared" si="42"/>
        <v>0.49655317675653188</v>
      </c>
      <c r="T28" s="8">
        <f t="shared" si="42"/>
        <v>1.0809098607547782</v>
      </c>
      <c r="U28" s="8">
        <f t="shared" si="42"/>
        <v>10.416751744165497</v>
      </c>
      <c r="V28" s="8">
        <f t="shared" si="42"/>
        <v>116.69875656824983</v>
      </c>
      <c r="W28" s="8">
        <f t="shared" si="43"/>
        <v>0.13158659184048094</v>
      </c>
      <c r="X28" s="8">
        <f t="shared" si="44"/>
        <v>0.23302585500836998</v>
      </c>
      <c r="Y28" s="8">
        <f t="shared" si="44"/>
        <v>2.0464695599258418</v>
      </c>
      <c r="Z28" s="8">
        <f t="shared" si="44"/>
        <v>20.764262629540276</v>
      </c>
      <c r="AA28" s="8">
        <f t="shared" si="56"/>
        <v>4712.7737867668247</v>
      </c>
      <c r="AB28" s="8">
        <f t="shared" si="57"/>
        <v>1753.7525847929924</v>
      </c>
      <c r="AC28" s="8">
        <f t="shared" si="58"/>
        <v>3286.6301132409021</v>
      </c>
      <c r="AD28" s="8">
        <f t="shared" si="59"/>
        <v>12209.386426169682</v>
      </c>
      <c r="AE28" s="8">
        <f t="shared" si="60"/>
        <v>0.21458233711237373</v>
      </c>
      <c r="AF28" s="8">
        <f t="shared" si="61"/>
        <v>7.985198216354919E-2</v>
      </c>
      <c r="AG28" s="8">
        <f t="shared" si="62"/>
        <v>0.14964706621468746</v>
      </c>
      <c r="AH28" s="8">
        <f t="shared" si="63"/>
        <v>0.55591861450938962</v>
      </c>
      <c r="AN28" s="5">
        <v>30</v>
      </c>
      <c r="AO28" s="8">
        <f t="shared" si="53"/>
        <v>1.025456266764845</v>
      </c>
      <c r="AP28" s="8">
        <f t="shared" si="54"/>
        <v>0.66907688599662574</v>
      </c>
      <c r="AV28" s="5">
        <f t="shared" si="55"/>
        <v>77988</v>
      </c>
      <c r="AW28" s="5">
        <f t="shared" si="55"/>
        <v>277600</v>
      </c>
    </row>
    <row r="29" spans="1:49" x14ac:dyDescent="0.2">
      <c r="A29" s="5" t="s">
        <v>291</v>
      </c>
      <c r="B29" s="5">
        <v>35</v>
      </c>
      <c r="C29" s="5">
        <v>8541</v>
      </c>
      <c r="D29" s="5">
        <v>1571</v>
      </c>
      <c r="E29" s="5">
        <v>304</v>
      </c>
      <c r="F29" s="5">
        <v>70</v>
      </c>
      <c r="G29" s="5">
        <v>17069</v>
      </c>
      <c r="H29" s="5">
        <v>77941</v>
      </c>
      <c r="I29" s="7">
        <v>277500</v>
      </c>
      <c r="J29" s="7">
        <v>269500</v>
      </c>
      <c r="K29" s="5">
        <v>15134</v>
      </c>
      <c r="L29" s="5">
        <v>74349</v>
      </c>
      <c r="M29" s="7">
        <v>413200</v>
      </c>
      <c r="N29" s="7">
        <v>1102000</v>
      </c>
      <c r="O29" s="8">
        <f t="shared" si="41"/>
        <v>1.0152456215473713</v>
      </c>
      <c r="P29" s="8">
        <f t="shared" si="41"/>
        <v>1.2662938640188917</v>
      </c>
      <c r="Q29" s="8">
        <f t="shared" si="41"/>
        <v>2.7028884432592393</v>
      </c>
      <c r="R29" s="8">
        <f t="shared" si="41"/>
        <v>5.6231287441016491</v>
      </c>
      <c r="S29" s="8">
        <f t="shared" si="42"/>
        <v>0.54763572709993713</v>
      </c>
      <c r="T29" s="8">
        <f t="shared" si="42"/>
        <v>1.0626295898378721</v>
      </c>
      <c r="U29" s="8">
        <f t="shared" si="42"/>
        <v>10.333864478666378</v>
      </c>
      <c r="V29" s="8">
        <f t="shared" si="42"/>
        <v>93.04916466514463</v>
      </c>
      <c r="W29" s="8">
        <f t="shared" si="43"/>
        <v>0.14512346768148332</v>
      </c>
      <c r="X29" s="8">
        <f t="shared" si="44"/>
        <v>0.2292451978260949</v>
      </c>
      <c r="Y29" s="8">
        <f t="shared" si="44"/>
        <v>2.0308506605284276</v>
      </c>
      <c r="Z29" s="8">
        <f t="shared" si="44"/>
        <v>16.710724028135033</v>
      </c>
      <c r="AA29" s="8">
        <f t="shared" si="56"/>
        <v>1239.4995374675491</v>
      </c>
      <c r="AB29" s="8">
        <f t="shared" si="57"/>
        <v>360.14420578479508</v>
      </c>
      <c r="AC29" s="8">
        <f t="shared" si="58"/>
        <v>617.37860080064195</v>
      </c>
      <c r="AD29" s="8">
        <f t="shared" si="59"/>
        <v>1169.7506819694522</v>
      </c>
      <c r="AE29" s="8">
        <f t="shared" si="60"/>
        <v>0.36598246411666591</v>
      </c>
      <c r="AF29" s="8">
        <f t="shared" si="61"/>
        <v>0.10633845345336378</v>
      </c>
      <c r="AG29" s="8">
        <f t="shared" si="62"/>
        <v>0.18229110603426413</v>
      </c>
      <c r="AH29" s="8">
        <f t="shared" si="63"/>
        <v>0.34538797639570612</v>
      </c>
      <c r="AN29" s="5">
        <v>35</v>
      </c>
      <c r="AO29" s="8">
        <f t="shared" si="53"/>
        <v>1.0483126874604904</v>
      </c>
      <c r="AP29" s="8">
        <f t="shared" si="54"/>
        <v>0.6715876089060987</v>
      </c>
      <c r="AV29" s="5">
        <f t="shared" si="55"/>
        <v>77941</v>
      </c>
      <c r="AW29" s="5">
        <f t="shared" si="55"/>
        <v>277500</v>
      </c>
    </row>
    <row r="30" spans="1:49" x14ac:dyDescent="0.2">
      <c r="A30" s="5" t="s">
        <v>292</v>
      </c>
      <c r="B30" s="5">
        <v>35</v>
      </c>
      <c r="C30" s="5">
        <v>21880</v>
      </c>
      <c r="D30" s="5">
        <v>4294</v>
      </c>
      <c r="E30" s="5">
        <v>837</v>
      </c>
      <c r="F30" s="5">
        <v>278</v>
      </c>
      <c r="G30" s="5">
        <v>17623</v>
      </c>
      <c r="H30" s="5">
        <v>81020</v>
      </c>
      <c r="I30" s="7">
        <v>276400</v>
      </c>
      <c r="J30" s="7">
        <v>265400</v>
      </c>
      <c r="K30" s="5">
        <v>7884</v>
      </c>
      <c r="L30" s="5">
        <v>77672</v>
      </c>
      <c r="M30" s="7">
        <v>421300</v>
      </c>
      <c r="N30" s="7">
        <v>1134000</v>
      </c>
      <c r="O30" s="8">
        <f t="shared" ref="O30:O31" si="64">(224333+K30)/235871</f>
        <v>0.98450848133089697</v>
      </c>
      <c r="P30" s="8">
        <f t="shared" ref="P30:P31" si="65">(224333+L30)/235871</f>
        <v>1.2803820732519047</v>
      </c>
      <c r="Q30" s="8">
        <f t="shared" ref="Q30:Q31" si="66">(224333+M30)/235871</f>
        <v>2.7372292481907485</v>
      </c>
      <c r="R30" s="8">
        <f t="shared" ref="R30:R31" si="67">(224333+N30)/235871</f>
        <v>5.7587961216088459</v>
      </c>
      <c r="S30" s="8">
        <f t="shared" ref="S30:S31" si="68">4/3*3.14*((O30/2)^3)</f>
        <v>0.49938648321882917</v>
      </c>
      <c r="T30" s="8">
        <f t="shared" ref="T30:T31" si="69">4/3*3.14*((P30/2)^3)</f>
        <v>1.0984926424981982</v>
      </c>
      <c r="U30" s="8">
        <f t="shared" ref="U30:U31" si="70">4/3*3.14*((Q30/2)^3)</f>
        <v>10.732772244237609</v>
      </c>
      <c r="V30" s="8">
        <f t="shared" ref="V30:V31" si="71">4/3*3.14*((R30/2)^3)</f>
        <v>99.947861926341005</v>
      </c>
      <c r="W30" s="8">
        <f t="shared" si="43"/>
        <v>0.13233741805298974</v>
      </c>
      <c r="X30" s="8">
        <f t="shared" ref="X30:X31" si="72">(10^(-0.665+LOG(T30, 10)*0.959))</f>
        <v>0.23665978693899228</v>
      </c>
      <c r="Y30" s="8">
        <f t="shared" ref="Y30:Y31" si="73">(10^(-0.665+LOG(U30, 10)*0.959))</f>
        <v>2.1059726415717086</v>
      </c>
      <c r="Z30" s="8">
        <f t="shared" ref="Z30:Z31" si="74">(10^(-0.665+LOG(V30, 10)*0.959))</f>
        <v>17.897105341484568</v>
      </c>
      <c r="AA30" s="8">
        <f t="shared" si="56"/>
        <v>2895.5427069994153</v>
      </c>
      <c r="AB30" s="8">
        <f t="shared" si="57"/>
        <v>1016.2171251160329</v>
      </c>
      <c r="AC30" s="8">
        <f t="shared" si="58"/>
        <v>1762.6991009955202</v>
      </c>
      <c r="AD30" s="8">
        <f t="shared" si="59"/>
        <v>4975.3952849327097</v>
      </c>
      <c r="AE30" s="8">
        <f t="shared" si="60"/>
        <v>0.27188566601161523</v>
      </c>
      <c r="AF30" s="8">
        <f t="shared" si="61"/>
        <v>9.5420754529605814E-2</v>
      </c>
      <c r="AG30" s="8">
        <f t="shared" si="62"/>
        <v>0.16551391830406845</v>
      </c>
      <c r="AH30" s="8">
        <f t="shared" si="63"/>
        <v>0.46717966115471049</v>
      </c>
      <c r="AN30" s="5">
        <v>35</v>
      </c>
      <c r="AO30" s="8">
        <f t="shared" si="53"/>
        <v>1.0431043361829231</v>
      </c>
      <c r="AP30" s="8">
        <f t="shared" si="54"/>
        <v>0.65606456206978403</v>
      </c>
      <c r="AV30" s="5">
        <f t="shared" ref="AV30:AW31" si="75">H30</f>
        <v>81020</v>
      </c>
      <c r="AW30" s="5">
        <f t="shared" si="75"/>
        <v>276400</v>
      </c>
    </row>
    <row r="31" spans="1:49" x14ac:dyDescent="0.2">
      <c r="A31" s="5" t="s">
        <v>293</v>
      </c>
      <c r="B31" s="5">
        <v>35</v>
      </c>
      <c r="C31" s="5">
        <v>22420</v>
      </c>
      <c r="D31" s="5">
        <v>4457</v>
      </c>
      <c r="E31" s="5">
        <v>964</v>
      </c>
      <c r="F31" s="5">
        <v>272</v>
      </c>
      <c r="G31" s="5">
        <v>17928</v>
      </c>
      <c r="H31" s="5">
        <v>81936</v>
      </c>
      <c r="I31" s="7">
        <v>276400</v>
      </c>
      <c r="J31" s="7">
        <v>274500</v>
      </c>
      <c r="K31" s="5">
        <v>7935</v>
      </c>
      <c r="L31" s="5">
        <v>79542</v>
      </c>
      <c r="M31" s="7">
        <v>384800</v>
      </c>
      <c r="N31" s="7">
        <v>1142000</v>
      </c>
      <c r="O31" s="8">
        <f t="shared" si="64"/>
        <v>0.98472470121379907</v>
      </c>
      <c r="P31" s="8">
        <f t="shared" si="65"/>
        <v>1.2883101356249815</v>
      </c>
      <c r="Q31" s="8">
        <f t="shared" si="66"/>
        <v>2.5824836457216023</v>
      </c>
      <c r="R31" s="8">
        <f t="shared" si="67"/>
        <v>5.7927129659856451</v>
      </c>
      <c r="S31" s="8">
        <f t="shared" si="68"/>
        <v>0.4997155845061636</v>
      </c>
      <c r="T31" s="8">
        <f t="shared" si="69"/>
        <v>1.1190246888143673</v>
      </c>
      <c r="U31" s="8">
        <f t="shared" si="70"/>
        <v>9.0134517329564368</v>
      </c>
      <c r="V31" s="8">
        <f t="shared" si="71"/>
        <v>101.72423342324348</v>
      </c>
      <c r="W31" s="8">
        <f t="shared" si="43"/>
        <v>0.13242462989413334</v>
      </c>
      <c r="X31" s="8">
        <f t="shared" si="72"/>
        <v>0.24090024516480504</v>
      </c>
      <c r="Y31" s="8">
        <f t="shared" si="73"/>
        <v>1.7813144905398632</v>
      </c>
      <c r="Z31" s="8">
        <f t="shared" si="74"/>
        <v>18.202038319004959</v>
      </c>
      <c r="AA31" s="8">
        <f t="shared" si="56"/>
        <v>2968.9602022264694</v>
      </c>
      <c r="AB31" s="8">
        <f t="shared" si="57"/>
        <v>1073.6923926995362</v>
      </c>
      <c r="AC31" s="8">
        <f t="shared" si="58"/>
        <v>1717.1871688804281</v>
      </c>
      <c r="AD31" s="8">
        <f t="shared" si="59"/>
        <v>4950.9544227693486</v>
      </c>
      <c r="AE31" s="8">
        <f t="shared" si="60"/>
        <v>0.27719328282374917</v>
      </c>
      <c r="AF31" s="8">
        <f t="shared" si="61"/>
        <v>0.10024395707698622</v>
      </c>
      <c r="AG31" s="8">
        <f t="shared" si="62"/>
        <v>0.16032304784948997</v>
      </c>
      <c r="AH31" s="8">
        <f t="shared" si="63"/>
        <v>0.46223971224977467</v>
      </c>
      <c r="AN31" s="5">
        <v>35</v>
      </c>
      <c r="AO31" s="8">
        <f t="shared" si="53"/>
        <v>1.0300973070830504</v>
      </c>
      <c r="AP31" s="8">
        <f t="shared" si="54"/>
        <v>0.71829521829521825</v>
      </c>
      <c r="AV31" s="5">
        <f t="shared" si="75"/>
        <v>81936</v>
      </c>
      <c r="AW31" s="5">
        <f t="shared" si="75"/>
        <v>276400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268</v>
      </c>
      <c r="B38" s="5">
        <v>5</v>
      </c>
      <c r="C38" s="31">
        <f>1-0.23-0.025</f>
        <v>0.745</v>
      </c>
      <c r="D38" s="12">
        <f>H38/$C38</f>
        <v>75704.697986577186</v>
      </c>
      <c r="E38" s="12">
        <f t="shared" ref="E38:G45" si="76">I38/$C38</f>
        <v>27667.114093959732</v>
      </c>
      <c r="F38" s="12">
        <f t="shared" si="76"/>
        <v>3288.5906040268455</v>
      </c>
      <c r="G38" s="12">
        <f>K38/$C38</f>
        <v>4064.4295302013425</v>
      </c>
      <c r="H38" s="5">
        <v>56400</v>
      </c>
      <c r="I38" s="5">
        <v>20612</v>
      </c>
      <c r="J38" s="5">
        <v>2450</v>
      </c>
      <c r="K38" s="5">
        <v>3028</v>
      </c>
      <c r="L38" s="26">
        <f t="shared" ref="L38:O45" si="77">W4*D38*1000/1000000</f>
        <v>10.497244011648874</v>
      </c>
      <c r="M38" s="26">
        <f t="shared" si="77"/>
        <v>6.6610398894414766</v>
      </c>
      <c r="N38" s="26">
        <f t="shared" si="77"/>
        <v>38.416138687654843</v>
      </c>
      <c r="O38" s="26">
        <f t="shared" si="77"/>
        <v>315.63310251819115</v>
      </c>
      <c r="P38" s="26">
        <f>SUM(L38:O38)</f>
        <v>371.20752510693637</v>
      </c>
      <c r="Q38" s="26">
        <f>SUM(L38:N38)</f>
        <v>55.574422588745193</v>
      </c>
      <c r="R38" s="26">
        <f>(LN(L48/(L38*0.25)))/$B$1</f>
        <v>0.45349498384228792</v>
      </c>
      <c r="S38" s="26">
        <f>(R38-R39)/(1-0.25)</f>
        <v>0.26723357675538345</v>
      </c>
      <c r="T38" s="26">
        <f>S38+R40</f>
        <v>0.59762607652876254</v>
      </c>
      <c r="V38" s="26">
        <f>(LN(L51/(L39*0.25)))/$B$1</f>
        <v>0.31842603775267131</v>
      </c>
      <c r="W38" s="26">
        <f>(V38-V39)/(1-0.25)</f>
        <v>0.38107736539651382</v>
      </c>
      <c r="X38" s="26">
        <f>W38+V40</f>
        <v>0.54655604599515317</v>
      </c>
      <c r="Z38" s="26">
        <f>(LN(L54/(L40*0.25)))/$B$1</f>
        <v>0.22031467499696542</v>
      </c>
      <c r="AA38" s="26">
        <f>(Z38-Z39)/(1-0.25)</f>
        <v>0.45816849015094568</v>
      </c>
      <c r="AB38" s="26">
        <f>AA38+Z40</f>
        <v>0.35929711061487235</v>
      </c>
    </row>
    <row r="39" spans="1:28" x14ac:dyDescent="0.2">
      <c r="A39" s="5" t="s">
        <v>269</v>
      </c>
      <c r="B39" s="5">
        <v>12</v>
      </c>
      <c r="C39" s="31">
        <f>1-0.225-0.025</f>
        <v>0.75</v>
      </c>
      <c r="D39" s="12">
        <f t="shared" ref="D39:D44" si="78">H39/$C39</f>
        <v>115206.66666666667</v>
      </c>
      <c r="E39" s="12">
        <f t="shared" si="76"/>
        <v>28592</v>
      </c>
      <c r="F39" s="12">
        <f t="shared" si="76"/>
        <v>3049.3333333333335</v>
      </c>
      <c r="G39" s="12">
        <f t="shared" si="76"/>
        <v>2757.3333333333335</v>
      </c>
      <c r="H39" s="5">
        <v>86405</v>
      </c>
      <c r="I39" s="5">
        <v>21444</v>
      </c>
      <c r="J39" s="5">
        <v>2287</v>
      </c>
      <c r="K39" s="5">
        <v>2068</v>
      </c>
      <c r="L39" s="26">
        <f t="shared" si="77"/>
        <v>15.08345162374534</v>
      </c>
      <c r="M39" s="26">
        <f t="shared" si="77"/>
        <v>6.3823894548747004</v>
      </c>
      <c r="N39" s="26">
        <f t="shared" si="77"/>
        <v>28.195507756864963</v>
      </c>
      <c r="O39" s="26">
        <f t="shared" si="77"/>
        <v>182.31567432391179</v>
      </c>
      <c r="P39" s="26">
        <f t="shared" ref="P39:P44" si="79">SUM(L39:O39)</f>
        <v>231.97702315939679</v>
      </c>
      <c r="Q39" s="26">
        <f t="shared" ref="Q39:Q44" si="80">SUM(L39:N39)</f>
        <v>49.661348835485001</v>
      </c>
      <c r="R39" s="26">
        <f>(LN(L49/L38))/$B$1</f>
        <v>0.25306980127575035</v>
      </c>
      <c r="V39" s="26">
        <f>(LN(L52/L39))/$B$1</f>
        <v>3.2618013705285942E-2</v>
      </c>
      <c r="Z39" s="26">
        <f>(LN(L55/L40))/$B$1</f>
        <v>-0.12331169261624383</v>
      </c>
    </row>
    <row r="40" spans="1:28" x14ac:dyDescent="0.2">
      <c r="A40" s="5" t="s">
        <v>270</v>
      </c>
      <c r="B40" s="5">
        <v>20</v>
      </c>
      <c r="C40" s="31">
        <f>1-0.24-0.025</f>
        <v>0.73499999999999999</v>
      </c>
      <c r="D40" s="12">
        <f t="shared" si="78"/>
        <v>108585.03401360544</v>
      </c>
      <c r="E40" s="12">
        <f t="shared" si="76"/>
        <v>21597.278911564626</v>
      </c>
      <c r="F40" s="12">
        <f t="shared" si="76"/>
        <v>2606.8027210884356</v>
      </c>
      <c r="G40" s="12">
        <f t="shared" si="76"/>
        <v>1428.5714285714287</v>
      </c>
      <c r="H40" s="5">
        <v>79810</v>
      </c>
      <c r="I40" s="5">
        <v>15874</v>
      </c>
      <c r="J40" s="5">
        <v>1916</v>
      </c>
      <c r="K40" s="5">
        <v>1050</v>
      </c>
      <c r="L40" s="26">
        <f t="shared" si="77"/>
        <v>14.218172237201271</v>
      </c>
      <c r="M40" s="26">
        <f t="shared" si="77"/>
        <v>4.2140997226923336</v>
      </c>
      <c r="N40" s="26">
        <f t="shared" si="77"/>
        <v>7.8699962084630855</v>
      </c>
      <c r="O40" s="26">
        <f t="shared" si="77"/>
        <v>51.814339285818505</v>
      </c>
      <c r="P40" s="26">
        <f t="shared" si="79"/>
        <v>78.116607454175195</v>
      </c>
      <c r="Q40" s="26">
        <f t="shared" si="80"/>
        <v>26.30226816835669</v>
      </c>
      <c r="R40" s="26">
        <f>LN(L50/L38)/$B$1</f>
        <v>0.33039249977337909</v>
      </c>
      <c r="V40" s="26">
        <f>LN(L53/L39)/$B$1</f>
        <v>0.16547868059863938</v>
      </c>
      <c r="Z40" s="26">
        <f>LN(L56/L40)/$B$1</f>
        <v>-9.887137953607332E-2</v>
      </c>
    </row>
    <row r="41" spans="1:28" x14ac:dyDescent="0.2">
      <c r="A41" s="5" t="s">
        <v>271</v>
      </c>
      <c r="B41" s="5">
        <v>25</v>
      </c>
      <c r="C41" s="31">
        <f>1-0.24-0.025</f>
        <v>0.73499999999999999</v>
      </c>
      <c r="D41" s="12">
        <f t="shared" si="78"/>
        <v>70888.43537414966</v>
      </c>
      <c r="E41" s="12">
        <f t="shared" si="76"/>
        <v>13591.836734693878</v>
      </c>
      <c r="F41" s="12">
        <f t="shared" si="76"/>
        <v>2148.2993197278911</v>
      </c>
      <c r="G41" s="12">
        <f t="shared" si="76"/>
        <v>891.15646258503398</v>
      </c>
      <c r="H41" s="5">
        <v>52103</v>
      </c>
      <c r="I41" s="5">
        <v>9990</v>
      </c>
      <c r="J41" s="5">
        <v>1579</v>
      </c>
      <c r="K41" s="5">
        <v>655</v>
      </c>
      <c r="L41" s="26">
        <f t="shared" si="77"/>
        <v>9.2836071519456276</v>
      </c>
      <c r="M41" s="26">
        <f t="shared" si="77"/>
        <v>2.7976237836899349</v>
      </c>
      <c r="N41" s="26">
        <f t="shared" si="77"/>
        <v>4.5041283689016476</v>
      </c>
      <c r="O41" s="26">
        <f t="shared" si="77"/>
        <v>28.86249819545414</v>
      </c>
      <c r="P41" s="26">
        <f t="shared" si="79"/>
        <v>45.44785749999135</v>
      </c>
      <c r="Q41" s="26">
        <f t="shared" si="80"/>
        <v>16.58535930453721</v>
      </c>
      <c r="R41" s="5" t="s">
        <v>535</v>
      </c>
      <c r="V41" s="5" t="s">
        <v>535</v>
      </c>
      <c r="Z41" s="5" t="s">
        <v>535</v>
      </c>
    </row>
    <row r="42" spans="1:28" x14ac:dyDescent="0.2">
      <c r="A42" s="5" t="s">
        <v>272</v>
      </c>
      <c r="B42" s="5">
        <v>30</v>
      </c>
      <c r="C42" s="31">
        <f>1-0.23-0.025</f>
        <v>0.745</v>
      </c>
      <c r="D42" s="12">
        <f t="shared" si="78"/>
        <v>69518.120805369123</v>
      </c>
      <c r="E42" s="12">
        <f t="shared" si="76"/>
        <v>13481.879194630872</v>
      </c>
      <c r="F42" s="12">
        <f t="shared" si="76"/>
        <v>2157.0469798657718</v>
      </c>
      <c r="G42" s="12">
        <f t="shared" si="76"/>
        <v>1034.8993288590605</v>
      </c>
      <c r="H42" s="5">
        <v>51791</v>
      </c>
      <c r="I42" s="5">
        <v>10044</v>
      </c>
      <c r="J42" s="5">
        <v>1607</v>
      </c>
      <c r="K42" s="5">
        <v>771</v>
      </c>
      <c r="L42" s="26">
        <f t="shared" si="77"/>
        <v>10.168545855696502</v>
      </c>
      <c r="M42" s="26">
        <f t="shared" si="77"/>
        <v>2.7597285717415621</v>
      </c>
      <c r="N42" s="26">
        <f t="shared" si="77"/>
        <v>4.3984555590488457</v>
      </c>
      <c r="O42" s="26">
        <f t="shared" si="77"/>
        <v>36.671685844054345</v>
      </c>
      <c r="P42" s="26">
        <f t="shared" si="79"/>
        <v>53.998415830541255</v>
      </c>
      <c r="Q42" s="26">
        <f t="shared" si="80"/>
        <v>17.32672998648691</v>
      </c>
      <c r="R42" s="6" t="s">
        <v>539</v>
      </c>
      <c r="S42" s="6" t="s">
        <v>540</v>
      </c>
      <c r="T42" s="6" t="s">
        <v>541</v>
      </c>
      <c r="V42" s="6" t="s">
        <v>539</v>
      </c>
      <c r="W42" s="6" t="s">
        <v>540</v>
      </c>
      <c r="X42" s="6" t="s">
        <v>541</v>
      </c>
      <c r="Z42" s="6" t="s">
        <v>539</v>
      </c>
      <c r="AA42" s="6" t="s">
        <v>540</v>
      </c>
      <c r="AB42" s="6" t="s">
        <v>541</v>
      </c>
    </row>
    <row r="43" spans="1:28" x14ac:dyDescent="0.2">
      <c r="A43" s="5" t="s">
        <v>273</v>
      </c>
      <c r="B43" s="5">
        <v>35</v>
      </c>
      <c r="C43" s="31">
        <f>1-0.21-0.025</f>
        <v>0.76500000000000001</v>
      </c>
      <c r="D43" s="12">
        <f t="shared" si="78"/>
        <v>37579.084967320261</v>
      </c>
      <c r="E43" s="12">
        <f t="shared" si="76"/>
        <v>7026.1437908496728</v>
      </c>
      <c r="F43" s="12">
        <f t="shared" si="76"/>
        <v>1332.0261437908496</v>
      </c>
      <c r="G43" s="12">
        <f t="shared" si="76"/>
        <v>545.0980392156863</v>
      </c>
      <c r="H43" s="5">
        <v>28748</v>
      </c>
      <c r="I43" s="5">
        <v>5375</v>
      </c>
      <c r="J43" s="5">
        <v>1019</v>
      </c>
      <c r="K43" s="5">
        <v>417</v>
      </c>
      <c r="L43" s="26">
        <f t="shared" si="77"/>
        <v>5.1352762598210724</v>
      </c>
      <c r="M43" s="26">
        <f t="shared" si="77"/>
        <v>1.5473707901508083</v>
      </c>
      <c r="N43" s="26">
        <f t="shared" si="77"/>
        <v>2.2537276969498152</v>
      </c>
      <c r="O43" s="26">
        <f t="shared" si="77"/>
        <v>12.181519200115826</v>
      </c>
      <c r="P43" s="26">
        <f t="shared" si="79"/>
        <v>21.117893947037523</v>
      </c>
      <c r="Q43" s="26">
        <f t="shared" si="80"/>
        <v>8.936374746921695</v>
      </c>
      <c r="R43" s="26">
        <f>(LN(M48/(M38*0.25)))/$B$1</f>
        <v>0.62941342419457968</v>
      </c>
      <c r="S43" s="26">
        <f>(R43-R44)/(1-0.25)</f>
        <v>0.213178942689914</v>
      </c>
      <c r="T43" s="26">
        <f>S43+R45</f>
        <v>0.46545928081699622</v>
      </c>
      <c r="V43" s="26">
        <f>(LN(M51/(M39*0.25)))/$B$1</f>
        <v>0.51901331911909099</v>
      </c>
      <c r="W43" s="26">
        <f>(V43-V44)/(1-0.25)</f>
        <v>0.37564379420540694</v>
      </c>
      <c r="X43" s="26">
        <f>W43+V45</f>
        <v>0.49407030257706619</v>
      </c>
      <c r="Z43" s="26">
        <f>(LN(M54/(M40*0.25)))/$B$1</f>
        <v>0.43369062429195526</v>
      </c>
      <c r="AA43" s="26">
        <f>(Z43-Z44)/(1-0.25)</f>
        <v>0.40451135967135371</v>
      </c>
      <c r="AB43" s="26">
        <f>AA43+Z45</f>
        <v>0.46743366008722603</v>
      </c>
    </row>
    <row r="44" spans="1:28" x14ac:dyDescent="0.2">
      <c r="A44" s="5" t="s">
        <v>274</v>
      </c>
      <c r="B44" s="5">
        <v>70</v>
      </c>
      <c r="C44" s="31">
        <f>1-0.21-0.025</f>
        <v>0.76500000000000001</v>
      </c>
      <c r="D44" s="12">
        <f t="shared" si="78"/>
        <v>14351.633986928104</v>
      </c>
      <c r="E44" s="12">
        <f t="shared" si="76"/>
        <v>1715.0326797385621</v>
      </c>
      <c r="F44" s="12">
        <f t="shared" si="76"/>
        <v>273.20261437908493</v>
      </c>
      <c r="G44" s="12">
        <f t="shared" si="76"/>
        <v>133.33333333333334</v>
      </c>
      <c r="H44" s="5">
        <v>10979</v>
      </c>
      <c r="I44" s="5">
        <v>1312</v>
      </c>
      <c r="J44" s="5">
        <v>209</v>
      </c>
      <c r="K44" s="5">
        <v>102</v>
      </c>
      <c r="L44" s="26">
        <f t="shared" si="77"/>
        <v>2.029290024796119</v>
      </c>
      <c r="M44" s="26">
        <f t="shared" si="77"/>
        <v>0.36750793998906012</v>
      </c>
      <c r="N44" s="26">
        <f t="shared" si="77"/>
        <v>0.54191336428304981</v>
      </c>
      <c r="O44" s="26">
        <f t="shared" si="77"/>
        <v>5.1635001908899971</v>
      </c>
      <c r="P44" s="26">
        <f t="shared" si="79"/>
        <v>8.1022115199582263</v>
      </c>
      <c r="Q44" s="26">
        <f t="shared" si="80"/>
        <v>2.9387113290682292</v>
      </c>
      <c r="R44" s="26">
        <f>(LN(M49/M38))/$B$1</f>
        <v>0.46952921717714419</v>
      </c>
      <c r="V44" s="26">
        <f>(LN(M52/M39))/$B$1</f>
        <v>0.23728047346503581</v>
      </c>
      <c r="Z44" s="26">
        <f>(LN(M55/M40))/$B$1</f>
        <v>0.13030710453843997</v>
      </c>
    </row>
    <row r="45" spans="1:28" x14ac:dyDescent="0.2">
      <c r="A45" s="5" t="s">
        <v>275</v>
      </c>
      <c r="B45" s="5">
        <v>100</v>
      </c>
      <c r="C45" s="31">
        <f>1-0.19-0.025</f>
        <v>0.78500000000000003</v>
      </c>
      <c r="D45" s="12">
        <f>H45/$C45</f>
        <v>4973.248407643312</v>
      </c>
      <c r="E45" s="12">
        <f t="shared" si="76"/>
        <v>1254.7770700636943</v>
      </c>
      <c r="F45" s="12">
        <f t="shared" si="76"/>
        <v>315.92356687898086</v>
      </c>
      <c r="G45" s="12">
        <f t="shared" si="76"/>
        <v>85.350318471337573</v>
      </c>
      <c r="H45" s="5">
        <v>3904</v>
      </c>
      <c r="I45" s="5">
        <v>985</v>
      </c>
      <c r="J45" s="5">
        <v>248</v>
      </c>
      <c r="K45" s="5">
        <v>67</v>
      </c>
      <c r="L45" s="26">
        <f t="shared" si="77"/>
        <v>0.83064978002048051</v>
      </c>
      <c r="M45" s="26">
        <f t="shared" si="77"/>
        <v>0.31381565724924421</v>
      </c>
      <c r="N45" s="26">
        <f t="shared" si="77"/>
        <v>0.48327565122023075</v>
      </c>
      <c r="O45" s="26">
        <f t="shared" si="77"/>
        <v>2.1688010629080403</v>
      </c>
      <c r="P45" s="26">
        <f>SUM(L45:O45)</f>
        <v>3.796542151397996</v>
      </c>
      <c r="Q45" s="26">
        <f>SUM(L45:N45)</f>
        <v>1.6277410884899555</v>
      </c>
      <c r="R45" s="26">
        <f>LN(M50/M38)/$B$1</f>
        <v>0.25228033812708223</v>
      </c>
      <c r="V45" s="26">
        <f>LN(M53/M39)/$B$1</f>
        <v>0.11842650837165927</v>
      </c>
      <c r="Z45" s="26">
        <f>LN(M56/M40)/$B$1</f>
        <v>6.2922300415872323E-2</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276</v>
      </c>
      <c r="B48" s="5">
        <v>5</v>
      </c>
      <c r="C48" s="31">
        <f>1-0.21-0.025</f>
        <v>0.76500000000000001</v>
      </c>
      <c r="D48" s="12">
        <f t="shared" ref="D48:G65" si="81">H48/$C48</f>
        <v>33112.418300653597</v>
      </c>
      <c r="E48" s="12">
        <f t="shared" si="81"/>
        <v>13934.640522875818</v>
      </c>
      <c r="F48" s="12">
        <f t="shared" si="81"/>
        <v>1606.5359477124182</v>
      </c>
      <c r="G48" s="12">
        <f>K48/$C48</f>
        <v>1311.1111111111111</v>
      </c>
      <c r="H48" s="5">
        <v>25331</v>
      </c>
      <c r="I48" s="5">
        <v>10660</v>
      </c>
      <c r="J48" s="5">
        <v>1229</v>
      </c>
      <c r="K48" s="5">
        <v>1003</v>
      </c>
      <c r="L48" s="26">
        <f>W14*D48*1000/1000000</f>
        <v>4.5018004523617581</v>
      </c>
      <c r="M48" s="26">
        <f>X14*E48*1000/1000000</f>
        <v>3.521838750742992</v>
      </c>
      <c r="N48" s="26">
        <f>Y14*F48*1000/1000000</f>
        <v>21.300554473628932</v>
      </c>
      <c r="O48" s="26">
        <f>Z14*G48*1000/1000000</f>
        <v>111.14674244930316</v>
      </c>
      <c r="P48" s="26">
        <f>SUM(L48:O48)</f>
        <v>140.47093612603683</v>
      </c>
      <c r="Q48" s="26">
        <f>SUM(L48:N48)</f>
        <v>29.324193676733682</v>
      </c>
      <c r="R48" s="26">
        <f>(LN(N48/(N38*0.25)))/$B$1</f>
        <v>0.66936959285411457</v>
      </c>
      <c r="S48" s="26">
        <f>(R48-R49)/(1-0.25)</f>
        <v>0.50328744984185703</v>
      </c>
      <c r="T48" s="26">
        <f>S48+R50</f>
        <v>0.74663881056168235</v>
      </c>
      <c r="V48" s="26">
        <f>(LN(N51/(N39*0.25)))/$B$1</f>
        <v>0.47866833318780894</v>
      </c>
      <c r="W48" s="26">
        <f>(V48-V49)/(1-0.25)</f>
        <v>0.44730114078085198</v>
      </c>
      <c r="X48" s="26">
        <f>W48+V50</f>
        <v>0.4127505039762161</v>
      </c>
      <c r="Z48" s="26">
        <f>(LN(N54/(N40*0.25)))/$B$1</f>
        <v>0.51806037086576706</v>
      </c>
      <c r="AA48" s="26">
        <f>(Z48-Z49)/(1-0.25)</f>
        <v>0.27920211077884138</v>
      </c>
      <c r="AB48" s="26">
        <f>AA48+Z50</f>
        <v>0.50339502861167329</v>
      </c>
    </row>
    <row r="49" spans="1:28" x14ac:dyDescent="0.2">
      <c r="A49" s="5" t="s">
        <v>277</v>
      </c>
      <c r="B49" s="5">
        <v>5</v>
      </c>
      <c r="C49" s="31">
        <f>1-0.2-0.025</f>
        <v>0.77500000000000002</v>
      </c>
      <c r="D49" s="12">
        <f t="shared" si="81"/>
        <v>101652.90322580645</v>
      </c>
      <c r="E49" s="12">
        <f t="shared" si="81"/>
        <v>46504.516129032258</v>
      </c>
      <c r="F49" s="12">
        <f t="shared" si="81"/>
        <v>4722.5806451612898</v>
      </c>
      <c r="G49" s="12">
        <f t="shared" si="81"/>
        <v>3889.0322580645161</v>
      </c>
      <c r="H49" s="5">
        <v>78781</v>
      </c>
      <c r="I49" s="5">
        <v>36041</v>
      </c>
      <c r="J49" s="5">
        <v>3660</v>
      </c>
      <c r="K49" s="5">
        <v>3014</v>
      </c>
      <c r="L49" s="26">
        <f t="shared" ref="L49:O64" si="82">W15*D49*1000/1000000</f>
        <v>14.186145384094175</v>
      </c>
      <c r="M49" s="26">
        <f t="shared" si="82"/>
        <v>11.646612676601936</v>
      </c>
      <c r="N49" s="26">
        <f t="shared" si="82"/>
        <v>54.371679242323403</v>
      </c>
      <c r="O49" s="26">
        <f t="shared" si="82"/>
        <v>293.63960741997482</v>
      </c>
      <c r="P49" s="26">
        <f t="shared" ref="P49:P65" si="83">SUM(L49:O49)</f>
        <v>373.84404472299434</v>
      </c>
      <c r="Q49" s="26">
        <f t="shared" ref="Q49:Q65" si="84">SUM(L49:N49)</f>
        <v>80.204437303019517</v>
      </c>
      <c r="R49" s="26">
        <f>(LN(N49/N38))/$B$1</f>
        <v>0.29190400547272183</v>
      </c>
      <c r="V49" s="26">
        <f>(LN(N52/N39))/$B$1</f>
        <v>0.14319247760216994</v>
      </c>
      <c r="Z49" s="26">
        <f>(LN(N55/N40))/$B$1</f>
        <v>0.30865878778163602</v>
      </c>
    </row>
    <row r="50" spans="1:28" x14ac:dyDescent="0.2">
      <c r="A50" s="5" t="s">
        <v>278</v>
      </c>
      <c r="B50" s="5">
        <v>5</v>
      </c>
      <c r="C50" s="31">
        <f>1-0.19-0.025</f>
        <v>0.78500000000000003</v>
      </c>
      <c r="D50" s="12">
        <f t="shared" si="81"/>
        <v>121550.31847133758</v>
      </c>
      <c r="E50" s="12">
        <f t="shared" si="81"/>
        <v>38149.044585987256</v>
      </c>
      <c r="F50" s="12">
        <f t="shared" si="81"/>
        <v>4192.3566878980891</v>
      </c>
      <c r="G50" s="12">
        <f t="shared" si="81"/>
        <v>3714.6496815286623</v>
      </c>
      <c r="H50" s="5">
        <v>95417</v>
      </c>
      <c r="I50" s="5">
        <v>29947</v>
      </c>
      <c r="J50" s="5">
        <v>3291</v>
      </c>
      <c r="K50" s="5">
        <v>2916</v>
      </c>
      <c r="L50" s="26">
        <f t="shared" si="82"/>
        <v>15.553408680627461</v>
      </c>
      <c r="M50" s="26">
        <f t="shared" si="82"/>
        <v>8.9933841654094131</v>
      </c>
      <c r="N50" s="26">
        <f t="shared" si="82"/>
        <v>51.319241964805855</v>
      </c>
      <c r="O50" s="26">
        <f t="shared" si="82"/>
        <v>252.61417930132401</v>
      </c>
      <c r="P50" s="26">
        <f t="shared" si="83"/>
        <v>328.48021411216678</v>
      </c>
      <c r="Q50" s="26">
        <f t="shared" si="84"/>
        <v>75.866034810842734</v>
      </c>
      <c r="R50" s="26">
        <f>LN(N50/N38)/$B$1</f>
        <v>0.24335136071982527</v>
      </c>
      <c r="V50" s="26">
        <f>LN(N53/N39)/$B$1</f>
        <v>-3.4550636804635895E-2</v>
      </c>
      <c r="Z50" s="26">
        <f>LN(N56/N40)/$B$1</f>
        <v>0.22419291783283188</v>
      </c>
    </row>
    <row r="51" spans="1:28" x14ac:dyDescent="0.2">
      <c r="A51" s="5" t="s">
        <v>279</v>
      </c>
      <c r="B51" s="5">
        <v>12</v>
      </c>
      <c r="C51" s="31">
        <f>1-0.19-0.025</f>
        <v>0.78500000000000003</v>
      </c>
      <c r="D51" s="12">
        <f>H51/$C51</f>
        <v>40573.24840764331</v>
      </c>
      <c r="E51" s="12">
        <f t="shared" si="81"/>
        <v>12891.71974522293</v>
      </c>
      <c r="F51" s="12">
        <f t="shared" si="81"/>
        <v>1365.6050955414012</v>
      </c>
      <c r="G51" s="12">
        <f t="shared" si="81"/>
        <v>982.16560509554131</v>
      </c>
      <c r="H51" s="5">
        <v>31850</v>
      </c>
      <c r="I51" s="5">
        <v>10120</v>
      </c>
      <c r="J51" s="5">
        <v>1072</v>
      </c>
      <c r="K51" s="5">
        <v>771</v>
      </c>
      <c r="L51" s="26">
        <f t="shared" si="82"/>
        <v>5.5081612041396077</v>
      </c>
      <c r="M51" s="26">
        <f t="shared" si="82"/>
        <v>2.9590670669742898</v>
      </c>
      <c r="N51" s="26">
        <f t="shared" si="82"/>
        <v>12.459502953935926</v>
      </c>
      <c r="O51" s="26">
        <f t="shared" si="82"/>
        <v>55.317728418526201</v>
      </c>
      <c r="P51" s="26">
        <f t="shared" si="83"/>
        <v>76.244459643576022</v>
      </c>
      <c r="Q51" s="26">
        <f t="shared" si="84"/>
        <v>20.926731225049824</v>
      </c>
    </row>
    <row r="52" spans="1:28" x14ac:dyDescent="0.2">
      <c r="A52" s="5" t="s">
        <v>280</v>
      </c>
      <c r="B52" s="5">
        <v>12</v>
      </c>
      <c r="C52" s="31">
        <f>1-0.19-0.025</f>
        <v>0.78500000000000003</v>
      </c>
      <c r="D52" s="12">
        <f t="shared" si="81"/>
        <v>117638.21656050955</v>
      </c>
      <c r="E52" s="12">
        <f t="shared" si="81"/>
        <v>36699.363057324837</v>
      </c>
      <c r="F52" s="12">
        <f t="shared" si="81"/>
        <v>3774.5222929936303</v>
      </c>
      <c r="G52" s="12">
        <f t="shared" si="81"/>
        <v>2724.8407643312103</v>
      </c>
      <c r="H52" s="5">
        <v>92346</v>
      </c>
      <c r="I52" s="5">
        <v>28809</v>
      </c>
      <c r="J52" s="5">
        <v>2963</v>
      </c>
      <c r="K52" s="5">
        <v>2139</v>
      </c>
      <c r="L52" s="26">
        <f t="shared" si="82"/>
        <v>15.680433484176021</v>
      </c>
      <c r="M52" s="26">
        <f t="shared" si="82"/>
        <v>8.4647147155701301</v>
      </c>
      <c r="N52" s="26">
        <f t="shared" si="82"/>
        <v>33.433611095257781</v>
      </c>
      <c r="O52" s="26">
        <f t="shared" si="82"/>
        <v>125.24385050347183</v>
      </c>
      <c r="P52" s="26">
        <f t="shared" si="83"/>
        <v>182.82260979847575</v>
      </c>
      <c r="Q52" s="26">
        <f t="shared" si="84"/>
        <v>57.578759295003934</v>
      </c>
      <c r="R52" s="6" t="s">
        <v>545</v>
      </c>
      <c r="S52" s="6" t="s">
        <v>546</v>
      </c>
      <c r="T52" s="6" t="s">
        <v>547</v>
      </c>
      <c r="V52" s="6" t="s">
        <v>545</v>
      </c>
      <c r="W52" s="6" t="s">
        <v>546</v>
      </c>
      <c r="X52" s="6" t="s">
        <v>547</v>
      </c>
      <c r="Z52" s="6" t="s">
        <v>545</v>
      </c>
      <c r="AA52" s="6" t="s">
        <v>546</v>
      </c>
      <c r="AB52" s="6" t="s">
        <v>547</v>
      </c>
    </row>
    <row r="53" spans="1:28" x14ac:dyDescent="0.2">
      <c r="A53" s="5" t="s">
        <v>281</v>
      </c>
      <c r="B53" s="5">
        <v>12</v>
      </c>
      <c r="C53" s="31">
        <f>1-0.2-0.025</f>
        <v>0.77500000000000002</v>
      </c>
      <c r="D53" s="12">
        <f t="shared" si="81"/>
        <v>144774.19354838709</v>
      </c>
      <c r="E53" s="12">
        <f t="shared" si="81"/>
        <v>32985.806451612902</v>
      </c>
      <c r="F53" s="12">
        <f t="shared" si="81"/>
        <v>3565.1612903225805</v>
      </c>
      <c r="G53" s="12">
        <f t="shared" si="81"/>
        <v>2530.322580645161</v>
      </c>
      <c r="H53" s="7">
        <v>112200</v>
      </c>
      <c r="I53" s="5">
        <v>25564</v>
      </c>
      <c r="J53" s="5">
        <v>2763</v>
      </c>
      <c r="K53" s="5">
        <v>1961</v>
      </c>
      <c r="L53" s="26">
        <f t="shared" si="82"/>
        <v>18.366307167056689</v>
      </c>
      <c r="M53" s="26">
        <f t="shared" si="82"/>
        <v>7.3483080901519635</v>
      </c>
      <c r="N53" s="26">
        <f t="shared" si="82"/>
        <v>27.059750651704007</v>
      </c>
      <c r="O53" s="26">
        <f t="shared" si="82"/>
        <v>92.843385671828344</v>
      </c>
      <c r="P53" s="26">
        <f t="shared" si="83"/>
        <v>145.61775158074101</v>
      </c>
      <c r="Q53" s="26">
        <f t="shared" si="84"/>
        <v>52.774365908912657</v>
      </c>
      <c r="R53" s="26">
        <f>(LN(O48/(O38*0.25)))/$B$1</f>
        <v>0.28786993475391187</v>
      </c>
      <c r="S53" s="26">
        <f>(R53-R54)/(1-0.25)</f>
        <v>0.46475350487802203</v>
      </c>
      <c r="T53" s="26">
        <f>S53+R55</f>
        <v>0.27759625337704374</v>
      </c>
      <c r="V53" s="26">
        <f>(LN(O51/(O39*0.25)))/$B$1</f>
        <v>0.1627295341016898</v>
      </c>
      <c r="W53" s="26">
        <f>(V53-V54)/(1-0.25)</f>
        <v>0.63767525324208163</v>
      </c>
      <c r="X53" s="26">
        <f>W53+V55</f>
        <v>7.0594908397153655E-2</v>
      </c>
      <c r="Z53" s="26">
        <f>(LN(O54/(O40*0.25)))/$B$1</f>
        <v>5.556767855806987E-2</v>
      </c>
      <c r="AA53" s="26">
        <f>(Z53-Z54)/(1-0.25)</f>
        <v>0.34902459403476999</v>
      </c>
      <c r="AB53" s="26">
        <f>AA53+Z55</f>
        <v>0.13180335590305295</v>
      </c>
    </row>
    <row r="54" spans="1:28" x14ac:dyDescent="0.2">
      <c r="A54" s="5" t="s">
        <v>282</v>
      </c>
      <c r="B54" s="5">
        <v>20</v>
      </c>
      <c r="C54" s="31">
        <f>1-0.15-0.025</f>
        <v>0.82499999999999996</v>
      </c>
      <c r="D54" s="12">
        <f t="shared" si="81"/>
        <v>35998.78787878788</v>
      </c>
      <c r="E54" s="12">
        <f t="shared" si="81"/>
        <v>8101.818181818182</v>
      </c>
      <c r="F54" s="12">
        <f t="shared" si="81"/>
        <v>1000</v>
      </c>
      <c r="G54" s="12">
        <f t="shared" si="81"/>
        <v>395.15151515151518</v>
      </c>
      <c r="H54" s="5">
        <v>29699</v>
      </c>
      <c r="I54" s="5">
        <v>6684</v>
      </c>
      <c r="J54" s="5">
        <v>825</v>
      </c>
      <c r="K54" s="5">
        <v>326</v>
      </c>
      <c r="L54" s="26">
        <f t="shared" si="82"/>
        <v>4.620029006721019</v>
      </c>
      <c r="M54" s="26">
        <f t="shared" si="82"/>
        <v>1.7651460970737172</v>
      </c>
      <c r="N54" s="26">
        <f t="shared" si="82"/>
        <v>3.6446307634653556</v>
      </c>
      <c r="O54" s="26">
        <f t="shared" si="82"/>
        <v>13.839102606431959</v>
      </c>
      <c r="P54" s="26">
        <f t="shared" si="83"/>
        <v>23.868908473692052</v>
      </c>
      <c r="Q54" s="26">
        <f t="shared" si="84"/>
        <v>10.029805867260093</v>
      </c>
      <c r="R54" s="26">
        <f>(LN(O49/O38))/$B$1</f>
        <v>-6.0695193904604657E-2</v>
      </c>
      <c r="V54" s="26">
        <f>(LN(O52/O39))/$B$1</f>
        <v>-0.31552690582987136</v>
      </c>
      <c r="Z54" s="26">
        <f>(LN(O55/O40))/$B$1</f>
        <v>-0.2062007669680076</v>
      </c>
    </row>
    <row r="55" spans="1:28" x14ac:dyDescent="0.2">
      <c r="A55" s="5" t="s">
        <v>283</v>
      </c>
      <c r="B55" s="5">
        <v>20</v>
      </c>
      <c r="C55" s="31">
        <f>1-0.21-0.025</f>
        <v>0.76500000000000001</v>
      </c>
      <c r="D55" s="12">
        <f t="shared" si="81"/>
        <v>94584.313725490196</v>
      </c>
      <c r="E55" s="12">
        <f t="shared" si="81"/>
        <v>23011.764705882353</v>
      </c>
      <c r="F55" s="12">
        <f t="shared" si="81"/>
        <v>3318.954248366013</v>
      </c>
      <c r="G55" s="12">
        <f t="shared" si="81"/>
        <v>1500.6535947712418</v>
      </c>
      <c r="H55" s="5">
        <v>72357</v>
      </c>
      <c r="I55" s="5">
        <v>17604</v>
      </c>
      <c r="J55" s="5">
        <v>2539</v>
      </c>
      <c r="K55" s="5">
        <v>1148</v>
      </c>
      <c r="L55" s="26">
        <f t="shared" si="82"/>
        <v>12.27764301300671</v>
      </c>
      <c r="M55" s="26">
        <f t="shared" si="82"/>
        <v>4.9209491773309662</v>
      </c>
      <c r="N55" s="26">
        <f t="shared" si="82"/>
        <v>11.362989491304507</v>
      </c>
      <c r="O55" s="26">
        <f t="shared" si="82"/>
        <v>40.539954491101049</v>
      </c>
      <c r="P55" s="26">
        <f t="shared" si="83"/>
        <v>69.101536172743238</v>
      </c>
      <c r="Q55" s="26">
        <f t="shared" si="84"/>
        <v>28.561581681642185</v>
      </c>
      <c r="R55" s="26">
        <f>LN(O50/O38)/$B$1</f>
        <v>-0.18715725150097828</v>
      </c>
      <c r="V55" s="26">
        <f>LN(O53/O39)/$B$1</f>
        <v>-0.56708034484492797</v>
      </c>
      <c r="Z55" s="26">
        <f>LN(O56/O40)/$B$1</f>
        <v>-0.21722123813171704</v>
      </c>
    </row>
    <row r="56" spans="1:28" x14ac:dyDescent="0.2">
      <c r="A56" s="5" t="s">
        <v>284</v>
      </c>
      <c r="B56" s="5">
        <v>20</v>
      </c>
      <c r="C56" s="31">
        <f>1-0.205-0.025</f>
        <v>0.77</v>
      </c>
      <c r="D56" s="12">
        <f t="shared" si="81"/>
        <v>99455.844155844155</v>
      </c>
      <c r="E56" s="12">
        <f t="shared" si="81"/>
        <v>21266.233766233767</v>
      </c>
      <c r="F56" s="12">
        <f t="shared" si="81"/>
        <v>3138.9610389610389</v>
      </c>
      <c r="G56" s="12">
        <f t="shared" si="81"/>
        <v>1545.4545454545455</v>
      </c>
      <c r="H56" s="5">
        <v>76581</v>
      </c>
      <c r="I56" s="5">
        <v>16375</v>
      </c>
      <c r="J56" s="5">
        <v>2417</v>
      </c>
      <c r="K56" s="5">
        <v>1190</v>
      </c>
      <c r="L56" s="26">
        <f t="shared" si="82"/>
        <v>12.639969045838809</v>
      </c>
      <c r="M56" s="26">
        <f t="shared" si="82"/>
        <v>4.5417550725757057</v>
      </c>
      <c r="N56" s="26">
        <f t="shared" si="82"/>
        <v>10.276370699325927</v>
      </c>
      <c r="O56" s="26">
        <f t="shared" si="82"/>
        <v>40.011769877552211</v>
      </c>
      <c r="P56" s="26">
        <f t="shared" si="83"/>
        <v>67.469864695292657</v>
      </c>
      <c r="Q56" s="26">
        <f t="shared" si="84"/>
        <v>27.458094817740442</v>
      </c>
    </row>
    <row r="57" spans="1:28" x14ac:dyDescent="0.2">
      <c r="A57" s="5" t="s">
        <v>285</v>
      </c>
      <c r="B57" s="5">
        <v>25</v>
      </c>
      <c r="C57" s="31">
        <f>1-0.2-0.025</f>
        <v>0.77500000000000002</v>
      </c>
      <c r="D57" s="12">
        <f t="shared" si="81"/>
        <v>22992.258064516129</v>
      </c>
      <c r="E57" s="12">
        <f t="shared" si="81"/>
        <v>4340.6451612903229</v>
      </c>
      <c r="F57" s="12">
        <f t="shared" si="81"/>
        <v>710.9677419354839</v>
      </c>
      <c r="G57" s="12">
        <f t="shared" si="81"/>
        <v>269.67741935483872</v>
      </c>
      <c r="H57" s="5">
        <v>17819</v>
      </c>
      <c r="I57" s="5">
        <v>3364</v>
      </c>
      <c r="J57" s="5">
        <v>551</v>
      </c>
      <c r="K57" s="5">
        <v>209</v>
      </c>
      <c r="L57" s="26">
        <f t="shared" si="82"/>
        <v>2.9730688434938797</v>
      </c>
      <c r="M57" s="26">
        <f t="shared" si="82"/>
        <v>1.0073610866754414</v>
      </c>
      <c r="N57" s="26">
        <f t="shared" si="82"/>
        <v>1.876470341728842</v>
      </c>
      <c r="O57" s="26">
        <f t="shared" si="82"/>
        <v>8.5696679852418427</v>
      </c>
      <c r="P57" s="26">
        <f t="shared" si="83"/>
        <v>14.426568257140005</v>
      </c>
      <c r="Q57" s="26">
        <f t="shared" si="84"/>
        <v>5.8569002718981631</v>
      </c>
      <c r="R57" s="4"/>
      <c r="S57" s="4"/>
      <c r="T57" s="4"/>
      <c r="V57" s="4"/>
      <c r="W57" s="4"/>
      <c r="X57" s="4"/>
      <c r="Z57" s="4"/>
      <c r="AA57" s="4"/>
      <c r="AB57" s="4"/>
    </row>
    <row r="58" spans="1:28" x14ac:dyDescent="0.2">
      <c r="A58" s="5" t="s">
        <v>286</v>
      </c>
      <c r="B58" s="5">
        <v>25</v>
      </c>
      <c r="C58" s="31">
        <f t="shared" ref="C58:C64" si="85">1-0.21-0.025</f>
        <v>0.76500000000000001</v>
      </c>
      <c r="D58" s="12">
        <f t="shared" si="81"/>
        <v>58061.43790849673</v>
      </c>
      <c r="E58" s="12">
        <f t="shared" si="81"/>
        <v>12666.666666666666</v>
      </c>
      <c r="F58" s="12">
        <f t="shared" si="81"/>
        <v>2330.7189542483661</v>
      </c>
      <c r="G58" s="12">
        <f t="shared" si="81"/>
        <v>1035.2941176470588</v>
      </c>
      <c r="H58" s="5">
        <v>44417</v>
      </c>
      <c r="I58" s="5">
        <v>9690</v>
      </c>
      <c r="J58" s="5">
        <v>1783</v>
      </c>
      <c r="K58" s="5">
        <v>792</v>
      </c>
      <c r="L58" s="26">
        <f t="shared" si="82"/>
        <v>7.5675549069298222</v>
      </c>
      <c r="M58" s="26">
        <f t="shared" si="82"/>
        <v>2.9387316217915416</v>
      </c>
      <c r="N58" s="26">
        <f t="shared" si="82"/>
        <v>6.1641897898906377</v>
      </c>
      <c r="O58" s="26">
        <f t="shared" si="82"/>
        <v>27.356682989078656</v>
      </c>
      <c r="P58" s="26">
        <f t="shared" si="83"/>
        <v>44.02715930769066</v>
      </c>
      <c r="Q58" s="26">
        <f t="shared" si="84"/>
        <v>16.670476318612003</v>
      </c>
      <c r="R58" s="6" t="s">
        <v>548</v>
      </c>
      <c r="S58" s="6" t="s">
        <v>549</v>
      </c>
      <c r="T58" s="6" t="s">
        <v>550</v>
      </c>
      <c r="V58" s="6" t="s">
        <v>548</v>
      </c>
      <c r="W58" s="6" t="s">
        <v>549</v>
      </c>
      <c r="X58" s="6" t="s">
        <v>550</v>
      </c>
      <c r="Z58" s="6" t="s">
        <v>548</v>
      </c>
      <c r="AA58" s="6" t="s">
        <v>549</v>
      </c>
      <c r="AB58" s="6" t="s">
        <v>550</v>
      </c>
    </row>
    <row r="59" spans="1:28" x14ac:dyDescent="0.2">
      <c r="A59" s="5" t="s">
        <v>287</v>
      </c>
      <c r="B59" s="5">
        <v>25</v>
      </c>
      <c r="C59" s="31">
        <f>1-0.2-0.025</f>
        <v>0.77500000000000002</v>
      </c>
      <c r="D59" s="12">
        <f t="shared" si="81"/>
        <v>57963.870967741932</v>
      </c>
      <c r="E59" s="12">
        <f t="shared" si="81"/>
        <v>11761.290322580644</v>
      </c>
      <c r="F59" s="12">
        <f t="shared" si="81"/>
        <v>2082.5806451612902</v>
      </c>
      <c r="G59" s="12">
        <f t="shared" si="81"/>
        <v>760</v>
      </c>
      <c r="H59" s="5">
        <v>44922</v>
      </c>
      <c r="I59" s="5">
        <v>9115</v>
      </c>
      <c r="J59" s="5">
        <v>1614</v>
      </c>
      <c r="K59" s="5">
        <v>589</v>
      </c>
      <c r="L59" s="26">
        <f t="shared" si="82"/>
        <v>7.4323936471331908</v>
      </c>
      <c r="M59" s="26">
        <f t="shared" si="82"/>
        <v>2.6469378215064352</v>
      </c>
      <c r="N59" s="26">
        <f t="shared" si="82"/>
        <v>4.9471773477784593</v>
      </c>
      <c r="O59" s="26">
        <f t="shared" si="82"/>
        <v>18.916386746711314</v>
      </c>
      <c r="P59" s="26">
        <f t="shared" si="83"/>
        <v>33.942895563129397</v>
      </c>
      <c r="Q59" s="26">
        <f t="shared" si="84"/>
        <v>15.026508816418087</v>
      </c>
      <c r="R59" s="26">
        <f>(LN(Q48/(Q38*0.25)))/$B$1</f>
        <v>0.6277178060056503</v>
      </c>
      <c r="S59" s="26">
        <f>(R59-R60)/(1-0.25)</f>
        <v>0.42591419368860967</v>
      </c>
      <c r="T59" s="26">
        <f>S59+R61</f>
        <v>0.68746546681082465</v>
      </c>
      <c r="V59" s="26">
        <f>(LN(Q51/(Q39*0.25)))/$B$1</f>
        <v>0.4387350989277965</v>
      </c>
      <c r="W59" s="26">
        <f>(V59-V60)/(1-0.25)</f>
        <v>0.41923582228536427</v>
      </c>
      <c r="X59" s="26">
        <f>W59+V61</f>
        <v>0.4703271143475205</v>
      </c>
      <c r="Z59" s="26">
        <f>(LN(Q54/(Q40*0.25)))/$B$1</f>
        <v>0.35479027738666868</v>
      </c>
      <c r="AA59" s="26">
        <f>(Z59-Z60)/(1-0.25)</f>
        <v>0.38072054986023779</v>
      </c>
      <c r="AB59" s="26">
        <f>AA59+Z61</f>
        <v>0.41685991124959215</v>
      </c>
    </row>
    <row r="60" spans="1:28" x14ac:dyDescent="0.2">
      <c r="A60" s="5" t="s">
        <v>288</v>
      </c>
      <c r="B60" s="5">
        <v>30</v>
      </c>
      <c r="C60" s="31">
        <f>1-0.19-0.025</f>
        <v>0.78500000000000003</v>
      </c>
      <c r="D60" s="12">
        <f t="shared" si="81"/>
        <v>17059.872611464969</v>
      </c>
      <c r="E60" s="12">
        <f t="shared" si="81"/>
        <v>3963.0573248407641</v>
      </c>
      <c r="F60" s="12">
        <f t="shared" si="81"/>
        <v>705.73248407643314</v>
      </c>
      <c r="G60" s="12">
        <f t="shared" si="81"/>
        <v>272.61146496815286</v>
      </c>
      <c r="H60" s="5">
        <v>13392</v>
      </c>
      <c r="I60" s="5">
        <v>3111</v>
      </c>
      <c r="J60" s="5">
        <v>554</v>
      </c>
      <c r="K60" s="5">
        <v>214</v>
      </c>
      <c r="L60" s="26">
        <f t="shared" si="82"/>
        <v>2.2693169710910097</v>
      </c>
      <c r="M60" s="26">
        <f t="shared" si="82"/>
        <v>0.94219136389863911</v>
      </c>
      <c r="N60" s="26">
        <f t="shared" si="82"/>
        <v>1.8880887575813254</v>
      </c>
      <c r="O60" s="26">
        <f t="shared" si="82"/>
        <v>19.800344642888334</v>
      </c>
      <c r="P60" s="26">
        <f t="shared" si="83"/>
        <v>24.899941735459308</v>
      </c>
      <c r="Q60" s="26">
        <f t="shared" si="84"/>
        <v>5.0995970925709742</v>
      </c>
      <c r="R60" s="26">
        <f>(LN(Q49/Q38))/$B$1</f>
        <v>0.30828216073919307</v>
      </c>
      <c r="S60" s="10"/>
      <c r="T60" s="10"/>
      <c r="V60" s="26">
        <f>(LN(Q52/Q39))/$B$1</f>
        <v>0.1243082322137733</v>
      </c>
      <c r="W60" s="10"/>
      <c r="X60" s="10"/>
      <c r="Z60" s="26">
        <f>(LN(Q55/Q40))/$B$1</f>
        <v>6.9249864991490342E-2</v>
      </c>
      <c r="AA60" s="10"/>
      <c r="AB60" s="10"/>
    </row>
    <row r="61" spans="1:28" x14ac:dyDescent="0.2">
      <c r="A61" s="5" t="s">
        <v>289</v>
      </c>
      <c r="B61" s="5">
        <v>30</v>
      </c>
      <c r="C61" s="31">
        <f>1-0.2-0.025</f>
        <v>0.77500000000000002</v>
      </c>
      <c r="D61" s="12">
        <f t="shared" si="81"/>
        <v>50216.774193548386</v>
      </c>
      <c r="E61" s="12">
        <f t="shared" si="81"/>
        <v>10362.58064516129</v>
      </c>
      <c r="F61" s="12">
        <f t="shared" si="81"/>
        <v>1971.6129032258063</v>
      </c>
      <c r="G61" s="12">
        <f t="shared" si="81"/>
        <v>794.83870967741939</v>
      </c>
      <c r="H61" s="5">
        <v>38918</v>
      </c>
      <c r="I61" s="5">
        <v>8031</v>
      </c>
      <c r="J61" s="5">
        <v>1528</v>
      </c>
      <c r="K61" s="5">
        <v>616</v>
      </c>
      <c r="L61" s="26">
        <f t="shared" si="82"/>
        <v>6.5361003872257415</v>
      </c>
      <c r="M61" s="26">
        <f t="shared" si="82"/>
        <v>2.3543762227942615</v>
      </c>
      <c r="N61" s="26">
        <f t="shared" si="82"/>
        <v>4.2247320695914041</v>
      </c>
      <c r="O61" s="26">
        <f t="shared" si="82"/>
        <v>24.778950095510474</v>
      </c>
      <c r="P61" s="26">
        <f t="shared" si="83"/>
        <v>37.89415877512188</v>
      </c>
      <c r="Q61" s="26">
        <f t="shared" si="84"/>
        <v>13.115208679611406</v>
      </c>
      <c r="R61" s="26">
        <f>LN(Q50/Q38)/$B$1</f>
        <v>0.26155127312221493</v>
      </c>
      <c r="S61" s="10"/>
      <c r="T61" s="10"/>
      <c r="V61" s="26">
        <f>LN(Q53/Q39)/$B$1</f>
        <v>5.1091292062156221E-2</v>
      </c>
      <c r="W61" s="10"/>
      <c r="X61" s="10"/>
      <c r="Z61" s="26">
        <f>LN(Q56/Q40)/$B$1</f>
        <v>3.6139361389354384E-2</v>
      </c>
      <c r="AA61" s="10"/>
      <c r="AB61" s="10"/>
    </row>
    <row r="62" spans="1:28" x14ac:dyDescent="0.2">
      <c r="A62" s="5" t="s">
        <v>290</v>
      </c>
      <c r="B62" s="5">
        <v>30</v>
      </c>
      <c r="C62" s="31">
        <f>1-0.2-0.025</f>
        <v>0.77500000000000002</v>
      </c>
      <c r="D62" s="12">
        <f t="shared" si="81"/>
        <v>46212.903225806447</v>
      </c>
      <c r="E62" s="12">
        <f t="shared" si="81"/>
        <v>9710.967741935483</v>
      </c>
      <c r="F62" s="12">
        <f t="shared" si="81"/>
        <v>2072.2580645161288</v>
      </c>
      <c r="G62" s="12">
        <f t="shared" si="81"/>
        <v>758.70967741935476</v>
      </c>
      <c r="H62" s="5">
        <v>35815</v>
      </c>
      <c r="I62" s="5">
        <v>7526</v>
      </c>
      <c r="J62" s="5">
        <v>1606</v>
      </c>
      <c r="K62" s="5">
        <v>588</v>
      </c>
      <c r="L62" s="26">
        <f t="shared" si="82"/>
        <v>6.0809984345378378</v>
      </c>
      <c r="M62" s="26">
        <f t="shared" si="82"/>
        <v>2.2629065610232164</v>
      </c>
      <c r="N62" s="26">
        <f t="shared" si="82"/>
        <v>4.2408130493430987</v>
      </c>
      <c r="O62" s="26">
        <f t="shared" si="82"/>
        <v>15.754047001509267</v>
      </c>
      <c r="P62" s="26">
        <f t="shared" si="83"/>
        <v>28.338765046413421</v>
      </c>
      <c r="Q62" s="26">
        <f t="shared" si="84"/>
        <v>12.584718044904154</v>
      </c>
    </row>
    <row r="63" spans="1:28" x14ac:dyDescent="0.2">
      <c r="A63" s="5" t="s">
        <v>291</v>
      </c>
      <c r="B63" s="5">
        <v>35</v>
      </c>
      <c r="C63" s="31">
        <f t="shared" si="85"/>
        <v>0.76500000000000001</v>
      </c>
      <c r="D63" s="12">
        <f t="shared" si="81"/>
        <v>11164.705882352941</v>
      </c>
      <c r="E63" s="12">
        <f t="shared" si="81"/>
        <v>2053.5947712418301</v>
      </c>
      <c r="F63" s="12">
        <f t="shared" si="81"/>
        <v>397.38562091503269</v>
      </c>
      <c r="G63" s="12">
        <f t="shared" si="81"/>
        <v>91.503267973856211</v>
      </c>
      <c r="H63" s="5">
        <v>8541</v>
      </c>
      <c r="I63" s="5">
        <v>1571</v>
      </c>
      <c r="J63" s="5">
        <v>304</v>
      </c>
      <c r="K63" s="5">
        <v>70</v>
      </c>
      <c r="L63" s="26">
        <f t="shared" si="82"/>
        <v>1.6202608332909139</v>
      </c>
      <c r="M63" s="26">
        <f t="shared" si="82"/>
        <v>0.4707767395879674</v>
      </c>
      <c r="N63" s="26">
        <f t="shared" si="82"/>
        <v>0.80703085071979341</v>
      </c>
      <c r="O63" s="26">
        <f t="shared" si="82"/>
        <v>1.5290858587835978</v>
      </c>
      <c r="P63" s="26">
        <f t="shared" si="83"/>
        <v>4.427154282382272</v>
      </c>
      <c r="Q63" s="26">
        <f t="shared" si="84"/>
        <v>2.8980684235986747</v>
      </c>
    </row>
    <row r="64" spans="1:28" x14ac:dyDescent="0.2">
      <c r="A64" s="5" t="s">
        <v>292</v>
      </c>
      <c r="B64" s="5">
        <v>35</v>
      </c>
      <c r="C64" s="31">
        <f t="shared" si="85"/>
        <v>0.76500000000000001</v>
      </c>
      <c r="D64" s="12">
        <f t="shared" si="81"/>
        <v>28601.307189542484</v>
      </c>
      <c r="E64" s="12">
        <f t="shared" si="81"/>
        <v>5613.0718954248368</v>
      </c>
      <c r="F64" s="12">
        <f t="shared" si="81"/>
        <v>1094.1176470588234</v>
      </c>
      <c r="G64" s="12">
        <f t="shared" si="81"/>
        <v>363.39869281045753</v>
      </c>
      <c r="H64" s="5">
        <v>21880</v>
      </c>
      <c r="I64" s="5">
        <v>4294</v>
      </c>
      <c r="J64" s="5">
        <v>837</v>
      </c>
      <c r="K64" s="5">
        <v>278</v>
      </c>
      <c r="L64" s="26">
        <f t="shared" si="82"/>
        <v>3.7850231464044648</v>
      </c>
      <c r="M64" s="26">
        <f t="shared" si="82"/>
        <v>1.3283883988444876</v>
      </c>
      <c r="N64" s="26">
        <f t="shared" si="82"/>
        <v>2.3041818313666926</v>
      </c>
      <c r="O64" s="26">
        <f t="shared" si="82"/>
        <v>6.5037846861865489</v>
      </c>
      <c r="P64" s="26">
        <f t="shared" si="83"/>
        <v>13.921378062802194</v>
      </c>
      <c r="Q64" s="26">
        <f t="shared" si="84"/>
        <v>7.4175933766156454</v>
      </c>
      <c r="R64" s="6" t="s">
        <v>555</v>
      </c>
      <c r="S64" s="6" t="s">
        <v>555</v>
      </c>
      <c r="T64" s="6" t="s">
        <v>555</v>
      </c>
      <c r="V64" s="6" t="s">
        <v>556</v>
      </c>
      <c r="W64" s="6" t="s">
        <v>556</v>
      </c>
      <c r="X64" s="6" t="s">
        <v>556</v>
      </c>
      <c r="Z64" s="6" t="s">
        <v>558</v>
      </c>
      <c r="AA64" s="6" t="s">
        <v>557</v>
      </c>
      <c r="AB64" s="6" t="s">
        <v>557</v>
      </c>
    </row>
    <row r="65" spans="1:28" x14ac:dyDescent="0.2">
      <c r="A65" s="5" t="s">
        <v>293</v>
      </c>
      <c r="B65" s="5">
        <v>35</v>
      </c>
      <c r="C65" s="31">
        <f>1-0.18-0.025</f>
        <v>0.79500000000000004</v>
      </c>
      <c r="D65" s="12">
        <f t="shared" si="81"/>
        <v>28201.257861635218</v>
      </c>
      <c r="E65" s="12">
        <f t="shared" si="81"/>
        <v>5606.2893081761003</v>
      </c>
      <c r="F65" s="12">
        <f t="shared" si="81"/>
        <v>1212.5786163522012</v>
      </c>
      <c r="G65" s="12">
        <f>K65/$C65</f>
        <v>342.13836477987422</v>
      </c>
      <c r="H65" s="5">
        <v>22420</v>
      </c>
      <c r="I65" s="5">
        <v>4457</v>
      </c>
      <c r="J65" s="5">
        <v>964</v>
      </c>
      <c r="K65" s="5">
        <v>272</v>
      </c>
      <c r="L65" s="26">
        <f>W31*D65*1000/1000000</f>
        <v>3.734541134876062</v>
      </c>
      <c r="M65" s="26">
        <f t="shared" ref="M65:N65" si="86">X31*E65*1000/1000000</f>
        <v>1.350556468804448</v>
      </c>
      <c r="N65" s="26">
        <f t="shared" si="86"/>
        <v>2.1599838602269532</v>
      </c>
      <c r="O65" s="26">
        <f>Z31*G65*1000/1000000</f>
        <v>6.2276156261249671</v>
      </c>
      <c r="P65" s="26">
        <f t="shared" si="83"/>
        <v>13.47269709003243</v>
      </c>
      <c r="Q65" s="26">
        <f t="shared" si="84"/>
        <v>7.2450814639074634</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0.20809990597792791</v>
      </c>
      <c r="S66" s="26">
        <f>(R66-R67)/(1-0.25)</f>
        <v>0.50646391439148353</v>
      </c>
      <c r="T66" s="26">
        <f>S66+R68</f>
        <v>0.31957130399784428</v>
      </c>
      <c r="V66" s="26">
        <f>(LN(L60/(L42*0.25)))/$B$1</f>
        <v>-9.5399968560439724E-2</v>
      </c>
      <c r="W66" s="26">
        <f>(V66-V67)/(1-0.25)</f>
        <v>0.36799163807356655</v>
      </c>
      <c r="X66" s="26">
        <f>W66+V68</f>
        <v>-6.4050645478573864E-2</v>
      </c>
      <c r="Z66" s="26">
        <f>(LN(L63/(L43*0.25)))/$B$1</f>
        <v>0.19558644058294553</v>
      </c>
      <c r="AA66" s="26">
        <f>(Z66-Z67)/(1-0.25)</f>
        <v>0.60261008788672499</v>
      </c>
      <c r="AB66" s="26">
        <f>AA66+Z68</f>
        <v>0.33495573012894797</v>
      </c>
    </row>
    <row r="67" spans="1:28" x14ac:dyDescent="0.2">
      <c r="M67" s="12"/>
      <c r="N67" s="12"/>
      <c r="R67" s="26">
        <f>(LN(L58/L41))/$B$1</f>
        <v>-0.17174802981568471</v>
      </c>
      <c r="V67" s="26">
        <f>(LN(L61/L42))/$B$1</f>
        <v>-0.37139369711561465</v>
      </c>
      <c r="Z67" s="26">
        <f>(LN(L64/L43))/$B$1</f>
        <v>-0.25637112533209822</v>
      </c>
    </row>
    <row r="68" spans="1:28" x14ac:dyDescent="0.2">
      <c r="M68" s="12"/>
      <c r="N68" s="12"/>
      <c r="R68" s="26">
        <f>LN(L59/L41)/$B$1</f>
        <v>-0.18689261039363927</v>
      </c>
      <c r="V68" s="26">
        <f>LN(L62/L42)/$B$1</f>
        <v>-0.43204228355214042</v>
      </c>
      <c r="Z68" s="26">
        <f>LN(L65/L43)/$B$1</f>
        <v>-0.26765435775777702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0.30660342775563848</v>
      </c>
      <c r="S71" s="26">
        <f>(R71-R72)/(1-0.25)</f>
        <v>0.35366993850944328</v>
      </c>
      <c r="T71" s="26">
        <f>S71+R73</f>
        <v>0.30714306842633521</v>
      </c>
      <c r="V71" s="26">
        <f>(LN(M60/(M42*0.25)))/$B$1</f>
        <v>0.26186147155527872</v>
      </c>
      <c r="W71" s="26">
        <f>(V71-V72)/(1-0.25)</f>
        <v>0.52713911892077692</v>
      </c>
      <c r="X71" s="26">
        <f>W71+V73</f>
        <v>0.36034730766649564</v>
      </c>
      <c r="Z71" s="26">
        <f>(LN(M63/(M43*0.25)))/$B$1</f>
        <v>0.1650132974232614</v>
      </c>
      <c r="AA71" s="26">
        <f>(Z71-Z72)/(1-0.25)</f>
        <v>0.39098775670322089</v>
      </c>
      <c r="AB71" s="26">
        <f>AA71+Z73</f>
        <v>0.27666799233949119</v>
      </c>
    </row>
    <row r="72" spans="1:28" x14ac:dyDescent="0.2">
      <c r="M72" s="12"/>
      <c r="N72" s="12"/>
      <c r="R72" s="26">
        <f>(LN(M58/M41))/$B$1</f>
        <v>4.1350973873555998E-2</v>
      </c>
      <c r="V72" s="26">
        <f>(LN(M61/M42))/$B$1</f>
        <v>-0.13349286763530402</v>
      </c>
      <c r="Z72" s="26">
        <f>(LN(M64/M43))/$B$1</f>
        <v>-0.12822752010415425</v>
      </c>
    </row>
    <row r="73" spans="1:28" x14ac:dyDescent="0.2">
      <c r="M73" s="12"/>
      <c r="N73" s="12"/>
      <c r="R73" s="26">
        <f>LN(M59/M41)/$B$1</f>
        <v>-4.6526870083108067E-2</v>
      </c>
      <c r="V73" s="26">
        <f>LN(M62/M42)/$B$1</f>
        <v>-0.16679181125428127</v>
      </c>
      <c r="Z73" s="26">
        <f>LN(M65/M43)/$B$1</f>
        <v>-0.11431976436372972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0.42915336467887522</v>
      </c>
      <c r="S76" s="26">
        <f>(R76-R77)/(1-0.25)</f>
        <v>0.22065007109230769</v>
      </c>
      <c r="T76" s="26">
        <f>S76+R78</f>
        <v>0.29949275146583842</v>
      </c>
      <c r="V76" s="26">
        <f>(LN(N60/(N42*0.25)))/$B$1</f>
        <v>0.45429073039498741</v>
      </c>
      <c r="W76" s="26">
        <f>(V76-V77)/(1-0.25)</f>
        <v>0.65087237630478156</v>
      </c>
      <c r="X76" s="26">
        <f>W76+V78</f>
        <v>0.62020139965137955</v>
      </c>
      <c r="Z76" s="26">
        <f>(LN(N63/(N43*0.25)))/$B$1</f>
        <v>0.30194569668985366</v>
      </c>
      <c r="AA76" s="26">
        <f>(Z76-Z77)/(1-0.25)</f>
        <v>0.37778747225797044</v>
      </c>
      <c r="AB76" s="26">
        <f>AA76+Z78</f>
        <v>0.34208591766808905</v>
      </c>
    </row>
    <row r="77" spans="1:28" x14ac:dyDescent="0.2">
      <c r="M77" s="12"/>
      <c r="N77" s="12"/>
      <c r="R77" s="26">
        <f>(LN(N58/N41))/$B$1</f>
        <v>0.26366581135964445</v>
      </c>
      <c r="V77" s="26">
        <f>(LN(N61/N42))/$B$1</f>
        <v>-3.3863551833598793E-2</v>
      </c>
      <c r="Z77" s="26">
        <f>(LN(N64/N43))/$B$1</f>
        <v>1.8605092496375812E-2</v>
      </c>
    </row>
    <row r="78" spans="1:28" x14ac:dyDescent="0.2">
      <c r="M78" s="12"/>
      <c r="N78" s="12"/>
      <c r="R78" s="26">
        <f>LN(N59/N41)/$B$1</f>
        <v>7.884268037353076E-2</v>
      </c>
      <c r="V78" s="26">
        <f>LN(N62/N42)/$B$1</f>
        <v>-3.0670976653402047E-2</v>
      </c>
      <c r="Z78" s="26">
        <f>LN(N65/N43)/$B$1</f>
        <v>-3.5701554589881383E-2</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0.14452120950304126</v>
      </c>
      <c r="S81" s="26">
        <f>(R81-R82)/(1-0.25)</f>
        <v>0.25273109450046005</v>
      </c>
      <c r="T81" s="26">
        <f>S81+R83</f>
        <v>-0.10232314256274405</v>
      </c>
      <c r="V81" s="26">
        <f>(LN(O60/(O42*0.25)))/$B$1</f>
        <v>0.64704937013711317</v>
      </c>
      <c r="W81" s="26">
        <f>(V81-V82)/(1-0.25)</f>
        <v>1.3019598863854236</v>
      </c>
      <c r="X81" s="26">
        <f>W81+V83</f>
        <v>0.59195344128422733</v>
      </c>
      <c r="Z81" s="26">
        <f>(LN(O63/(O43*0.25)))/$B$1</f>
        <v>-0.57895423826329229</v>
      </c>
      <c r="AA81" s="26">
        <f>(Z81-Z82)/(1-0.25)</f>
        <v>-6.8817733135807302E-2</v>
      </c>
      <c r="AB81" s="26">
        <f>AA81+Z83</f>
        <v>-0.63262147143342995</v>
      </c>
    </row>
    <row r="82" spans="13:28" x14ac:dyDescent="0.2">
      <c r="M82" s="12"/>
      <c r="N82" s="12"/>
      <c r="R82" s="26">
        <f>(LN(O58/O41))/$B$1</f>
        <v>-4.502711137230378E-2</v>
      </c>
      <c r="V82" s="26">
        <f>(LN(O61/O42))/$B$1</f>
        <v>-0.32942054465195442</v>
      </c>
      <c r="Z82" s="26">
        <f>(LN(O64/O43))/$B$1</f>
        <v>-0.52734093841143681</v>
      </c>
    </row>
    <row r="83" spans="13:28" x14ac:dyDescent="0.2">
      <c r="M83" s="12"/>
      <c r="N83" s="12"/>
      <c r="R83" s="26">
        <f>LN(O59/O41)/$B$1</f>
        <v>-0.3550542370632041</v>
      </c>
      <c r="V83" s="26">
        <f>LN(O62/O42)/$B$1</f>
        <v>-0.71000644510119626</v>
      </c>
      <c r="Z83" s="26">
        <f>LN(O65/O43)/$B$1</f>
        <v>-0.56380373829762265</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0.29024749943353473</v>
      </c>
      <c r="S87" s="26">
        <f>(R87-R88)/(1-0.25)</f>
        <v>0.38126116656767578</v>
      </c>
      <c r="T87" s="26">
        <f>S87+R89</f>
        <v>0.29831625831648995</v>
      </c>
      <c r="V87" s="26">
        <f>(LN(Q60/(Q42*0.25)))/$B$1</f>
        <v>0.13714748005213767</v>
      </c>
      <c r="W87" s="26">
        <f>(V87-V88)/(1-0.25)</f>
        <v>0.4948833294772445</v>
      </c>
      <c r="X87" s="26">
        <f>W87+V89</f>
        <v>0.22617142129705081</v>
      </c>
      <c r="Z87" s="26">
        <f>(LN(Q63/(Q43*0.25)))/$B$1</f>
        <v>0.21866287203008097</v>
      </c>
      <c r="AA87" s="26">
        <f>(Z87-Z88)/(1-0.25)</f>
        <v>0.50026235694408205</v>
      </c>
      <c r="AB87" s="26">
        <f>AA87+Z89</f>
        <v>0.32395380418242647</v>
      </c>
    </row>
    <row r="88" spans="13:28" x14ac:dyDescent="0.2">
      <c r="M88" s="12"/>
      <c r="N88" s="12"/>
      <c r="R88" s="26">
        <f>(LN(Q58/Q41))/$B$1</f>
        <v>4.3016245077779052E-3</v>
      </c>
      <c r="S88" s="10"/>
      <c r="T88" s="10"/>
      <c r="V88" s="26">
        <f>(LN(Q61/Q42))/$B$1</f>
        <v>-0.23401501705579569</v>
      </c>
      <c r="W88" s="10"/>
      <c r="X88" s="10"/>
      <c r="Z88" s="26">
        <f>(LN(Q64/Q43))/$B$1</f>
        <v>-0.15653389567798059</v>
      </c>
      <c r="AA88" s="10"/>
      <c r="AB88" s="10"/>
    </row>
    <row r="89" spans="13:28" x14ac:dyDescent="0.2">
      <c r="M89" s="12"/>
      <c r="N89" s="12"/>
      <c r="R89" s="26">
        <f>LN(Q59/Q41)/$B$1</f>
        <v>-8.294490825118582E-2</v>
      </c>
      <c r="S89" s="10"/>
      <c r="T89" s="10"/>
      <c r="V89" s="26">
        <f>LN(Q62/Q42)/$B$1</f>
        <v>-0.26871190818019369</v>
      </c>
      <c r="W89" s="10"/>
      <c r="X89" s="10"/>
      <c r="Z89" s="26">
        <f>LN(Q65/Q43)/$B$1</f>
        <v>-0.17630855276165561</v>
      </c>
      <c r="AA89" s="10"/>
      <c r="AB8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Z89"/>
  <sheetViews>
    <sheetView workbookViewId="0">
      <selection activeCell="B3" sqref="B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579</v>
      </c>
      <c r="B1" s="32">
        <v>1.04</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294</v>
      </c>
      <c r="B4" s="10">
        <v>5</v>
      </c>
      <c r="C4" s="5">
        <v>57971</v>
      </c>
      <c r="D4" s="5">
        <v>14548</v>
      </c>
      <c r="E4" s="5">
        <v>1731</v>
      </c>
      <c r="F4" s="5">
        <v>1916</v>
      </c>
      <c r="G4" s="5">
        <v>8399</v>
      </c>
      <c r="H4" s="5">
        <v>48032</v>
      </c>
      <c r="I4" s="7">
        <v>286100</v>
      </c>
      <c r="J4" s="7">
        <v>276800</v>
      </c>
      <c r="K4" s="5">
        <v>8934</v>
      </c>
      <c r="L4" s="5">
        <v>69577</v>
      </c>
      <c r="M4" s="7">
        <v>825100</v>
      </c>
      <c r="N4" s="7">
        <v>1849000</v>
      </c>
      <c r="O4" s="8">
        <f>(224333+K4)/235871</f>
        <v>0.9889600671553519</v>
      </c>
      <c r="P4" s="8">
        <f>(224333+L4)/235871</f>
        <v>1.246062466348131</v>
      </c>
      <c r="Q4" s="8">
        <f t="shared" ref="Q4:R9" si="0">(224333+M4)/235871</f>
        <v>4.4491819681096869</v>
      </c>
      <c r="R4" s="8">
        <f t="shared" si="0"/>
        <v>8.7901140877852733</v>
      </c>
      <c r="S4" s="8">
        <f>4/3*3.14*((O4/2)^3)</f>
        <v>0.50619128638098054</v>
      </c>
      <c r="T4" s="8">
        <f t="shared" ref="T4:V9" si="1">4/3*3.14*((P4/2)^3)</f>
        <v>1.0125065494144665</v>
      </c>
      <c r="U4" s="8">
        <f t="shared" si="1"/>
        <v>46.091294208128751</v>
      </c>
      <c r="V4" s="8">
        <f>4/3*3.14*((R4/2)^3)</f>
        <v>355.43642596700448</v>
      </c>
      <c r="W4" s="8">
        <f>(S4*265)/1000</f>
        <v>0.13414069089095984</v>
      </c>
      <c r="X4" s="8">
        <f>(10^(-0.665+LOG(T4, 10)*0.959))</f>
        <v>0.21886510741069404</v>
      </c>
      <c r="Y4" s="8">
        <f>(10^(-0.665+LOG(U4, 10)*0.959))</f>
        <v>8.5194297851555234</v>
      </c>
      <c r="Z4" s="8">
        <f>(10^(-0.665+LOG(V4, 10)*0.959))</f>
        <v>60.419996254249291</v>
      </c>
      <c r="AA4" s="8">
        <f>W4*C4</f>
        <v>7776.2699916398333</v>
      </c>
      <c r="AB4" s="8">
        <f>X4*D4</f>
        <v>3184.0495826107767</v>
      </c>
      <c r="AC4" s="8">
        <f t="shared" ref="AC4:AD9" si="2">Y4*E4</f>
        <v>14747.132958104212</v>
      </c>
      <c r="AD4" s="8">
        <f>Z4*F4</f>
        <v>115764.71282314164</v>
      </c>
      <c r="AE4" s="8">
        <f>AA4/(AA4+AB4+AC4+AD4)</f>
        <v>5.4966784258227305E-2</v>
      </c>
      <c r="AF4" s="8">
        <f>AB4/(AA4+AB4+AC4+AD4)</f>
        <v>2.250654448251202E-2</v>
      </c>
      <c r="AG4" s="8">
        <f>AC4/(AA4+AB4+AC4+AD4)</f>
        <v>0.10424052619147431</v>
      </c>
      <c r="AH4" s="8">
        <f>AD4/(AA4+AB4+AC4+AD4)</f>
        <v>0.81828614506778641</v>
      </c>
      <c r="AI4" s="8">
        <f>LN((AVERAGE(G14:G16))/G4)/1.04</f>
        <v>6.9689066917790157E-2</v>
      </c>
      <c r="AJ4" s="8">
        <f>LN((AVERAGE(H14:H16))/H4)/1.04</f>
        <v>5.8851696851327066E-2</v>
      </c>
      <c r="AK4" s="8">
        <f>LN((AVERAGE(I14:I16))/I4)/1.04</f>
        <v>2.240303974578065E-4</v>
      </c>
      <c r="AL4" s="8">
        <f>LN((AVERAGE(J14:J16))/J4)/1.04</f>
        <v>-1.3905113942304103E-3</v>
      </c>
      <c r="AM4" s="15">
        <f>(AI4*AE4)+(AJ4*AF4)+(AG4*AK4)+(AH4*AL4)</f>
        <v>4.0406490775392939E-3</v>
      </c>
      <c r="AN4" s="10">
        <v>5</v>
      </c>
      <c r="AO4" s="50">
        <f>H4/L4</f>
        <v>0.69034307314198662</v>
      </c>
      <c r="AP4" s="50">
        <f>I4/M4</f>
        <v>0.34674584898800148</v>
      </c>
      <c r="AQ4" s="50">
        <f>LN((AVERAGE(AO14:AO16))/AO4)/1.04</f>
        <v>-6.6227751756752634E-2</v>
      </c>
      <c r="AR4" s="50">
        <f>LN((AVERAGE(AP14:AP16))/AP4)/1.04</f>
        <v>4.5808720345026617E-3</v>
      </c>
      <c r="AS4" s="8">
        <f>AB4/(AB4+AC4)</f>
        <v>0.17757052973951912</v>
      </c>
      <c r="AT4" s="8">
        <f>AC4/(AC4+AB4)</f>
        <v>0.82242947026048085</v>
      </c>
      <c r="AU4" s="50">
        <f>(AQ4*AS4)+(AR4*AT4)</f>
        <v>-7.9926528022368579E-3</v>
      </c>
      <c r="AV4" s="46">
        <f>H4</f>
        <v>48032</v>
      </c>
      <c r="AW4" s="46">
        <f t="shared" ref="AW4:AW11" si="3">I4</f>
        <v>286100</v>
      </c>
      <c r="AX4" s="48">
        <f>LN((AVERAGE(AV14:AV16))/AV4)/1.04</f>
        <v>5.8851696851327066E-2</v>
      </c>
      <c r="AY4" s="48">
        <f>LN((AVERAGE(AW14:AW16))/AW4)/1.04</f>
        <v>2.240303974578065E-4</v>
      </c>
      <c r="AZ4" s="48">
        <f t="shared" ref="AZ4:AZ9" si="4">(AX4*AS4)+(AY4*AT4)</f>
        <v>1.0634576187063205E-2</v>
      </c>
    </row>
    <row r="5" spans="1:52" x14ac:dyDescent="0.2">
      <c r="A5" s="5" t="s">
        <v>295</v>
      </c>
      <c r="B5" s="10">
        <v>12</v>
      </c>
      <c r="C5" s="5">
        <v>58586</v>
      </c>
      <c r="D5" s="5">
        <v>14461</v>
      </c>
      <c r="E5" s="5">
        <v>1653</v>
      </c>
      <c r="F5" s="5">
        <v>1651</v>
      </c>
      <c r="G5" s="5">
        <v>8367</v>
      </c>
      <c r="H5" s="5">
        <v>48502</v>
      </c>
      <c r="I5" s="7">
        <v>285100</v>
      </c>
      <c r="J5" s="7">
        <v>274300</v>
      </c>
      <c r="K5" s="5">
        <v>9527</v>
      </c>
      <c r="L5" s="5">
        <v>68051</v>
      </c>
      <c r="M5" s="7">
        <v>791800</v>
      </c>
      <c r="N5" s="7">
        <v>1844000</v>
      </c>
      <c r="O5" s="8">
        <f t="shared" ref="O5:P9" si="5">(224333+K5)/235871</f>
        <v>0.99147415324478205</v>
      </c>
      <c r="P5" s="8">
        <f t="shared" si="5"/>
        <v>1.2395928282832565</v>
      </c>
      <c r="Q5" s="8">
        <f t="shared" si="0"/>
        <v>4.3080031033912602</v>
      </c>
      <c r="R5" s="8">
        <f t="shared" si="0"/>
        <v>8.7689160600497722</v>
      </c>
      <c r="S5" s="8">
        <f t="shared" ref="S5:S9" si="6">4/3*3.14*((O5/2)^3)</f>
        <v>0.5100615529935143</v>
      </c>
      <c r="T5" s="8">
        <f t="shared" si="1"/>
        <v>0.99681729050194146</v>
      </c>
      <c r="U5" s="8">
        <f t="shared" si="1"/>
        <v>41.841420490148792</v>
      </c>
      <c r="V5" s="8">
        <f t="shared" si="1"/>
        <v>352.8711365050562</v>
      </c>
      <c r="W5" s="8">
        <f t="shared" ref="W5:W9" si="7">(S5*265)/1000</f>
        <v>0.13516631154328129</v>
      </c>
      <c r="X5" s="8">
        <f t="shared" ref="X5:Z9" si="8">(10^(-0.665+LOG(T5, 10)*0.959))</f>
        <v>0.2156117003268101</v>
      </c>
      <c r="Y5" s="8">
        <f t="shared" si="8"/>
        <v>7.7646262695268247</v>
      </c>
      <c r="Z5" s="8">
        <f t="shared" si="8"/>
        <v>60.001744127857464</v>
      </c>
      <c r="AA5" s="8">
        <f t="shared" ref="AA5:AB9" si="9">W5*C5</f>
        <v>7918.8535280746773</v>
      </c>
      <c r="AB5" s="8">
        <f t="shared" si="9"/>
        <v>3117.960798426001</v>
      </c>
      <c r="AC5" s="8">
        <f t="shared" si="2"/>
        <v>12834.92722352784</v>
      </c>
      <c r="AD5" s="8">
        <f t="shared" si="2"/>
        <v>99062.879555092673</v>
      </c>
      <c r="AE5" s="8">
        <f t="shared" ref="AE5:AE9" si="10">AA5/(AA5+AB5+AC5+AD5)</f>
        <v>6.4415161952655134E-2</v>
      </c>
      <c r="AF5" s="8">
        <f t="shared" ref="AF5:AF9" si="11">AB5/(AA5+AB5+AC5+AD5)</f>
        <v>2.5362755994992152E-2</v>
      </c>
      <c r="AG5" s="8">
        <f t="shared" ref="AG5:AG9" si="12">AC5/(AA5+AB5+AC5+AD5)</f>
        <v>0.10440449653765733</v>
      </c>
      <c r="AH5" s="8">
        <f t="shared" ref="AH5:AH9" si="13">AD5/(AA5+AB5+AC5+AD5)</f>
        <v>0.8058175855146954</v>
      </c>
      <c r="AI5" s="8">
        <f>LN((AVERAGE(G17:G19))/G5)/1.04</f>
        <v>0.25031769809307081</v>
      </c>
      <c r="AJ5" s="8">
        <f>LN((AVERAGE(H17:H19))/H5)/1.04</f>
        <v>0.16320522800895323</v>
      </c>
      <c r="AK5" s="8">
        <f>LN((AVERAGE(I17:I19))/I5)/1.04</f>
        <v>0</v>
      </c>
      <c r="AL5" s="8">
        <f>LN((AVERAGE(J17:J19))/J5)/1.04</f>
        <v>-3.5118317399377061E-3</v>
      </c>
      <c r="AM5" s="15">
        <f t="shared" ref="AM5:AM9" si="14">(AI5*AE5)+(AJ5*AF5)+(AG5*AK5)+(AH5*AL5)</f>
        <v>1.7433693663968658E-2</v>
      </c>
      <c r="AN5" s="10">
        <v>12</v>
      </c>
      <c r="AO5" s="50">
        <f t="shared" ref="AO5:AO11" si="15">H5/L5</f>
        <v>0.71273015826365516</v>
      </c>
      <c r="AP5" s="50">
        <f t="shared" ref="AP5:AP11" si="16">I5/M5</f>
        <v>0.36006567314978533</v>
      </c>
      <c r="AQ5" s="50">
        <f>LN((AVERAGE(AO17:AO19))/AO5)/1.04</f>
        <v>6.1991681329137134E-2</v>
      </c>
      <c r="AR5" s="50">
        <f>LN((AVERAGE(AP17:AP19))/AP5)/1.04</f>
        <v>3.9443249270922472E-2</v>
      </c>
      <c r="AS5" s="8">
        <f t="shared" ref="AS5:AS9" si="17">AB5/(AB5+AC5)</f>
        <v>0.19544804640609059</v>
      </c>
      <c r="AT5" s="8">
        <f t="shared" ref="AT5:AT9" si="18">AC5/(AC5+AB5)</f>
        <v>0.80455195359390941</v>
      </c>
      <c r="AU5" s="50">
        <f t="shared" ref="AU5:AU9" si="19">(AQ5*AS5)+(AR5*AT5)</f>
        <v>4.3850296266220987E-2</v>
      </c>
      <c r="AV5" s="46">
        <f t="shared" ref="AV5:AV11" si="20">H5</f>
        <v>48502</v>
      </c>
      <c r="AW5" s="46">
        <f t="shared" si="3"/>
        <v>285100</v>
      </c>
      <c r="AX5" s="48">
        <f>LN((AVERAGE(AV17:AV19))/AV5)/1.04</f>
        <v>0.16320522800895323</v>
      </c>
      <c r="AY5" s="48">
        <f>LN((AVERAGE(AW17:AW19))/AW5)/1.04</f>
        <v>0</v>
      </c>
      <c r="AZ5" s="48">
        <f t="shared" si="4"/>
        <v>3.189814297761049E-2</v>
      </c>
    </row>
    <row r="6" spans="1:52" x14ac:dyDescent="0.2">
      <c r="A6" s="5" t="s">
        <v>296</v>
      </c>
      <c r="B6" s="10">
        <v>20</v>
      </c>
      <c r="C6" s="5">
        <v>58436</v>
      </c>
      <c r="D6" s="5">
        <v>14325</v>
      </c>
      <c r="E6" s="5">
        <v>1683</v>
      </c>
      <c r="F6" s="5">
        <v>1491</v>
      </c>
      <c r="G6" s="5">
        <v>8411</v>
      </c>
      <c r="H6" s="5">
        <v>49183</v>
      </c>
      <c r="I6" s="7">
        <v>285400</v>
      </c>
      <c r="J6" s="7">
        <v>273100</v>
      </c>
      <c r="K6" s="5">
        <v>8176</v>
      </c>
      <c r="L6" s="5">
        <v>69303</v>
      </c>
      <c r="M6" s="7">
        <v>794700</v>
      </c>
      <c r="N6" s="7">
        <v>1859000</v>
      </c>
      <c r="O6" s="8">
        <f t="shared" si="5"/>
        <v>0.9857464461506501</v>
      </c>
      <c r="P6" s="8">
        <f t="shared" si="5"/>
        <v>1.2449008144282256</v>
      </c>
      <c r="Q6" s="8">
        <f t="shared" si="0"/>
        <v>4.3202979594778501</v>
      </c>
      <c r="R6" s="8">
        <f t="shared" si="0"/>
        <v>8.8325101432562718</v>
      </c>
      <c r="S6" s="8">
        <f t="shared" si="6"/>
        <v>0.50127270547979963</v>
      </c>
      <c r="T6" s="8">
        <f t="shared" si="1"/>
        <v>1.0096774359969549</v>
      </c>
      <c r="U6" s="8">
        <f t="shared" si="1"/>
        <v>42.200684725320599</v>
      </c>
      <c r="V6" s="8">
        <f t="shared" si="1"/>
        <v>360.60424280089484</v>
      </c>
      <c r="W6" s="8">
        <f t="shared" si="7"/>
        <v>0.1328372669521469</v>
      </c>
      <c r="X6" s="8">
        <f t="shared" si="8"/>
        <v>0.21827860128268828</v>
      </c>
      <c r="Y6" s="8">
        <f t="shared" si="8"/>
        <v>7.8285512354030073</v>
      </c>
      <c r="Z6" s="8">
        <f t="shared" si="8"/>
        <v>61.262197083958618</v>
      </c>
      <c r="AA6" s="8">
        <f t="shared" si="9"/>
        <v>7762.4785316156558</v>
      </c>
      <c r="AB6" s="8">
        <f t="shared" si="9"/>
        <v>3126.8409633745096</v>
      </c>
      <c r="AC6" s="8">
        <f t="shared" si="2"/>
        <v>13175.451729183262</v>
      </c>
      <c r="AD6" s="8">
        <f t="shared" si="2"/>
        <v>91341.935852182301</v>
      </c>
      <c r="AE6" s="8">
        <f t="shared" si="10"/>
        <v>6.7261935881073376E-2</v>
      </c>
      <c r="AF6" s="8">
        <f t="shared" si="11"/>
        <v>2.709410087669965E-2</v>
      </c>
      <c r="AG6" s="8">
        <f t="shared" si="12"/>
        <v>0.11416539006234777</v>
      </c>
      <c r="AH6" s="8">
        <f t="shared" si="13"/>
        <v>0.79147857317987924</v>
      </c>
      <c r="AI6" s="8">
        <f>LN((AVERAGE(G20:G22))/G6)/1.04</f>
        <v>0.29403523294565803</v>
      </c>
      <c r="AJ6" s="8">
        <f>LN((AVERAGE(H20:H22))/H6)/1.04</f>
        <v>0.15744700848934151</v>
      </c>
      <c r="AK6" s="8">
        <f>LN((AVERAGE(I20:I22))/I6)/1.04</f>
        <v>-5.6167912195828032E-4</v>
      </c>
      <c r="AL6" s="8">
        <f>LN((AVERAGE(J20:J22))/J6)/1.04</f>
        <v>2.3469330395707672E-4</v>
      </c>
      <c r="AM6" s="15">
        <f t="shared" si="14"/>
        <v>2.4164894521214703E-2</v>
      </c>
      <c r="AN6" s="10">
        <v>20</v>
      </c>
      <c r="AO6" s="50">
        <f t="shared" si="15"/>
        <v>0.70968067760414411</v>
      </c>
      <c r="AP6" s="50">
        <f t="shared" si="16"/>
        <v>0.35912923115641121</v>
      </c>
      <c r="AQ6" s="50">
        <f>LN((AVERAGE(AO20:AO22))/AO6)/1.04</f>
        <v>6.8415174854202371E-2</v>
      </c>
      <c r="AR6" s="50">
        <f>LN((AVERAGE(AP20:AP22))/AP6)/1.04</f>
        <v>8.188368502736347E-2</v>
      </c>
      <c r="AS6" s="8">
        <f t="shared" si="17"/>
        <v>0.19180375560315863</v>
      </c>
      <c r="AT6" s="8">
        <f t="shared" si="18"/>
        <v>0.80819624439684146</v>
      </c>
      <c r="AU6" s="50">
        <f t="shared" si="19"/>
        <v>7.9300374193771825E-2</v>
      </c>
      <c r="AV6" s="46">
        <f t="shared" si="20"/>
        <v>49183</v>
      </c>
      <c r="AW6" s="46">
        <f t="shared" si="3"/>
        <v>285400</v>
      </c>
      <c r="AX6" s="48">
        <f>LN((AVERAGE(AV20:AV22))/AV6)/1.04</f>
        <v>0.15744700848934151</v>
      </c>
      <c r="AY6" s="48">
        <f>LN((AVERAGE(AW20:AW22))/AW6)/1.04</f>
        <v>-5.6167912195828032E-4</v>
      </c>
      <c r="AZ6" s="48">
        <f t="shared" si="4"/>
        <v>2.9744980579815304E-2</v>
      </c>
    </row>
    <row r="7" spans="1:52" x14ac:dyDescent="0.2">
      <c r="A7" s="5" t="s">
        <v>297</v>
      </c>
      <c r="B7" s="10">
        <v>30</v>
      </c>
      <c r="C7" s="5">
        <v>61414</v>
      </c>
      <c r="D7" s="5">
        <v>13851</v>
      </c>
      <c r="E7" s="5">
        <v>1515</v>
      </c>
      <c r="F7" s="5">
        <v>1664</v>
      </c>
      <c r="G7" s="5">
        <v>8558</v>
      </c>
      <c r="H7" s="5">
        <v>48621</v>
      </c>
      <c r="I7" s="7">
        <v>283900</v>
      </c>
      <c r="J7" s="7">
        <v>265500</v>
      </c>
      <c r="K7" s="5">
        <v>23631</v>
      </c>
      <c r="L7" s="5">
        <v>70159</v>
      </c>
      <c r="M7" s="7">
        <v>711700</v>
      </c>
      <c r="N7" s="7">
        <v>1886000</v>
      </c>
      <c r="O7" s="8">
        <f t="shared" si="5"/>
        <v>1.0512695498810791</v>
      </c>
      <c r="P7" s="8">
        <f t="shared" si="5"/>
        <v>1.2485299167765431</v>
      </c>
      <c r="Q7" s="8">
        <f t="shared" si="0"/>
        <v>3.9684106990685586</v>
      </c>
      <c r="R7" s="8">
        <f t="shared" si="0"/>
        <v>8.9469794930279694</v>
      </c>
      <c r="S7" s="8">
        <f t="shared" si="6"/>
        <v>0.60802390368000514</v>
      </c>
      <c r="T7" s="8">
        <f t="shared" si="1"/>
        <v>1.0185333583429033</v>
      </c>
      <c r="U7" s="8">
        <f t="shared" si="1"/>
        <v>32.706060308284982</v>
      </c>
      <c r="V7" s="8">
        <f t="shared" si="1"/>
        <v>374.80702601647153</v>
      </c>
      <c r="W7" s="8">
        <f t="shared" si="7"/>
        <v>0.16112633447520136</v>
      </c>
      <c r="X7" s="8">
        <f t="shared" si="8"/>
        <v>0.22011430699330042</v>
      </c>
      <c r="Y7" s="8">
        <f t="shared" si="8"/>
        <v>6.1309599009200859</v>
      </c>
      <c r="Z7" s="8">
        <f t="shared" si="8"/>
        <v>63.574302899859404</v>
      </c>
      <c r="AA7" s="8">
        <f t="shared" si="9"/>
        <v>9895.4127054600158</v>
      </c>
      <c r="AB7" s="8">
        <f t="shared" si="9"/>
        <v>3048.8032661642042</v>
      </c>
      <c r="AC7" s="8">
        <f t="shared" si="2"/>
        <v>9288.4042498939307</v>
      </c>
      <c r="AD7" s="8">
        <f t="shared" si="2"/>
        <v>105787.64002536605</v>
      </c>
      <c r="AE7" s="8">
        <f t="shared" si="10"/>
        <v>7.7295677155919965E-2</v>
      </c>
      <c r="AF7" s="8">
        <f t="shared" si="11"/>
        <v>2.3815006002055106E-2</v>
      </c>
      <c r="AG7" s="8">
        <f t="shared" si="12"/>
        <v>7.2554174096986293E-2</v>
      </c>
      <c r="AH7" s="8">
        <f t="shared" si="13"/>
        <v>0.82633514274503861</v>
      </c>
      <c r="AI7" s="8">
        <f>LN((AVERAGE(G23:G25))/G7)/1.04</f>
        <v>0.12883084889751389</v>
      </c>
      <c r="AJ7" s="8">
        <f>LN((AVERAGE(H23:H25))/H7)/1.04</f>
        <v>6.4055294819671968E-2</v>
      </c>
      <c r="AK7" s="8">
        <f>LN((AVERAGE(I23:I25))/I7)/1.04</f>
        <v>-6.7761698473058833E-4</v>
      </c>
      <c r="AL7" s="8">
        <f>LN((AVERAGE(J23:J25))/J7)/1.04</f>
        <v>1.2354496855724512E-2</v>
      </c>
      <c r="AM7" s="15">
        <f t="shared" si="14"/>
        <v>2.1643335916836266E-2</v>
      </c>
      <c r="AN7" s="10">
        <v>30</v>
      </c>
      <c r="AO7" s="50">
        <f t="shared" si="15"/>
        <v>0.6930115879644807</v>
      </c>
      <c r="AP7" s="50">
        <f t="shared" si="16"/>
        <v>0.39890403259800478</v>
      </c>
      <c r="AQ7" s="50">
        <f>LN((AVERAGE(AO23:AO25))/AO7)/1.04</f>
        <v>5.9163992990400975E-2</v>
      </c>
      <c r="AR7" s="50">
        <f>LN((AVERAGE(AP23:AP25))/AP7)/1.04</f>
        <v>-2.9690070055908391E-2</v>
      </c>
      <c r="AS7" s="8">
        <f t="shared" si="17"/>
        <v>0.24712263793859959</v>
      </c>
      <c r="AT7" s="8">
        <f t="shared" si="18"/>
        <v>0.75287736206140032</v>
      </c>
      <c r="AU7" s="50">
        <f t="shared" si="19"/>
        <v>-7.7322196043417765E-3</v>
      </c>
      <c r="AV7" s="46">
        <f t="shared" si="20"/>
        <v>48621</v>
      </c>
      <c r="AW7" s="46">
        <f t="shared" si="3"/>
        <v>283900</v>
      </c>
      <c r="AX7" s="48">
        <f>LN((AVERAGE(AV23:AV25))/AV7)/1.04</f>
        <v>6.4055294819671968E-2</v>
      </c>
      <c r="AY7" s="48">
        <f>LN((AVERAGE(AW23:AW25))/AW7)/1.04</f>
        <v>-6.7761698473058833E-4</v>
      </c>
      <c r="AZ7" s="48">
        <f t="shared" si="4"/>
        <v>1.5319350941820086E-2</v>
      </c>
    </row>
    <row r="8" spans="1:52" x14ac:dyDescent="0.2">
      <c r="A8" s="5" t="s">
        <v>298</v>
      </c>
      <c r="B8" s="10">
        <v>40</v>
      </c>
      <c r="C8" s="5">
        <v>59019</v>
      </c>
      <c r="D8" s="5">
        <v>14147</v>
      </c>
      <c r="E8" s="5">
        <v>1438</v>
      </c>
      <c r="F8" s="5">
        <v>1306</v>
      </c>
      <c r="G8" s="5">
        <v>8579</v>
      </c>
      <c r="H8" s="5">
        <v>48361</v>
      </c>
      <c r="I8" s="7">
        <v>285000</v>
      </c>
      <c r="J8" s="7">
        <v>266400</v>
      </c>
      <c r="K8" s="5">
        <v>8391</v>
      </c>
      <c r="L8" s="5">
        <v>66202</v>
      </c>
      <c r="M8" s="7">
        <v>724600</v>
      </c>
      <c r="N8" s="7">
        <v>1667000</v>
      </c>
      <c r="O8" s="8">
        <f t="shared" si="5"/>
        <v>0.98665796134327666</v>
      </c>
      <c r="P8" s="8">
        <f t="shared" si="5"/>
        <v>1.2317537976266688</v>
      </c>
      <c r="Q8" s="8">
        <f t="shared" si="0"/>
        <v>4.0231016106261475</v>
      </c>
      <c r="R8" s="8">
        <f t="shared" si="0"/>
        <v>8.0185058782130909</v>
      </c>
      <c r="S8" s="8">
        <f t="shared" si="6"/>
        <v>0.50266456541007376</v>
      </c>
      <c r="T8" s="8">
        <f t="shared" si="1"/>
        <v>0.97802538558636598</v>
      </c>
      <c r="U8" s="8">
        <f t="shared" si="1"/>
        <v>34.077003782539791</v>
      </c>
      <c r="V8" s="8">
        <f t="shared" si="1"/>
        <v>269.81044201838517</v>
      </c>
      <c r="W8" s="8">
        <f t="shared" si="7"/>
        <v>0.13320610983366957</v>
      </c>
      <c r="X8" s="8">
        <f t="shared" si="8"/>
        <v>0.21171214496492927</v>
      </c>
      <c r="Y8" s="8">
        <f t="shared" si="8"/>
        <v>6.3772065717555506</v>
      </c>
      <c r="Z8" s="8">
        <f t="shared" si="8"/>
        <v>46.385831338442273</v>
      </c>
      <c r="AA8" s="8">
        <f t="shared" si="9"/>
        <v>7861.6913962733443</v>
      </c>
      <c r="AB8" s="8">
        <f t="shared" si="9"/>
        <v>2995.0917148188541</v>
      </c>
      <c r="AC8" s="8">
        <f t="shared" si="2"/>
        <v>9170.4230501844813</v>
      </c>
      <c r="AD8" s="8">
        <f t="shared" si="2"/>
        <v>60579.895728005606</v>
      </c>
      <c r="AE8" s="8">
        <f t="shared" si="10"/>
        <v>9.7531001760511785E-2</v>
      </c>
      <c r="AF8" s="8">
        <f t="shared" si="11"/>
        <v>3.715667285660209E-2</v>
      </c>
      <c r="AG8" s="8">
        <f t="shared" si="12"/>
        <v>0.11376693660045607</v>
      </c>
      <c r="AH8" s="8">
        <f t="shared" si="13"/>
        <v>0.75154538878242994</v>
      </c>
      <c r="AI8" s="8">
        <f>LN((AVERAGE(G26:G28))/G8)/1.04</f>
        <v>7.4140745613128264E-2</v>
      </c>
      <c r="AJ8" s="8">
        <f>LN((AVERAGE(H26:H28))/H8)/1.04</f>
        <v>2.5589872596279324E-2</v>
      </c>
      <c r="AK8" s="8">
        <f>LN((AVERAGE(I26:I28))/I8)/1.04</f>
        <v>-6.3185106322975419E-3</v>
      </c>
      <c r="AL8" s="8">
        <f>LN((AVERAGE(J26:J28))/J8)/1.04</f>
        <v>-1.3243504349813747E-3</v>
      </c>
      <c r="AM8" s="15">
        <f t="shared" si="14"/>
        <v>6.4677086543655869E-3</v>
      </c>
      <c r="AN8" s="10">
        <v>40</v>
      </c>
      <c r="AO8" s="50">
        <f t="shared" si="15"/>
        <v>0.73050663121960058</v>
      </c>
      <c r="AP8" s="50">
        <f t="shared" si="16"/>
        <v>0.39332045266353849</v>
      </c>
      <c r="AQ8" s="50">
        <f>LN((AVERAGE(AO26:AO28))/AO8)/1.04</f>
        <v>-2.2551689220494761E-2</v>
      </c>
      <c r="AR8" s="50">
        <f>LN((AVERAGE(AP26:AP28))/AP8)/1.04</f>
        <v>3.3662089179657052E-2</v>
      </c>
      <c r="AS8" s="8">
        <f t="shared" si="17"/>
        <v>0.24619523075462996</v>
      </c>
      <c r="AT8" s="8">
        <f t="shared" si="18"/>
        <v>0.75380476924536999</v>
      </c>
      <c r="AU8" s="50">
        <f t="shared" si="19"/>
        <v>1.982252503484204E-2</v>
      </c>
      <c r="AV8" s="46">
        <f t="shared" si="20"/>
        <v>48361</v>
      </c>
      <c r="AW8" s="46">
        <f t="shared" si="3"/>
        <v>285000</v>
      </c>
      <c r="AX8" s="48">
        <f>LN((AVERAGE(AV26:AV28))/AV8)/1.04</f>
        <v>2.5589872596279324E-2</v>
      </c>
      <c r="AY8" s="48">
        <f>LN((AVERAGE(AW26:AW28))/AW8)/1.04</f>
        <v>-6.3185106322975419E-3</v>
      </c>
      <c r="AZ8" s="48">
        <f t="shared" si="4"/>
        <v>1.5371811396691047E-3</v>
      </c>
    </row>
    <row r="9" spans="1:52" x14ac:dyDescent="0.2">
      <c r="A9" s="5" t="s">
        <v>299</v>
      </c>
      <c r="B9" s="10">
        <v>50</v>
      </c>
      <c r="C9" s="5">
        <v>51203</v>
      </c>
      <c r="D9" s="5">
        <v>12521</v>
      </c>
      <c r="E9" s="5">
        <v>1325</v>
      </c>
      <c r="F9" s="5">
        <v>1086</v>
      </c>
      <c r="G9" s="5">
        <v>9539</v>
      </c>
      <c r="H9" s="5">
        <v>51234</v>
      </c>
      <c r="I9" s="7">
        <v>281600</v>
      </c>
      <c r="J9" s="7">
        <v>268300</v>
      </c>
      <c r="K9" s="5">
        <v>8272</v>
      </c>
      <c r="L9" s="5">
        <v>64630</v>
      </c>
      <c r="M9" s="7">
        <v>663000</v>
      </c>
      <c r="N9" s="7">
        <v>1568000</v>
      </c>
      <c r="O9" s="8">
        <f t="shared" si="5"/>
        <v>0.98615344828317175</v>
      </c>
      <c r="P9" s="8">
        <f t="shared" si="5"/>
        <v>1.2250891377066278</v>
      </c>
      <c r="Q9" s="8">
        <f t="shared" si="0"/>
        <v>3.7619419089247939</v>
      </c>
      <c r="R9" s="8">
        <f t="shared" si="0"/>
        <v>7.5987849290502014</v>
      </c>
      <c r="S9" s="8">
        <f t="shared" si="6"/>
        <v>0.50189386919597501</v>
      </c>
      <c r="T9" s="8">
        <f t="shared" si="1"/>
        <v>0.96223569913042895</v>
      </c>
      <c r="U9" s="8">
        <f t="shared" si="1"/>
        <v>27.86215171082933</v>
      </c>
      <c r="V9" s="8">
        <f t="shared" si="1"/>
        <v>229.62060442681366</v>
      </c>
      <c r="W9" s="8">
        <f t="shared" si="7"/>
        <v>0.13300187533693339</v>
      </c>
      <c r="X9" s="8">
        <f t="shared" si="8"/>
        <v>0.20843321394336611</v>
      </c>
      <c r="Y9" s="8">
        <f t="shared" si="8"/>
        <v>5.2573761651546063</v>
      </c>
      <c r="Z9" s="8">
        <f t="shared" si="8"/>
        <v>39.738311584607601</v>
      </c>
      <c r="AA9" s="8">
        <f t="shared" si="9"/>
        <v>6810.0950228770007</v>
      </c>
      <c r="AB9" s="8">
        <f t="shared" si="9"/>
        <v>2609.7922717848869</v>
      </c>
      <c r="AC9" s="8">
        <f t="shared" si="2"/>
        <v>6966.0234188298537</v>
      </c>
      <c r="AD9" s="8">
        <f t="shared" si="2"/>
        <v>43155.806380883856</v>
      </c>
      <c r="AE9" s="8">
        <f t="shared" si="10"/>
        <v>0.11437518693125318</v>
      </c>
      <c r="AF9" s="8">
        <f t="shared" si="11"/>
        <v>4.3831323635633142E-2</v>
      </c>
      <c r="AG9" s="8">
        <f t="shared" si="12"/>
        <v>0.11699399612188671</v>
      </c>
      <c r="AH9" s="8">
        <f t="shared" si="13"/>
        <v>0.72479949331122706</v>
      </c>
      <c r="AI9" s="8">
        <f>LN((AVERAGE(G29:G31))/G9)/1.04</f>
        <v>5.1642806198267159E-2</v>
      </c>
      <c r="AJ9" s="8">
        <f>LN((AVERAGE(H29:H31))/H9)/1.04</f>
        <v>1.530450772996041E-2</v>
      </c>
      <c r="AK9" s="8">
        <f>LN((AVERAGE(I29:I31))/I9)/1.04</f>
        <v>-1.2528190196307858E-3</v>
      </c>
      <c r="AL9" s="8">
        <f>LN((AVERAGE(J29:J31))/J9)/1.04</f>
        <v>-1.3149654659495547E-3</v>
      </c>
      <c r="AM9" s="15">
        <f t="shared" si="14"/>
        <v>5.4778138370111217E-3</v>
      </c>
      <c r="AN9" s="10">
        <v>50</v>
      </c>
      <c r="AO9" s="50">
        <f t="shared" si="15"/>
        <v>0.7927278353705709</v>
      </c>
      <c r="AP9" s="50">
        <f t="shared" si="16"/>
        <v>0.42473604826546002</v>
      </c>
      <c r="AQ9" s="50">
        <f>LN((AVERAGE(AO29:AO31))/AO9)/1.04</f>
        <v>8.387531231003411E-3</v>
      </c>
      <c r="AR9" s="50">
        <f>LN((AVERAGE(AP29:AP31))/AP9)/1.04</f>
        <v>8.4522707292278773E-2</v>
      </c>
      <c r="AS9" s="8">
        <f t="shared" si="17"/>
        <v>0.27253994396975967</v>
      </c>
      <c r="AT9" s="8">
        <f t="shared" si="18"/>
        <v>0.72746005603024022</v>
      </c>
      <c r="AU9" s="50">
        <f t="shared" si="19"/>
        <v>6.3772830674410988E-2</v>
      </c>
      <c r="AV9" s="46">
        <f t="shared" si="20"/>
        <v>51234</v>
      </c>
      <c r="AW9" s="46">
        <f t="shared" si="3"/>
        <v>281600</v>
      </c>
      <c r="AX9" s="48">
        <f>LN((AVERAGE(AV29:AV31))/AV9)/1.04</f>
        <v>1.530450772996041E-2</v>
      </c>
      <c r="AY9" s="48">
        <f>LN((AVERAGE(AW29:AW31))/AW9)/1.04</f>
        <v>-1.2528190196307858E-3</v>
      </c>
      <c r="AZ9" s="48">
        <f t="shared" si="4"/>
        <v>3.2597138849918021E-3</v>
      </c>
    </row>
    <row r="10" spans="1:52" x14ac:dyDescent="0.2">
      <c r="A10" s="5" t="s">
        <v>300</v>
      </c>
      <c r="B10" s="10">
        <v>70</v>
      </c>
      <c r="C10" s="5">
        <v>20317</v>
      </c>
      <c r="D10" s="5">
        <v>5078</v>
      </c>
      <c r="E10" s="5">
        <v>548</v>
      </c>
      <c r="F10" s="5">
        <v>343</v>
      </c>
      <c r="G10" s="5">
        <v>13975</v>
      </c>
      <c r="H10" s="5">
        <v>61561</v>
      </c>
      <c r="I10" s="7">
        <v>277700</v>
      </c>
      <c r="J10" s="7">
        <v>270200</v>
      </c>
      <c r="K10" s="5">
        <v>13140</v>
      </c>
      <c r="L10" s="5">
        <v>63859</v>
      </c>
      <c r="M10" s="7">
        <v>465800</v>
      </c>
      <c r="N10" s="7">
        <v>1494000</v>
      </c>
      <c r="O10" s="8">
        <f t="shared" ref="O10:O11" si="21">(224333+K10)/235871</f>
        <v>1.0067918480864539</v>
      </c>
      <c r="P10" s="8">
        <f t="shared" ref="P10:P11" si="22">(224333+L10)/235871</f>
        <v>1.2218204018298138</v>
      </c>
      <c r="Q10" s="8">
        <f t="shared" ref="Q10:Q11" si="23">(224333+M10)/235871</f>
        <v>2.925891695036694</v>
      </c>
      <c r="R10" s="8">
        <f t="shared" ref="R10:R11" si="24">(224333+N10)/235871</f>
        <v>7.2850541185648083</v>
      </c>
      <c r="S10" s="8">
        <f t="shared" ref="S10:S11" si="25">4/3*3.14*((O10/2)^3)</f>
        <v>0.53406912163539333</v>
      </c>
      <c r="T10" s="8">
        <f t="shared" ref="T10:T11" si="26">4/3*3.14*((P10/2)^3)</f>
        <v>0.95455403034764341</v>
      </c>
      <c r="U10" s="8">
        <f t="shared" ref="U10:U11" si="27">4/3*3.14*((Q10/2)^3)</f>
        <v>13.108504163617898</v>
      </c>
      <c r="V10" s="8">
        <f t="shared" ref="V10:V11" si="28">4/3*3.14*((R10/2)^3)</f>
        <v>202.33767008307311</v>
      </c>
      <c r="W10" s="8">
        <f t="shared" ref="W10:W11" si="29">(S10*265)/1000</f>
        <v>0.14152831723337922</v>
      </c>
      <c r="X10" s="8">
        <f t="shared" ref="X10:X11" si="30">(10^(-0.665+LOG(T10, 10)*0.959))</f>
        <v>0.20683722120664524</v>
      </c>
      <c r="Y10" s="8">
        <f t="shared" ref="Y10:Y11" si="31">(10^(-0.665+LOG(U10, 10)*0.959))</f>
        <v>2.5511350981406271</v>
      </c>
      <c r="Z10" s="8">
        <f t="shared" ref="Z10:Z11" si="32">(10^(-0.665+LOG(V10, 10)*0.959))</f>
        <v>35.198778969635391</v>
      </c>
      <c r="AA10" s="8">
        <f t="shared" ref="AA10:AA11" si="33">W10*C10</f>
        <v>2875.4308212305655</v>
      </c>
      <c r="AB10" s="8">
        <f t="shared" ref="AB10:AB11" si="34">X10*D10</f>
        <v>1050.3194092873446</v>
      </c>
      <c r="AC10" s="8">
        <f t="shared" ref="AC10:AC11" si="35">Y10*E10</f>
        <v>1398.0220337810636</v>
      </c>
      <c r="AD10" s="8">
        <f t="shared" ref="AD10:AD11" si="36">Z10*F10</f>
        <v>12073.181186584939</v>
      </c>
      <c r="AE10" s="8">
        <f t="shared" ref="AE10:AE11" si="37">AA10/(AA10+AB10+AC10+AD10)</f>
        <v>0.16528358424069181</v>
      </c>
      <c r="AF10" s="8">
        <f t="shared" ref="AF10:AF11" si="38">AB10/(AA10+AB10+AC10+AD10)</f>
        <v>6.0373755224020526E-2</v>
      </c>
      <c r="AG10" s="8">
        <f t="shared" ref="AG10:AG11" si="39">AC10/(AA10+AB10+AC10+AD10)</f>
        <v>8.0360164078615279E-2</v>
      </c>
      <c r="AH10" s="8">
        <f t="shared" ref="AH10:AH11" si="40">AD10/(AA10+AB10+AC10+AD10)</f>
        <v>0.69398249645667232</v>
      </c>
      <c r="AI10" s="8"/>
      <c r="AN10" s="10">
        <v>70</v>
      </c>
      <c r="AO10" s="50">
        <f t="shared" si="15"/>
        <v>0.96401446937784807</v>
      </c>
      <c r="AP10" s="50">
        <f t="shared" si="16"/>
        <v>0.59617861743237444</v>
      </c>
      <c r="AQ10" s="51"/>
      <c r="AR10" s="51"/>
      <c r="AU10" s="51"/>
      <c r="AV10" s="46">
        <f t="shared" si="20"/>
        <v>61561</v>
      </c>
      <c r="AW10" s="46">
        <f t="shared" si="3"/>
        <v>277700</v>
      </c>
    </row>
    <row r="11" spans="1:52" x14ac:dyDescent="0.2">
      <c r="A11" s="5" t="s">
        <v>301</v>
      </c>
      <c r="B11" s="10">
        <v>100</v>
      </c>
      <c r="C11" s="5">
        <v>4197</v>
      </c>
      <c r="D11" s="5">
        <v>1419</v>
      </c>
      <c r="E11" s="5">
        <v>169</v>
      </c>
      <c r="F11" s="5">
        <v>121</v>
      </c>
      <c r="G11" s="5">
        <v>14046</v>
      </c>
      <c r="H11" s="5">
        <v>60108</v>
      </c>
      <c r="I11" s="7">
        <v>283000</v>
      </c>
      <c r="J11" s="7">
        <v>240700</v>
      </c>
      <c r="K11" s="5">
        <v>66689</v>
      </c>
      <c r="L11" s="5">
        <v>66376</v>
      </c>
      <c r="M11" s="7">
        <v>422900</v>
      </c>
      <c r="N11" s="7">
        <v>1448000</v>
      </c>
      <c r="O11" s="8">
        <f t="shared" si="21"/>
        <v>1.2338184855281065</v>
      </c>
      <c r="P11" s="8">
        <f t="shared" si="22"/>
        <v>1.2324914889918641</v>
      </c>
      <c r="Q11" s="8">
        <f t="shared" si="23"/>
        <v>2.7440126170661081</v>
      </c>
      <c r="R11" s="8">
        <f t="shared" si="24"/>
        <v>7.0900322633982134</v>
      </c>
      <c r="S11" s="8">
        <f t="shared" si="25"/>
        <v>0.98295178538771244</v>
      </c>
      <c r="T11" s="8">
        <f t="shared" si="26"/>
        <v>0.97978364213308988</v>
      </c>
      <c r="U11" s="8">
        <f t="shared" si="27"/>
        <v>10.812763635338428</v>
      </c>
      <c r="V11" s="8">
        <f t="shared" si="28"/>
        <v>186.51898011189274</v>
      </c>
      <c r="W11" s="8">
        <f t="shared" si="29"/>
        <v>0.26048222312774377</v>
      </c>
      <c r="X11" s="8">
        <f t="shared" si="30"/>
        <v>0.2120771345728068</v>
      </c>
      <c r="Y11" s="8">
        <f t="shared" si="31"/>
        <v>2.1210226408732011</v>
      </c>
      <c r="Z11" s="8">
        <f t="shared" si="32"/>
        <v>32.555426383801645</v>
      </c>
      <c r="AA11" s="8">
        <f t="shared" si="33"/>
        <v>1093.2438904671405</v>
      </c>
      <c r="AB11" s="8">
        <f t="shared" si="34"/>
        <v>300.93745395881285</v>
      </c>
      <c r="AC11" s="8">
        <f t="shared" si="35"/>
        <v>358.452826307571</v>
      </c>
      <c r="AD11" s="8">
        <f t="shared" si="36"/>
        <v>3939.206592439999</v>
      </c>
      <c r="AE11" s="8">
        <f t="shared" si="37"/>
        <v>0.192072114445028</v>
      </c>
      <c r="AF11" s="8">
        <f t="shared" si="38"/>
        <v>5.2871727527216202E-2</v>
      </c>
      <c r="AG11" s="8">
        <f t="shared" si="39"/>
        <v>6.2976608310404178E-2</v>
      </c>
      <c r="AH11" s="8">
        <f t="shared" si="40"/>
        <v>0.69207954971735164</v>
      </c>
      <c r="AI11" s="8"/>
      <c r="AN11" s="10">
        <v>100</v>
      </c>
      <c r="AO11" s="50">
        <f t="shared" si="15"/>
        <v>0.90556827769073156</v>
      </c>
      <c r="AP11" s="50">
        <f t="shared" si="16"/>
        <v>0.66918893355403164</v>
      </c>
      <c r="AQ11" s="51"/>
      <c r="AR11" s="51"/>
      <c r="AU11" s="51"/>
      <c r="AV11" s="46">
        <f t="shared" si="20"/>
        <v>60108</v>
      </c>
      <c r="AW11" s="46">
        <f t="shared" si="3"/>
        <v>283000</v>
      </c>
    </row>
    <row r="12" spans="1:52" x14ac:dyDescent="0.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x14ac:dyDescent="0.2">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x14ac:dyDescent="0.2">
      <c r="A14" s="5" t="s">
        <v>302</v>
      </c>
      <c r="B14" s="10">
        <v>5</v>
      </c>
      <c r="C14" s="5">
        <v>22903</v>
      </c>
      <c r="D14" s="5">
        <v>6002</v>
      </c>
      <c r="E14" s="5">
        <v>636</v>
      </c>
      <c r="F14" s="5">
        <v>573</v>
      </c>
      <c r="G14" s="5">
        <v>8723</v>
      </c>
      <c r="H14" s="5">
        <v>49648</v>
      </c>
      <c r="I14" s="7">
        <v>286300</v>
      </c>
      <c r="J14" s="7">
        <v>277700</v>
      </c>
      <c r="K14" s="5">
        <v>16012</v>
      </c>
      <c r="L14" s="5">
        <v>77720</v>
      </c>
      <c r="M14" s="7">
        <v>836800</v>
      </c>
      <c r="N14" s="7">
        <v>2444000</v>
      </c>
      <c r="O14" s="8">
        <f t="shared" ref="O14:R29" si="41">(224333+K14)/235871</f>
        <v>1.0189679952177249</v>
      </c>
      <c r="P14" s="8">
        <f t="shared" si="41"/>
        <v>1.2805855743181653</v>
      </c>
      <c r="Q14" s="8">
        <f t="shared" si="41"/>
        <v>4.4987853530107555</v>
      </c>
      <c r="R14" s="8">
        <f t="shared" si="41"/>
        <v>11.312679388309713</v>
      </c>
      <c r="S14" s="8">
        <f t="shared" ref="S14:V29" si="42">4/3*3.14*((O14/2)^3)</f>
        <v>0.55368151946253219</v>
      </c>
      <c r="T14" s="8">
        <f t="shared" si="42"/>
        <v>1.0990165016498508</v>
      </c>
      <c r="U14" s="8">
        <f t="shared" si="42"/>
        <v>47.650143758126646</v>
      </c>
      <c r="V14" s="8">
        <f t="shared" si="42"/>
        <v>757.66082871523065</v>
      </c>
      <c r="W14" s="8">
        <f t="shared" ref="W14:W31" si="43">(S14*265)/1000</f>
        <v>0.14672560265757101</v>
      </c>
      <c r="X14" s="8">
        <f t="shared" ref="X14:Z29" si="44">(10^(-0.665+LOG(T14, 10)*0.959))</f>
        <v>0.23676801907116726</v>
      </c>
      <c r="Y14" s="8">
        <f t="shared" si="44"/>
        <v>8.7955617589473523</v>
      </c>
      <c r="Z14" s="8">
        <f t="shared" si="44"/>
        <v>124.85799782096491</v>
      </c>
      <c r="AA14" s="8">
        <f t="shared" ref="AA14:AA19" si="45">W14*C14</f>
        <v>3360.4564776663487</v>
      </c>
      <c r="AB14" s="8">
        <f t="shared" ref="AB14:AB19" si="46">X14*D14</f>
        <v>1421.0816504651459</v>
      </c>
      <c r="AC14" s="8">
        <f t="shared" ref="AC14:AC19" si="47">Y14*E14</f>
        <v>5593.977278690516</v>
      </c>
      <c r="AD14" s="8">
        <f t="shared" ref="AD14:AD19" si="48">Z14*F14</f>
        <v>71543.632751412893</v>
      </c>
      <c r="AE14" s="8">
        <f t="shared" ref="AE14:AE19" si="49">AA14/(AA14+AB14+AC14+AD14)</f>
        <v>4.1021623798813141E-2</v>
      </c>
      <c r="AF14" s="8">
        <f t="shared" ref="AF14:AF19" si="50">AB14/(AA14+AB14+AC14+AD14)</f>
        <v>1.7347368501930544E-2</v>
      </c>
      <c r="AG14" s="8">
        <f t="shared" ref="AG14:AG19" si="51">AC14/(AA14+AB14+AC14+AD14)</f>
        <v>6.8286565527820156E-2</v>
      </c>
      <c r="AH14" s="8">
        <f t="shared" ref="AH14:AH19" si="52">AD14/(AA14+AB14+AC14+AD14)</f>
        <v>0.87334444217143614</v>
      </c>
      <c r="AI14" s="8"/>
      <c r="AN14" s="10">
        <v>5</v>
      </c>
      <c r="AO14" s="8">
        <f t="shared" ref="AO14:AO31" si="53">H14/L14</f>
        <v>0.63880597014925378</v>
      </c>
      <c r="AP14" s="8">
        <f t="shared" ref="AP14:AP31" si="54">I14/M14</f>
        <v>0.34213671128107076</v>
      </c>
      <c r="AV14" s="5">
        <f t="shared" ref="AV14:AW29" si="55">H14</f>
        <v>49648</v>
      </c>
      <c r="AW14" s="7">
        <f>I14</f>
        <v>286300</v>
      </c>
    </row>
    <row r="15" spans="1:52" x14ac:dyDescent="0.2">
      <c r="A15" s="5" t="s">
        <v>303</v>
      </c>
      <c r="B15" s="10">
        <v>5</v>
      </c>
      <c r="C15" s="5">
        <v>69882</v>
      </c>
      <c r="D15" s="5">
        <v>20689</v>
      </c>
      <c r="E15" s="5">
        <v>2422</v>
      </c>
      <c r="F15" s="5">
        <v>1895</v>
      </c>
      <c r="G15" s="5">
        <v>9823</v>
      </c>
      <c r="H15" s="5">
        <v>51607</v>
      </c>
      <c r="I15" s="7">
        <v>286300</v>
      </c>
      <c r="J15" s="7">
        <v>276100</v>
      </c>
      <c r="K15" s="5">
        <v>9596</v>
      </c>
      <c r="L15" s="5">
        <v>79249</v>
      </c>
      <c r="M15" s="7">
        <v>837600</v>
      </c>
      <c r="N15" s="7">
        <v>1854000</v>
      </c>
      <c r="O15" s="8">
        <f t="shared" si="41"/>
        <v>0.99176668602753204</v>
      </c>
      <c r="P15" s="8">
        <f t="shared" si="41"/>
        <v>1.2870679311996811</v>
      </c>
      <c r="Q15" s="8">
        <f t="shared" si="41"/>
        <v>4.502177037448436</v>
      </c>
      <c r="R15" s="8">
        <f t="shared" si="41"/>
        <v>8.8113121155207725</v>
      </c>
      <c r="S15" s="8">
        <f t="shared" si="42"/>
        <v>0.51051316462673035</v>
      </c>
      <c r="T15" s="8">
        <f t="shared" si="42"/>
        <v>1.1157908769337321</v>
      </c>
      <c r="U15" s="8">
        <f t="shared" si="42"/>
        <v>47.757996952990531</v>
      </c>
      <c r="V15" s="8">
        <f t="shared" si="42"/>
        <v>358.01411809562637</v>
      </c>
      <c r="W15" s="8">
        <f t="shared" si="43"/>
        <v>0.13528598862608354</v>
      </c>
      <c r="X15" s="8">
        <f t="shared" si="44"/>
        <v>0.24023258312258292</v>
      </c>
      <c r="Y15" s="8">
        <f t="shared" si="44"/>
        <v>8.8146528545583305</v>
      </c>
      <c r="Z15" s="8">
        <f t="shared" si="44"/>
        <v>60.840145902092019</v>
      </c>
      <c r="AA15" s="8">
        <f t="shared" si="45"/>
        <v>9454.0554571679695</v>
      </c>
      <c r="AB15" s="8">
        <f t="shared" si="46"/>
        <v>4970.1719122231179</v>
      </c>
      <c r="AC15" s="8">
        <f t="shared" si="47"/>
        <v>21349.089213740277</v>
      </c>
      <c r="AD15" s="8">
        <f t="shared" si="48"/>
        <v>115292.07648446437</v>
      </c>
      <c r="AE15" s="8">
        <f t="shared" si="49"/>
        <v>6.2582536378385872E-2</v>
      </c>
      <c r="AF15" s="8">
        <f t="shared" si="50"/>
        <v>3.290079753738942E-2</v>
      </c>
      <c r="AG15" s="8">
        <f t="shared" si="51"/>
        <v>0.14132349428427604</v>
      </c>
      <c r="AH15" s="8">
        <f t="shared" si="52"/>
        <v>0.76319317179994872</v>
      </c>
      <c r="AI15" s="8"/>
      <c r="AN15" s="10">
        <v>5</v>
      </c>
      <c r="AO15" s="8">
        <f t="shared" si="53"/>
        <v>0.65120064606493455</v>
      </c>
      <c r="AP15" s="8">
        <f t="shared" si="54"/>
        <v>0.34180993314231134</v>
      </c>
      <c r="AV15" s="5">
        <f t="shared" si="55"/>
        <v>51607</v>
      </c>
      <c r="AW15" s="5">
        <f t="shared" si="55"/>
        <v>286300</v>
      </c>
    </row>
    <row r="16" spans="1:52" x14ac:dyDescent="0.2">
      <c r="A16" s="5" t="s">
        <v>304</v>
      </c>
      <c r="B16" s="10">
        <v>5</v>
      </c>
      <c r="C16" s="5">
        <v>77716</v>
      </c>
      <c r="D16" s="5">
        <v>19926</v>
      </c>
      <c r="E16" s="5">
        <v>2900</v>
      </c>
      <c r="F16" s="5">
        <v>1914</v>
      </c>
      <c r="G16" s="5">
        <v>8545</v>
      </c>
      <c r="H16" s="5">
        <v>51936</v>
      </c>
      <c r="I16" s="7">
        <v>285900</v>
      </c>
      <c r="J16" s="7">
        <v>275400</v>
      </c>
      <c r="K16" s="5">
        <v>7123</v>
      </c>
      <c r="L16" s="5">
        <v>80749</v>
      </c>
      <c r="M16" s="7">
        <v>791400</v>
      </c>
      <c r="N16" s="7">
        <v>1834000</v>
      </c>
      <c r="O16" s="8">
        <f t="shared" si="41"/>
        <v>0.98128214150955395</v>
      </c>
      <c r="P16" s="8">
        <f t="shared" si="41"/>
        <v>1.2934273395203311</v>
      </c>
      <c r="Q16" s="8">
        <f t="shared" si="41"/>
        <v>4.3063072611724209</v>
      </c>
      <c r="R16" s="8">
        <f t="shared" si="41"/>
        <v>8.7265200045787736</v>
      </c>
      <c r="S16" s="8">
        <f t="shared" si="42"/>
        <v>0.49449292592206995</v>
      </c>
      <c r="T16" s="8">
        <f t="shared" si="42"/>
        <v>1.1324121156144404</v>
      </c>
      <c r="U16" s="8">
        <f t="shared" si="42"/>
        <v>41.792027406596965</v>
      </c>
      <c r="V16" s="8">
        <f t="shared" si="42"/>
        <v>347.77764594129104</v>
      </c>
      <c r="W16" s="8">
        <f t="shared" si="43"/>
        <v>0.13104062536934855</v>
      </c>
      <c r="X16" s="8">
        <f t="shared" si="44"/>
        <v>0.24366341262076238</v>
      </c>
      <c r="Y16" s="8">
        <f t="shared" si="44"/>
        <v>7.7558358541486303</v>
      </c>
      <c r="Z16" s="8">
        <f t="shared" si="44"/>
        <v>59.170916383180696</v>
      </c>
      <c r="AA16" s="8">
        <f t="shared" si="45"/>
        <v>10183.953241204292</v>
      </c>
      <c r="AB16" s="8">
        <f t="shared" si="46"/>
        <v>4855.2371598813115</v>
      </c>
      <c r="AC16" s="8">
        <f t="shared" si="47"/>
        <v>22491.923977031027</v>
      </c>
      <c r="AD16" s="8">
        <f t="shared" si="48"/>
        <v>113253.13395740786</v>
      </c>
      <c r="AE16" s="8">
        <f t="shared" si="49"/>
        <v>6.7539901240499606E-2</v>
      </c>
      <c r="AF16" s="8">
        <f t="shared" si="50"/>
        <v>3.2199896298699966E-2</v>
      </c>
      <c r="AG16" s="8">
        <f t="shared" si="51"/>
        <v>0.14916627051774062</v>
      </c>
      <c r="AH16" s="8">
        <f t="shared" si="52"/>
        <v>0.75109393194305984</v>
      </c>
      <c r="AI16" s="8"/>
      <c r="AN16" s="10">
        <v>5</v>
      </c>
      <c r="AO16" s="8">
        <f t="shared" si="53"/>
        <v>0.64317824369342036</v>
      </c>
      <c r="AP16" s="8">
        <f t="shared" si="54"/>
        <v>0.36125852918877938</v>
      </c>
      <c r="AV16" s="5">
        <f t="shared" si="55"/>
        <v>51936</v>
      </c>
      <c r="AW16" s="5">
        <f t="shared" si="55"/>
        <v>285900</v>
      </c>
    </row>
    <row r="17" spans="1:49" x14ac:dyDescent="0.2">
      <c r="A17" s="5" t="s">
        <v>305</v>
      </c>
      <c r="B17" s="10">
        <v>12</v>
      </c>
      <c r="C17" s="5">
        <v>20117</v>
      </c>
      <c r="D17" s="5">
        <v>5189</v>
      </c>
      <c r="E17" s="5">
        <v>730</v>
      </c>
      <c r="F17" s="5">
        <v>510</v>
      </c>
      <c r="G17" s="5">
        <v>10379</v>
      </c>
      <c r="H17" s="5">
        <v>56686</v>
      </c>
      <c r="I17" s="7">
        <v>284200</v>
      </c>
      <c r="J17" s="7">
        <v>275700</v>
      </c>
      <c r="K17" s="5">
        <v>7394</v>
      </c>
      <c r="L17" s="5">
        <v>75761</v>
      </c>
      <c r="M17" s="7">
        <v>749500</v>
      </c>
      <c r="N17" s="7">
        <v>1891000</v>
      </c>
      <c r="O17" s="8">
        <f t="shared" si="41"/>
        <v>0.98243107461281798</v>
      </c>
      <c r="P17" s="8">
        <f t="shared" si="41"/>
        <v>1.2722801870513967</v>
      </c>
      <c r="Q17" s="8">
        <f t="shared" si="41"/>
        <v>4.1286677887489347</v>
      </c>
      <c r="R17" s="8">
        <f t="shared" si="41"/>
        <v>8.9681775207634686</v>
      </c>
      <c r="S17" s="8">
        <f t="shared" si="42"/>
        <v>0.49623188987362821</v>
      </c>
      <c r="T17" s="8">
        <f t="shared" si="42"/>
        <v>1.0777714868295867</v>
      </c>
      <c r="U17" s="8">
        <f t="shared" si="42"/>
        <v>36.830550874605876</v>
      </c>
      <c r="V17" s="8">
        <f t="shared" si="42"/>
        <v>377.47742748043061</v>
      </c>
      <c r="W17" s="8">
        <f t="shared" si="43"/>
        <v>0.13150145081651146</v>
      </c>
      <c r="X17" s="8">
        <f t="shared" si="44"/>
        <v>0.23237697588707293</v>
      </c>
      <c r="Y17" s="8">
        <f t="shared" si="44"/>
        <v>6.8705843822763724</v>
      </c>
      <c r="Z17" s="8">
        <f t="shared" si="44"/>
        <v>64.008618838772506</v>
      </c>
      <c r="AA17" s="8">
        <f t="shared" si="45"/>
        <v>2645.414686075761</v>
      </c>
      <c r="AB17" s="8">
        <f t="shared" si="46"/>
        <v>1205.8041278780215</v>
      </c>
      <c r="AC17" s="8">
        <f t="shared" si="47"/>
        <v>5015.5265990617518</v>
      </c>
      <c r="AD17" s="8">
        <f t="shared" si="48"/>
        <v>32644.395607773979</v>
      </c>
      <c r="AE17" s="8">
        <f t="shared" si="49"/>
        <v>6.3727823929264932E-2</v>
      </c>
      <c r="AF17" s="8">
        <f t="shared" si="50"/>
        <v>2.9047723050400702E-2</v>
      </c>
      <c r="AG17" s="8">
        <f t="shared" si="51"/>
        <v>0.1208236265187191</v>
      </c>
      <c r="AH17" s="8">
        <f t="shared" si="52"/>
        <v>0.78640082650161536</v>
      </c>
      <c r="AI17" s="8"/>
      <c r="AN17" s="10">
        <v>12</v>
      </c>
      <c r="AO17" s="8">
        <f t="shared" si="53"/>
        <v>0.74822138039360619</v>
      </c>
      <c r="AP17" s="8">
        <f t="shared" si="54"/>
        <v>0.37918612408272179</v>
      </c>
      <c r="AV17" s="5">
        <f t="shared" si="55"/>
        <v>56686</v>
      </c>
      <c r="AW17" s="5">
        <f t="shared" si="55"/>
        <v>284200</v>
      </c>
    </row>
    <row r="18" spans="1:49" x14ac:dyDescent="0.2">
      <c r="A18" s="5" t="s">
        <v>306</v>
      </c>
      <c r="B18" s="10">
        <v>12</v>
      </c>
      <c r="C18" s="5">
        <v>56774</v>
      </c>
      <c r="D18" s="5">
        <v>15063</v>
      </c>
      <c r="E18" s="5">
        <v>2175</v>
      </c>
      <c r="F18" s="5">
        <v>1599</v>
      </c>
      <c r="G18" s="5">
        <v>11693</v>
      </c>
      <c r="H18" s="5">
        <v>58829</v>
      </c>
      <c r="I18" s="7">
        <v>286100</v>
      </c>
      <c r="J18" s="7">
        <v>273300</v>
      </c>
      <c r="K18" s="5">
        <v>7873</v>
      </c>
      <c r="L18" s="5">
        <v>76560</v>
      </c>
      <c r="M18" s="7">
        <v>791600</v>
      </c>
      <c r="N18" s="7">
        <v>1724000</v>
      </c>
      <c r="O18" s="8">
        <f t="shared" si="41"/>
        <v>0.98446184566987882</v>
      </c>
      <c r="P18" s="8">
        <f t="shared" si="41"/>
        <v>1.2756676318835296</v>
      </c>
      <c r="Q18" s="8">
        <f t="shared" si="41"/>
        <v>4.3071551822818401</v>
      </c>
      <c r="R18" s="8">
        <f t="shared" si="41"/>
        <v>8.2601633943977859</v>
      </c>
      <c r="S18" s="8">
        <f t="shared" si="42"/>
        <v>0.49931551953692349</v>
      </c>
      <c r="T18" s="8">
        <f t="shared" si="42"/>
        <v>1.086403124607072</v>
      </c>
      <c r="U18" s="8">
        <f t="shared" si="42"/>
        <v>41.816719086528337</v>
      </c>
      <c r="V18" s="8">
        <f t="shared" si="42"/>
        <v>294.94722349151164</v>
      </c>
      <c r="W18" s="8">
        <f t="shared" si="43"/>
        <v>0.13231861267728473</v>
      </c>
      <c r="X18" s="8">
        <f t="shared" si="44"/>
        <v>0.23416143708544854</v>
      </c>
      <c r="Y18" s="8">
        <f t="shared" si="44"/>
        <v>7.7602302497955158</v>
      </c>
      <c r="Z18" s="8">
        <f t="shared" si="44"/>
        <v>50.522495682914347</v>
      </c>
      <c r="AA18" s="8">
        <f t="shared" si="45"/>
        <v>7512.2569161401634</v>
      </c>
      <c r="AB18" s="8">
        <f t="shared" si="46"/>
        <v>3527.1737268181114</v>
      </c>
      <c r="AC18" s="8">
        <f t="shared" si="47"/>
        <v>16878.500793305247</v>
      </c>
      <c r="AD18" s="8">
        <f t="shared" si="48"/>
        <v>80785.470596980042</v>
      </c>
      <c r="AE18" s="8">
        <f t="shared" si="49"/>
        <v>6.9107836329195774E-2</v>
      </c>
      <c r="AF18" s="8">
        <f t="shared" si="50"/>
        <v>3.2447684808792232E-2</v>
      </c>
      <c r="AG18" s="8">
        <f t="shared" si="51"/>
        <v>0.15527113666730946</v>
      </c>
      <c r="AH18" s="8">
        <f t="shared" si="52"/>
        <v>0.74317334219470255</v>
      </c>
      <c r="AI18" s="8"/>
      <c r="AN18" s="10">
        <v>12</v>
      </c>
      <c r="AO18" s="8">
        <f t="shared" si="53"/>
        <v>0.76840386624869383</v>
      </c>
      <c r="AP18" s="8">
        <f t="shared" si="54"/>
        <v>0.36141990904497223</v>
      </c>
      <c r="AV18" s="5">
        <f t="shared" si="55"/>
        <v>58829</v>
      </c>
      <c r="AW18" s="5">
        <f t="shared" si="55"/>
        <v>286100</v>
      </c>
    </row>
    <row r="19" spans="1:49" x14ac:dyDescent="0.2">
      <c r="A19" s="5" t="s">
        <v>307</v>
      </c>
      <c r="B19" s="10">
        <v>12</v>
      </c>
      <c r="C19" s="5">
        <v>61177</v>
      </c>
      <c r="D19" s="5">
        <v>14532</v>
      </c>
      <c r="E19" s="5">
        <v>1906</v>
      </c>
      <c r="F19" s="5">
        <v>1502</v>
      </c>
      <c r="G19" s="5">
        <v>10493</v>
      </c>
      <c r="H19" s="5">
        <v>56908</v>
      </c>
      <c r="I19" s="7">
        <v>285000</v>
      </c>
      <c r="J19" s="7">
        <v>270900</v>
      </c>
      <c r="K19" s="5">
        <v>7482</v>
      </c>
      <c r="L19" s="5">
        <v>74491</v>
      </c>
      <c r="M19" s="7">
        <v>740600</v>
      </c>
      <c r="N19" s="7">
        <v>1642000</v>
      </c>
      <c r="O19" s="8">
        <f t="shared" si="41"/>
        <v>0.98280415990096281</v>
      </c>
      <c r="P19" s="8">
        <f t="shared" si="41"/>
        <v>1.2668958880065799</v>
      </c>
      <c r="Q19" s="8">
        <f t="shared" si="41"/>
        <v>4.0909352993797459</v>
      </c>
      <c r="R19" s="8">
        <f t="shared" si="41"/>
        <v>7.9125157395355936</v>
      </c>
      <c r="S19" s="8">
        <f t="shared" si="42"/>
        <v>0.49679744751430582</v>
      </c>
      <c r="T19" s="8">
        <f t="shared" si="42"/>
        <v>1.0641459030188298</v>
      </c>
      <c r="U19" s="8">
        <f t="shared" si="42"/>
        <v>35.829952338058284</v>
      </c>
      <c r="V19" s="8">
        <f t="shared" si="42"/>
        <v>259.25202567952761</v>
      </c>
      <c r="W19" s="8">
        <f t="shared" si="43"/>
        <v>0.13165132359129103</v>
      </c>
      <c r="X19" s="8">
        <f t="shared" si="44"/>
        <v>0.22955889684557443</v>
      </c>
      <c r="Y19" s="8">
        <f t="shared" si="44"/>
        <v>6.6914792413360331</v>
      </c>
      <c r="Z19" s="8">
        <f t="shared" si="44"/>
        <v>44.643635124764167</v>
      </c>
      <c r="AA19" s="8">
        <f t="shared" si="45"/>
        <v>8054.033023344411</v>
      </c>
      <c r="AB19" s="8">
        <f t="shared" si="46"/>
        <v>3335.9498889598876</v>
      </c>
      <c r="AC19" s="8">
        <f t="shared" si="47"/>
        <v>12753.95943398648</v>
      </c>
      <c r="AD19" s="8">
        <f t="shared" si="48"/>
        <v>67054.739957395781</v>
      </c>
      <c r="AE19" s="8">
        <f t="shared" si="49"/>
        <v>8.8313041591159464E-2</v>
      </c>
      <c r="AF19" s="8">
        <f t="shared" si="50"/>
        <v>3.6578926413118107E-2</v>
      </c>
      <c r="AG19" s="8">
        <f t="shared" si="51"/>
        <v>0.13984806700952651</v>
      </c>
      <c r="AH19" s="8">
        <f t="shared" si="52"/>
        <v>0.73525996498619584</v>
      </c>
      <c r="AI19" s="8"/>
      <c r="AN19" s="10">
        <v>12</v>
      </c>
      <c r="AO19" s="8">
        <f t="shared" si="53"/>
        <v>0.76395806204776417</v>
      </c>
      <c r="AP19" s="8">
        <f t="shared" si="54"/>
        <v>0.38482311639211453</v>
      </c>
      <c r="AV19" s="5">
        <f t="shared" si="55"/>
        <v>56908</v>
      </c>
      <c r="AW19" s="5">
        <f t="shared" si="55"/>
        <v>285000</v>
      </c>
    </row>
    <row r="20" spans="1:49" x14ac:dyDescent="0.2">
      <c r="A20" s="5" t="s">
        <v>308</v>
      </c>
      <c r="B20" s="10">
        <v>20</v>
      </c>
      <c r="C20" s="5">
        <v>15355</v>
      </c>
      <c r="D20" s="5">
        <v>3813</v>
      </c>
      <c r="E20" s="5">
        <v>591</v>
      </c>
      <c r="F20" s="5">
        <v>448</v>
      </c>
      <c r="G20" s="5">
        <v>11183</v>
      </c>
      <c r="H20" s="5">
        <v>57577</v>
      </c>
      <c r="I20" s="7">
        <v>286700</v>
      </c>
      <c r="J20" s="7">
        <v>275300</v>
      </c>
      <c r="K20" s="5">
        <v>12816</v>
      </c>
      <c r="L20" s="5">
        <v>75971</v>
      </c>
      <c r="M20" s="7">
        <v>764400</v>
      </c>
      <c r="N20" s="7">
        <v>1970000</v>
      </c>
      <c r="O20" s="8">
        <f t="shared" si="41"/>
        <v>1.0054182158891938</v>
      </c>
      <c r="P20" s="8">
        <f t="shared" si="41"/>
        <v>1.2731705042162877</v>
      </c>
      <c r="Q20" s="8">
        <f t="shared" si="41"/>
        <v>4.1918379114007234</v>
      </c>
      <c r="R20" s="8">
        <f t="shared" si="41"/>
        <v>9.3031063589843601</v>
      </c>
      <c r="S20" s="8">
        <f t="shared" si="42"/>
        <v>0.5318861061118616</v>
      </c>
      <c r="T20" s="8">
        <f t="shared" si="42"/>
        <v>1.0800356817014662</v>
      </c>
      <c r="U20" s="8">
        <f t="shared" si="42"/>
        <v>38.547111594333067</v>
      </c>
      <c r="V20" s="8">
        <f t="shared" si="42"/>
        <v>421.36878121957682</v>
      </c>
      <c r="W20" s="8">
        <f t="shared" si="43"/>
        <v>0.1409498181196433</v>
      </c>
      <c r="X20" s="8">
        <f t="shared" si="44"/>
        <v>0.23284512060212181</v>
      </c>
      <c r="Y20" s="8">
        <f t="shared" si="44"/>
        <v>7.1773838913877679</v>
      </c>
      <c r="Z20" s="8">
        <f t="shared" si="44"/>
        <v>71.129736430683877</v>
      </c>
      <c r="AA20" s="8">
        <f t="shared" ref="AA20:AA31" si="56">W20*C20</f>
        <v>2164.2844572271229</v>
      </c>
      <c r="AB20" s="8">
        <f t="shared" ref="AB20:AB31" si="57">X20*D20</f>
        <v>887.83844485589043</v>
      </c>
      <c r="AC20" s="8">
        <f t="shared" ref="AC20:AC31" si="58">Y20*E20</f>
        <v>4241.8338798101704</v>
      </c>
      <c r="AD20" s="8">
        <f t="shared" ref="AD20:AD31" si="59">Z20*F20</f>
        <v>31866.121920946378</v>
      </c>
      <c r="AE20" s="8">
        <f t="shared" ref="AE20:AE31" si="60">AA20/(AA20+AB20+AC20+AD20)</f>
        <v>5.5267622765788435E-2</v>
      </c>
      <c r="AF20" s="8">
        <f t="shared" ref="AF20:AF31" si="61">AB20/(AA20+AB20+AC20+AD20)</f>
        <v>2.2672029124178233E-2</v>
      </c>
      <c r="AG20" s="8">
        <f t="shared" ref="AG20:AG31" si="62">AC20/(AA20+AB20+AC20+AD20)</f>
        <v>0.10832036145786877</v>
      </c>
      <c r="AH20" s="8">
        <f t="shared" ref="AH20:AH31" si="63">AD20/(AA20+AB20+AC20+AD20)</f>
        <v>0.81373998665216452</v>
      </c>
      <c r="AN20" s="10">
        <v>20</v>
      </c>
      <c r="AO20" s="8">
        <f t="shared" si="53"/>
        <v>0.7578812968106251</v>
      </c>
      <c r="AP20" s="8">
        <f t="shared" si="54"/>
        <v>0.37506541077969652</v>
      </c>
      <c r="AV20" s="5">
        <f t="shared" si="55"/>
        <v>57577</v>
      </c>
      <c r="AW20" s="5">
        <f t="shared" si="55"/>
        <v>286700</v>
      </c>
    </row>
    <row r="21" spans="1:49" x14ac:dyDescent="0.2">
      <c r="A21" s="5" t="s">
        <v>309</v>
      </c>
      <c r="B21" s="10">
        <v>20</v>
      </c>
      <c r="C21" s="5">
        <v>47255</v>
      </c>
      <c r="D21" s="5">
        <v>11609</v>
      </c>
      <c r="E21" s="5">
        <v>1692</v>
      </c>
      <c r="F21" s="5">
        <v>1250</v>
      </c>
      <c r="G21" s="5">
        <v>11643</v>
      </c>
      <c r="H21" s="5">
        <v>58823</v>
      </c>
      <c r="I21" s="7">
        <v>283700</v>
      </c>
      <c r="J21" s="7">
        <v>271800</v>
      </c>
      <c r="K21" s="5">
        <v>9284</v>
      </c>
      <c r="L21" s="5">
        <v>77480</v>
      </c>
      <c r="M21" s="7">
        <v>711300</v>
      </c>
      <c r="N21" s="7">
        <v>1640000</v>
      </c>
      <c r="O21" s="8">
        <f t="shared" si="41"/>
        <v>0.99044392909683687</v>
      </c>
      <c r="P21" s="8">
        <f t="shared" si="41"/>
        <v>1.2795680689868614</v>
      </c>
      <c r="Q21" s="8">
        <f t="shared" si="41"/>
        <v>3.9667148568497188</v>
      </c>
      <c r="R21" s="8">
        <f t="shared" si="41"/>
        <v>7.9040365284413934</v>
      </c>
      <c r="S21" s="8">
        <f t="shared" si="42"/>
        <v>0.50847321536167678</v>
      </c>
      <c r="T21" s="8">
        <f t="shared" si="42"/>
        <v>1.0963988705823888</v>
      </c>
      <c r="U21" s="8">
        <f t="shared" si="42"/>
        <v>32.664148855364324</v>
      </c>
      <c r="V21" s="8">
        <f t="shared" si="42"/>
        <v>258.41945944864335</v>
      </c>
      <c r="W21" s="8">
        <f t="shared" si="43"/>
        <v>0.13474540207084434</v>
      </c>
      <c r="X21" s="8">
        <f t="shared" si="44"/>
        <v>0.23622718120192646</v>
      </c>
      <c r="Y21" s="8">
        <f t="shared" si="44"/>
        <v>6.1234252527123454</v>
      </c>
      <c r="Z21" s="8">
        <f t="shared" si="44"/>
        <v>44.506134898504577</v>
      </c>
      <c r="AA21" s="8">
        <f t="shared" si="56"/>
        <v>6367.3939748577495</v>
      </c>
      <c r="AB21" s="8">
        <f t="shared" si="57"/>
        <v>2742.3613465731642</v>
      </c>
      <c r="AC21" s="8">
        <f t="shared" si="58"/>
        <v>10360.835527589288</v>
      </c>
      <c r="AD21" s="8">
        <f t="shared" si="59"/>
        <v>55632.668623130718</v>
      </c>
      <c r="AE21" s="8">
        <f t="shared" si="60"/>
        <v>8.4781859264295267E-2</v>
      </c>
      <c r="AF21" s="8">
        <f t="shared" si="61"/>
        <v>3.6514544985761378E-2</v>
      </c>
      <c r="AG21" s="8">
        <f t="shared" si="62"/>
        <v>0.13795453886300627</v>
      </c>
      <c r="AH21" s="8">
        <f t="shared" si="63"/>
        <v>0.74074905688693704</v>
      </c>
      <c r="AN21" s="10">
        <v>20</v>
      </c>
      <c r="AO21" s="8">
        <f t="shared" si="53"/>
        <v>0.75920237480640163</v>
      </c>
      <c r="AP21" s="8">
        <f t="shared" si="54"/>
        <v>0.39884718121748908</v>
      </c>
      <c r="AV21" s="5">
        <f t="shared" si="55"/>
        <v>58823</v>
      </c>
      <c r="AW21" s="5">
        <f t="shared" si="55"/>
        <v>283700</v>
      </c>
    </row>
    <row r="22" spans="1:49" x14ac:dyDescent="0.2">
      <c r="A22" s="5" t="s">
        <v>310</v>
      </c>
      <c r="B22" s="10">
        <v>20</v>
      </c>
      <c r="C22" s="5">
        <v>46270</v>
      </c>
      <c r="D22" s="5">
        <v>11444</v>
      </c>
      <c r="E22" s="5">
        <v>1962</v>
      </c>
      <c r="F22" s="5">
        <v>1414</v>
      </c>
      <c r="G22" s="5">
        <v>11433</v>
      </c>
      <c r="H22" s="5">
        <v>57400</v>
      </c>
      <c r="I22" s="7">
        <v>285300</v>
      </c>
      <c r="J22" s="7">
        <v>272400</v>
      </c>
      <c r="K22" s="5">
        <v>11457</v>
      </c>
      <c r="L22" s="5">
        <v>74646</v>
      </c>
      <c r="M22" s="7">
        <v>714600</v>
      </c>
      <c r="N22" s="7">
        <v>1635000</v>
      </c>
      <c r="O22" s="8">
        <f t="shared" si="41"/>
        <v>0.9996565919506849</v>
      </c>
      <c r="P22" s="8">
        <f t="shared" si="41"/>
        <v>1.2675530268663804</v>
      </c>
      <c r="Q22" s="8">
        <f t="shared" si="41"/>
        <v>3.9807055551551485</v>
      </c>
      <c r="R22" s="8">
        <f t="shared" si="41"/>
        <v>7.8828385007058941</v>
      </c>
      <c r="S22" s="8">
        <f t="shared" si="42"/>
        <v>0.52279436782338351</v>
      </c>
      <c r="T22" s="8">
        <f t="shared" si="42"/>
        <v>1.0658026794372903</v>
      </c>
      <c r="U22" s="8">
        <f t="shared" si="42"/>
        <v>33.010991010585016</v>
      </c>
      <c r="V22" s="8">
        <f t="shared" si="42"/>
        <v>256.34584638490804</v>
      </c>
      <c r="W22" s="8">
        <f t="shared" si="43"/>
        <v>0.13854050747319663</v>
      </c>
      <c r="X22" s="8">
        <f t="shared" si="44"/>
        <v>0.22990163433360838</v>
      </c>
      <c r="Y22" s="8">
        <f t="shared" si="44"/>
        <v>6.185767055662212</v>
      </c>
      <c r="Z22" s="8">
        <f t="shared" si="44"/>
        <v>44.163593846365274</v>
      </c>
      <c r="AA22" s="8">
        <f t="shared" si="56"/>
        <v>6410.269280784808</v>
      </c>
      <c r="AB22" s="8">
        <f t="shared" si="57"/>
        <v>2630.9943033138143</v>
      </c>
      <c r="AC22" s="8">
        <f t="shared" si="58"/>
        <v>12136.474963209261</v>
      </c>
      <c r="AD22" s="8">
        <f t="shared" si="59"/>
        <v>62447.321698760497</v>
      </c>
      <c r="AE22" s="8">
        <f t="shared" si="60"/>
        <v>7.6654883858050027E-2</v>
      </c>
      <c r="AF22" s="8">
        <f t="shared" si="61"/>
        <v>3.1461792620203349E-2</v>
      </c>
      <c r="AG22" s="8">
        <f t="shared" si="62"/>
        <v>0.14512964089350067</v>
      </c>
      <c r="AH22" s="8">
        <f t="shared" si="63"/>
        <v>0.74675368262824604</v>
      </c>
      <c r="AN22" s="10">
        <v>20</v>
      </c>
      <c r="AO22" s="8">
        <f t="shared" si="53"/>
        <v>0.76896283792835518</v>
      </c>
      <c r="AP22" s="8">
        <f t="shared" si="54"/>
        <v>0.39924433249370278</v>
      </c>
      <c r="AV22" s="5">
        <f t="shared" si="55"/>
        <v>57400</v>
      </c>
      <c r="AW22" s="5">
        <f t="shared" si="55"/>
        <v>285300</v>
      </c>
    </row>
    <row r="23" spans="1:49" x14ac:dyDescent="0.2">
      <c r="A23" s="5" t="s">
        <v>311</v>
      </c>
      <c r="B23" s="10">
        <v>30</v>
      </c>
      <c r="C23" s="5">
        <v>15711</v>
      </c>
      <c r="D23" s="5">
        <v>3917</v>
      </c>
      <c r="E23" s="5">
        <v>529</v>
      </c>
      <c r="F23" s="5">
        <v>374</v>
      </c>
      <c r="G23" s="5">
        <v>9725</v>
      </c>
      <c r="H23" s="5">
        <v>51833</v>
      </c>
      <c r="I23" s="7">
        <v>284700</v>
      </c>
      <c r="J23" s="7">
        <v>275400</v>
      </c>
      <c r="K23" s="5">
        <v>10408</v>
      </c>
      <c r="L23" s="5">
        <v>71184</v>
      </c>
      <c r="M23" s="7">
        <v>759500</v>
      </c>
      <c r="N23" s="7">
        <v>1648000</v>
      </c>
      <c r="O23" s="8">
        <f t="shared" si="41"/>
        <v>0.99520924573177716</v>
      </c>
      <c r="P23" s="8">
        <f t="shared" si="41"/>
        <v>1.2528755124623205</v>
      </c>
      <c r="Q23" s="8">
        <f t="shared" si="41"/>
        <v>4.1710638442199341</v>
      </c>
      <c r="R23" s="8">
        <f t="shared" si="41"/>
        <v>7.9379533728181926</v>
      </c>
      <c r="S23" s="8">
        <f t="shared" si="42"/>
        <v>0.5158478251720835</v>
      </c>
      <c r="T23" s="8">
        <f t="shared" si="42"/>
        <v>1.0292056476911646</v>
      </c>
      <c r="U23" s="8">
        <f t="shared" si="42"/>
        <v>37.97684743696621</v>
      </c>
      <c r="V23" s="8">
        <f t="shared" si="42"/>
        <v>261.76044984718618</v>
      </c>
      <c r="W23" s="8">
        <f t="shared" si="43"/>
        <v>0.13669967367060212</v>
      </c>
      <c r="X23" s="8">
        <f t="shared" si="44"/>
        <v>0.22232565071946314</v>
      </c>
      <c r="Y23" s="8">
        <f t="shared" si="44"/>
        <v>7.0755244266245532</v>
      </c>
      <c r="Z23" s="8">
        <f t="shared" si="44"/>
        <v>45.057797947527874</v>
      </c>
      <c r="AA23" s="8">
        <f t="shared" si="56"/>
        <v>2147.6885730388299</v>
      </c>
      <c r="AB23" s="8">
        <f t="shared" si="57"/>
        <v>870.8495738681371</v>
      </c>
      <c r="AC23" s="8">
        <f t="shared" si="58"/>
        <v>3742.9524216843888</v>
      </c>
      <c r="AD23" s="8">
        <f t="shared" si="59"/>
        <v>16851.616432375424</v>
      </c>
      <c r="AE23" s="8">
        <f t="shared" si="60"/>
        <v>9.0953239357738816E-2</v>
      </c>
      <c r="AF23" s="8">
        <f t="shared" si="61"/>
        <v>3.6879923249087142E-2</v>
      </c>
      <c r="AG23" s="8">
        <f t="shared" si="62"/>
        <v>0.15851164446640345</v>
      </c>
      <c r="AH23" s="8">
        <f t="shared" si="63"/>
        <v>0.71365519292677049</v>
      </c>
      <c r="AN23" s="10">
        <v>30</v>
      </c>
      <c r="AO23" s="8">
        <f t="shared" si="53"/>
        <v>0.72815520341649809</v>
      </c>
      <c r="AP23" s="8">
        <f t="shared" si="54"/>
        <v>0.37485187623436472</v>
      </c>
      <c r="AV23" s="5">
        <f t="shared" si="55"/>
        <v>51833</v>
      </c>
      <c r="AW23" s="5">
        <f t="shared" si="55"/>
        <v>284700</v>
      </c>
    </row>
    <row r="24" spans="1:49" x14ac:dyDescent="0.2">
      <c r="A24" s="5" t="s">
        <v>312</v>
      </c>
      <c r="B24" s="10">
        <v>30</v>
      </c>
      <c r="C24" s="5">
        <v>45576</v>
      </c>
      <c r="D24" s="5">
        <v>10743</v>
      </c>
      <c r="E24" s="5">
        <v>1168</v>
      </c>
      <c r="F24" s="5">
        <v>994</v>
      </c>
      <c r="G24" s="5">
        <v>9784</v>
      </c>
      <c r="H24" s="5">
        <v>51876</v>
      </c>
      <c r="I24" s="7">
        <v>282400</v>
      </c>
      <c r="J24" s="7">
        <v>266400</v>
      </c>
      <c r="K24" s="5">
        <v>7808</v>
      </c>
      <c r="L24" s="5">
        <v>70073</v>
      </c>
      <c r="M24" s="7">
        <v>722400</v>
      </c>
      <c r="N24" s="7">
        <v>1440000</v>
      </c>
      <c r="O24" s="8">
        <f t="shared" si="41"/>
        <v>0.98418627130931735</v>
      </c>
      <c r="P24" s="8">
        <f t="shared" si="41"/>
        <v>1.2481653106994925</v>
      </c>
      <c r="Q24" s="8">
        <f t="shared" si="41"/>
        <v>4.013774478422528</v>
      </c>
      <c r="R24" s="8">
        <f t="shared" si="41"/>
        <v>7.0561154190214141</v>
      </c>
      <c r="S24" s="8">
        <f t="shared" si="42"/>
        <v>0.49889632591729749</v>
      </c>
      <c r="T24" s="8">
        <f t="shared" si="42"/>
        <v>1.0176412971858768</v>
      </c>
      <c r="U24" s="8">
        <f t="shared" si="42"/>
        <v>33.840541142734807</v>
      </c>
      <c r="V24" s="8">
        <f t="shared" si="42"/>
        <v>183.85499184716619</v>
      </c>
      <c r="W24" s="8">
        <f t="shared" si="43"/>
        <v>0.13220752636808386</v>
      </c>
      <c r="X24" s="8">
        <f t="shared" si="44"/>
        <v>0.2199294252401203</v>
      </c>
      <c r="Y24" s="8">
        <f t="shared" si="44"/>
        <v>6.3347629782092207</v>
      </c>
      <c r="Z24" s="8">
        <f t="shared" si="44"/>
        <v>32.109381003872372</v>
      </c>
      <c r="AA24" s="8">
        <f t="shared" si="56"/>
        <v>6025.4902217517902</v>
      </c>
      <c r="AB24" s="8">
        <f t="shared" si="57"/>
        <v>2362.7018153546123</v>
      </c>
      <c r="AC24" s="8">
        <f t="shared" si="58"/>
        <v>7399.0031585483703</v>
      </c>
      <c r="AD24" s="8">
        <f t="shared" si="59"/>
        <v>31916.724717849138</v>
      </c>
      <c r="AE24" s="8">
        <f t="shared" si="60"/>
        <v>0.12631016974448067</v>
      </c>
      <c r="AF24" s="8">
        <f t="shared" si="61"/>
        <v>4.9528462642873597E-2</v>
      </c>
      <c r="AG24" s="8">
        <f t="shared" si="62"/>
        <v>0.15510262410225703</v>
      </c>
      <c r="AH24" s="8">
        <f t="shared" si="63"/>
        <v>0.66905874351038874</v>
      </c>
      <c r="AN24" s="10">
        <v>30</v>
      </c>
      <c r="AO24" s="8">
        <f t="shared" si="53"/>
        <v>0.74031367288399241</v>
      </c>
      <c r="AP24" s="8">
        <f t="shared" si="54"/>
        <v>0.39091915836101881</v>
      </c>
      <c r="AV24" s="5">
        <f t="shared" si="55"/>
        <v>51876</v>
      </c>
      <c r="AW24" s="5">
        <f t="shared" si="55"/>
        <v>282400</v>
      </c>
    </row>
    <row r="25" spans="1:49" x14ac:dyDescent="0.2">
      <c r="A25" s="5" t="s">
        <v>313</v>
      </c>
      <c r="B25" s="10">
        <v>30</v>
      </c>
      <c r="C25" s="5">
        <v>45502</v>
      </c>
      <c r="D25" s="5">
        <v>11039</v>
      </c>
      <c r="E25" s="5">
        <v>1333</v>
      </c>
      <c r="F25" s="5">
        <v>1099</v>
      </c>
      <c r="G25" s="5">
        <v>9846</v>
      </c>
      <c r="H25" s="5">
        <v>52202</v>
      </c>
      <c r="I25" s="7">
        <v>284000</v>
      </c>
      <c r="J25" s="7">
        <v>265000</v>
      </c>
      <c r="K25" s="5">
        <v>7113</v>
      </c>
      <c r="L25" s="5">
        <v>70305</v>
      </c>
      <c r="M25" s="7">
        <v>719800</v>
      </c>
      <c r="N25" s="7">
        <v>1565000</v>
      </c>
      <c r="O25" s="8">
        <f t="shared" si="41"/>
        <v>0.98123974545408299</v>
      </c>
      <c r="P25" s="8">
        <f t="shared" si="41"/>
        <v>1.2491488991864197</v>
      </c>
      <c r="Q25" s="8">
        <f t="shared" si="41"/>
        <v>4.0027515040000674</v>
      </c>
      <c r="R25" s="8">
        <f t="shared" si="41"/>
        <v>7.5860661124089015</v>
      </c>
      <c r="S25" s="8">
        <f t="shared" si="42"/>
        <v>0.49442883535257293</v>
      </c>
      <c r="T25" s="8">
        <f t="shared" si="42"/>
        <v>1.0200489812419276</v>
      </c>
      <c r="U25" s="8">
        <f t="shared" si="42"/>
        <v>33.562498669178957</v>
      </c>
      <c r="V25" s="8">
        <f t="shared" si="42"/>
        <v>228.46951903861535</v>
      </c>
      <c r="W25" s="8">
        <f t="shared" si="43"/>
        <v>0.13102364136843184</v>
      </c>
      <c r="X25" s="8">
        <f t="shared" si="44"/>
        <v>0.2204284081519364</v>
      </c>
      <c r="Y25" s="8">
        <f t="shared" si="44"/>
        <v>6.2848404956155877</v>
      </c>
      <c r="Z25" s="8">
        <f t="shared" si="44"/>
        <v>39.547251744710309</v>
      </c>
      <c r="AA25" s="8">
        <f t="shared" si="56"/>
        <v>5961.8377295463852</v>
      </c>
      <c r="AB25" s="8">
        <f t="shared" si="57"/>
        <v>2433.3091975892257</v>
      </c>
      <c r="AC25" s="8">
        <f t="shared" si="58"/>
        <v>8377.6923806555787</v>
      </c>
      <c r="AD25" s="8">
        <f t="shared" si="59"/>
        <v>43462.429667436627</v>
      </c>
      <c r="AE25" s="8">
        <f t="shared" si="60"/>
        <v>9.8975862994788541E-2</v>
      </c>
      <c r="AF25" s="8">
        <f t="shared" si="61"/>
        <v>4.0396751587345639E-2</v>
      </c>
      <c r="AG25" s="8">
        <f t="shared" si="62"/>
        <v>0.13908284171688459</v>
      </c>
      <c r="AH25" s="8">
        <f t="shared" si="63"/>
        <v>0.7215445437009812</v>
      </c>
      <c r="AN25" s="10">
        <v>30</v>
      </c>
      <c r="AO25" s="8">
        <f t="shared" si="53"/>
        <v>0.74250764525993884</v>
      </c>
      <c r="AP25" s="8">
        <f t="shared" si="54"/>
        <v>0.39455404278966377</v>
      </c>
      <c r="AV25" s="5">
        <f t="shared" si="55"/>
        <v>52202</v>
      </c>
      <c r="AW25" s="5">
        <f t="shared" si="55"/>
        <v>284000</v>
      </c>
    </row>
    <row r="26" spans="1:49" x14ac:dyDescent="0.2">
      <c r="A26" s="5" t="s">
        <v>314</v>
      </c>
      <c r="B26" s="10">
        <v>40</v>
      </c>
      <c r="C26" s="5">
        <v>14308</v>
      </c>
      <c r="D26" s="5">
        <v>3485</v>
      </c>
      <c r="E26" s="5">
        <v>327</v>
      </c>
      <c r="F26" s="5">
        <v>256</v>
      </c>
      <c r="G26" s="5">
        <v>9307</v>
      </c>
      <c r="H26" s="5">
        <v>49741</v>
      </c>
      <c r="I26" s="7">
        <v>281900</v>
      </c>
      <c r="J26" s="7">
        <v>265400</v>
      </c>
      <c r="K26" s="5">
        <v>10029</v>
      </c>
      <c r="L26" s="5">
        <v>71442</v>
      </c>
      <c r="M26" s="7">
        <v>672500</v>
      </c>
      <c r="N26" s="7">
        <v>1404000</v>
      </c>
      <c r="O26" s="8">
        <f t="shared" si="41"/>
        <v>0.99360243522942626</v>
      </c>
      <c r="P26" s="8">
        <f t="shared" si="41"/>
        <v>1.2539693306934723</v>
      </c>
      <c r="Q26" s="8">
        <f t="shared" si="41"/>
        <v>3.8022181616222426</v>
      </c>
      <c r="R26" s="8">
        <f t="shared" si="41"/>
        <v>6.9034896193258177</v>
      </c>
      <c r="S26" s="8">
        <f t="shared" si="42"/>
        <v>0.51335327788232255</v>
      </c>
      <c r="T26" s="8">
        <f t="shared" si="42"/>
        <v>1.0319036340907306</v>
      </c>
      <c r="U26" s="8">
        <f t="shared" si="42"/>
        <v>28.766663525041501</v>
      </c>
      <c r="V26" s="8">
        <f t="shared" si="42"/>
        <v>172.18068295895972</v>
      </c>
      <c r="W26" s="8">
        <f t="shared" si="43"/>
        <v>0.13603861863881547</v>
      </c>
      <c r="X26" s="8">
        <f t="shared" si="44"/>
        <v>0.2228845357232084</v>
      </c>
      <c r="Y26" s="8">
        <f t="shared" si="44"/>
        <v>5.4209452909086133</v>
      </c>
      <c r="Z26" s="8">
        <f t="shared" si="44"/>
        <v>30.15150986026001</v>
      </c>
      <c r="AA26" s="8">
        <f t="shared" si="56"/>
        <v>1946.4405554841717</v>
      </c>
      <c r="AB26" s="8">
        <f t="shared" si="57"/>
        <v>776.75260699538126</v>
      </c>
      <c r="AC26" s="8">
        <f t="shared" si="58"/>
        <v>1772.6491101271165</v>
      </c>
      <c r="AD26" s="8">
        <f t="shared" si="59"/>
        <v>7718.7865242265625</v>
      </c>
      <c r="AE26" s="8">
        <f t="shared" si="60"/>
        <v>0.15935323028308535</v>
      </c>
      <c r="AF26" s="8">
        <f t="shared" si="61"/>
        <v>6.3591994477700572E-2</v>
      </c>
      <c r="AG26" s="8">
        <f t="shared" si="62"/>
        <v>0.14512509054607486</v>
      </c>
      <c r="AH26" s="8">
        <f t="shared" si="63"/>
        <v>0.63192968469313915</v>
      </c>
      <c r="AN26" s="10">
        <v>40</v>
      </c>
      <c r="AO26" s="8">
        <f t="shared" si="53"/>
        <v>0.69624310629601638</v>
      </c>
      <c r="AP26" s="8">
        <f t="shared" si="54"/>
        <v>0.41918215613382898</v>
      </c>
      <c r="AV26" s="5">
        <f t="shared" si="55"/>
        <v>49741</v>
      </c>
      <c r="AW26" s="5">
        <f t="shared" si="55"/>
        <v>281900</v>
      </c>
    </row>
    <row r="27" spans="1:49" x14ac:dyDescent="0.2">
      <c r="A27" s="5" t="s">
        <v>315</v>
      </c>
      <c r="B27" s="10">
        <v>40</v>
      </c>
      <c r="C27" s="5">
        <v>44853</v>
      </c>
      <c r="D27" s="5">
        <v>10742</v>
      </c>
      <c r="E27" s="5">
        <v>1166</v>
      </c>
      <c r="F27" s="5">
        <v>995</v>
      </c>
      <c r="G27" s="5">
        <v>9217</v>
      </c>
      <c r="H27" s="5">
        <v>49545</v>
      </c>
      <c r="I27" s="7">
        <v>285300</v>
      </c>
      <c r="J27" s="7">
        <v>265800</v>
      </c>
      <c r="K27" s="5">
        <v>6291</v>
      </c>
      <c r="L27" s="5">
        <v>70208</v>
      </c>
      <c r="M27" s="7">
        <v>726500</v>
      </c>
      <c r="N27" s="7">
        <v>1648000</v>
      </c>
      <c r="O27" s="8">
        <f t="shared" si="41"/>
        <v>0.9777547896943668</v>
      </c>
      <c r="P27" s="8">
        <f t="shared" si="41"/>
        <v>1.2487376574483511</v>
      </c>
      <c r="Q27" s="8">
        <f t="shared" si="41"/>
        <v>4.0311568611656368</v>
      </c>
      <c r="R27" s="8">
        <f t="shared" si="41"/>
        <v>7.9379533728181926</v>
      </c>
      <c r="S27" s="8">
        <f t="shared" si="42"/>
        <v>0.48917950581422914</v>
      </c>
      <c r="T27" s="8">
        <f t="shared" si="42"/>
        <v>1.0190418588027981</v>
      </c>
      <c r="U27" s="8">
        <f t="shared" si="42"/>
        <v>34.282105824289971</v>
      </c>
      <c r="V27" s="8">
        <f t="shared" si="42"/>
        <v>261.76044984718618</v>
      </c>
      <c r="W27" s="8">
        <f t="shared" si="43"/>
        <v>0.12963256904077072</v>
      </c>
      <c r="X27" s="8">
        <f t="shared" si="44"/>
        <v>0.2202196919272309</v>
      </c>
      <c r="Y27" s="8">
        <f t="shared" si="44"/>
        <v>6.4140113492244382</v>
      </c>
      <c r="Z27" s="8">
        <f t="shared" si="44"/>
        <v>45.057797947527874</v>
      </c>
      <c r="AA27" s="8">
        <f t="shared" si="56"/>
        <v>5814.4096191856888</v>
      </c>
      <c r="AB27" s="8">
        <f t="shared" si="57"/>
        <v>2365.5999306823142</v>
      </c>
      <c r="AC27" s="8">
        <f t="shared" si="58"/>
        <v>7478.7372331956949</v>
      </c>
      <c r="AD27" s="8">
        <f t="shared" si="59"/>
        <v>44832.508957790233</v>
      </c>
      <c r="AE27" s="8">
        <f t="shared" si="60"/>
        <v>9.6119836627210492E-2</v>
      </c>
      <c r="AF27" s="8">
        <f t="shared" si="61"/>
        <v>3.9106477485218762E-2</v>
      </c>
      <c r="AG27" s="8">
        <f t="shared" si="62"/>
        <v>0.12363336058412797</v>
      </c>
      <c r="AH27" s="8">
        <f t="shared" si="63"/>
        <v>0.74114032530344276</v>
      </c>
      <c r="AN27" s="10">
        <v>40</v>
      </c>
      <c r="AO27" s="8">
        <f t="shared" si="53"/>
        <v>0.70568881039197817</v>
      </c>
      <c r="AP27" s="8">
        <f t="shared" si="54"/>
        <v>0.3927047487955953</v>
      </c>
      <c r="AV27" s="5">
        <f t="shared" si="55"/>
        <v>49545</v>
      </c>
      <c r="AW27" s="5">
        <f t="shared" si="55"/>
        <v>285300</v>
      </c>
    </row>
    <row r="28" spans="1:49" x14ac:dyDescent="0.2">
      <c r="A28" s="5" t="s">
        <v>316</v>
      </c>
      <c r="B28" s="10">
        <v>40</v>
      </c>
      <c r="C28" s="5">
        <v>44359</v>
      </c>
      <c r="D28" s="5">
        <v>10811</v>
      </c>
      <c r="E28" s="5">
        <v>1242</v>
      </c>
      <c r="F28" s="5">
        <v>1181</v>
      </c>
      <c r="G28" s="5">
        <v>9276</v>
      </c>
      <c r="H28" s="5">
        <v>49710</v>
      </c>
      <c r="I28" s="7">
        <v>282200</v>
      </c>
      <c r="J28" s="7">
        <v>266900</v>
      </c>
      <c r="K28" s="5">
        <v>6055</v>
      </c>
      <c r="L28" s="5">
        <v>67286</v>
      </c>
      <c r="M28" s="7">
        <v>688100</v>
      </c>
      <c r="N28" s="7">
        <v>1490000</v>
      </c>
      <c r="O28" s="8">
        <f t="shared" si="41"/>
        <v>0.97675424278525125</v>
      </c>
      <c r="P28" s="8">
        <f t="shared" si="41"/>
        <v>1.2363495300397251</v>
      </c>
      <c r="Q28" s="8">
        <f t="shared" si="41"/>
        <v>3.8683560081570012</v>
      </c>
      <c r="R28" s="8">
        <f t="shared" si="41"/>
        <v>7.2680956963764087</v>
      </c>
      <c r="S28" s="8">
        <f t="shared" si="42"/>
        <v>0.48767929422080686</v>
      </c>
      <c r="T28" s="8">
        <f t="shared" si="42"/>
        <v>0.98901345949850084</v>
      </c>
      <c r="U28" s="8">
        <f t="shared" si="42"/>
        <v>30.294075603814964</v>
      </c>
      <c r="V28" s="8">
        <f t="shared" si="42"/>
        <v>200.92792917945997</v>
      </c>
      <c r="W28" s="8">
        <f t="shared" si="43"/>
        <v>0.12923501296851381</v>
      </c>
      <c r="X28" s="8">
        <f t="shared" si="44"/>
        <v>0.21399267698864377</v>
      </c>
      <c r="Y28" s="8">
        <f t="shared" si="44"/>
        <v>5.6966828141832746</v>
      </c>
      <c r="Z28" s="8">
        <f t="shared" si="44"/>
        <v>34.96356076135752</v>
      </c>
      <c r="AA28" s="8">
        <f t="shared" si="56"/>
        <v>5732.7359402703041</v>
      </c>
      <c r="AB28" s="8">
        <f t="shared" si="57"/>
        <v>2313.4748309242277</v>
      </c>
      <c r="AC28" s="8">
        <f t="shared" si="58"/>
        <v>7075.2800552156268</v>
      </c>
      <c r="AD28" s="8">
        <f t="shared" si="59"/>
        <v>41291.965259163233</v>
      </c>
      <c r="AE28" s="8">
        <f t="shared" si="60"/>
        <v>0.10162000944551838</v>
      </c>
      <c r="AF28" s="8">
        <f t="shared" si="61"/>
        <v>4.1009273167290534E-2</v>
      </c>
      <c r="AG28" s="8">
        <f t="shared" si="62"/>
        <v>0.1254183052441098</v>
      </c>
      <c r="AH28" s="8">
        <f t="shared" si="63"/>
        <v>0.73195241214308138</v>
      </c>
      <c r="AN28" s="10">
        <v>40</v>
      </c>
      <c r="AO28" s="8">
        <f t="shared" si="53"/>
        <v>0.73878667181880331</v>
      </c>
      <c r="AP28" s="8">
        <f t="shared" si="54"/>
        <v>0.4101148088940561</v>
      </c>
      <c r="AV28" s="5">
        <f t="shared" si="55"/>
        <v>49710</v>
      </c>
      <c r="AW28" s="5">
        <f t="shared" si="55"/>
        <v>282200</v>
      </c>
    </row>
    <row r="29" spans="1:49" x14ac:dyDescent="0.2">
      <c r="A29" s="5" t="s">
        <v>317</v>
      </c>
      <c r="B29" s="10">
        <v>50</v>
      </c>
      <c r="C29" s="5">
        <v>12097</v>
      </c>
      <c r="D29" s="5">
        <v>2963</v>
      </c>
      <c r="E29" s="5">
        <v>279</v>
      </c>
      <c r="F29" s="5">
        <v>198</v>
      </c>
      <c r="G29" s="5">
        <v>9948</v>
      </c>
      <c r="H29" s="5">
        <v>52030</v>
      </c>
      <c r="I29" s="7">
        <v>280000</v>
      </c>
      <c r="J29" s="7">
        <v>270000</v>
      </c>
      <c r="K29" s="5">
        <v>9654</v>
      </c>
      <c r="L29" s="5">
        <v>65703</v>
      </c>
      <c r="M29" s="7">
        <v>623300</v>
      </c>
      <c r="N29" s="7">
        <v>1421000</v>
      </c>
      <c r="O29" s="8">
        <f t="shared" si="41"/>
        <v>0.99201258314926377</v>
      </c>
      <c r="P29" s="8">
        <f t="shared" si="41"/>
        <v>1.229638234458666</v>
      </c>
      <c r="Q29" s="8">
        <f t="shared" si="41"/>
        <v>3.5936295687049276</v>
      </c>
      <c r="R29" s="8">
        <f t="shared" si="41"/>
        <v>6.9755629136265158</v>
      </c>
      <c r="S29" s="8">
        <f t="shared" si="42"/>
        <v>0.51089298635325542</v>
      </c>
      <c r="T29" s="8">
        <f t="shared" si="42"/>
        <v>0.97299469801924632</v>
      </c>
      <c r="U29" s="8">
        <f t="shared" si="42"/>
        <v>24.287248796752809</v>
      </c>
      <c r="V29" s="8">
        <f t="shared" si="42"/>
        <v>177.62994355293574</v>
      </c>
      <c r="W29" s="8">
        <f t="shared" si="43"/>
        <v>0.1353866413836127</v>
      </c>
      <c r="X29" s="8">
        <f t="shared" si="44"/>
        <v>0.21066769540240887</v>
      </c>
      <c r="Y29" s="8">
        <f t="shared" si="44"/>
        <v>4.6086933311517377</v>
      </c>
      <c r="Z29" s="8">
        <f t="shared" si="44"/>
        <v>31.066048398111715</v>
      </c>
      <c r="AA29" s="8">
        <f t="shared" si="56"/>
        <v>1637.7722008175629</v>
      </c>
      <c r="AB29" s="8">
        <f t="shared" si="57"/>
        <v>624.20838147733753</v>
      </c>
      <c r="AC29" s="8">
        <f t="shared" si="58"/>
        <v>1285.8254393913348</v>
      </c>
      <c r="AD29" s="8">
        <f t="shared" si="59"/>
        <v>6151.0775828261194</v>
      </c>
      <c r="AE29" s="8">
        <f t="shared" si="60"/>
        <v>0.16886192964060298</v>
      </c>
      <c r="AF29" s="8">
        <f t="shared" si="61"/>
        <v>6.4358786735715434E-2</v>
      </c>
      <c r="AG29" s="8">
        <f t="shared" si="62"/>
        <v>0.13257458196457905</v>
      </c>
      <c r="AH29" s="8">
        <f t="shared" si="63"/>
        <v>0.6342047016591027</v>
      </c>
      <c r="AN29" s="10">
        <v>50</v>
      </c>
      <c r="AO29" s="8">
        <f t="shared" si="53"/>
        <v>0.79189686924493552</v>
      </c>
      <c r="AP29" s="8">
        <f t="shared" si="54"/>
        <v>0.44922188352318304</v>
      </c>
      <c r="AV29" s="5">
        <f t="shared" si="55"/>
        <v>52030</v>
      </c>
      <c r="AW29" s="5">
        <f t="shared" si="55"/>
        <v>280000</v>
      </c>
    </row>
    <row r="30" spans="1:49" x14ac:dyDescent="0.2">
      <c r="A30" s="5" t="s">
        <v>318</v>
      </c>
      <c r="B30" s="10">
        <v>50</v>
      </c>
      <c r="C30" s="5">
        <v>37588</v>
      </c>
      <c r="D30" s="5">
        <v>9331</v>
      </c>
      <c r="E30" s="5">
        <v>959</v>
      </c>
      <c r="F30" s="5">
        <v>716</v>
      </c>
      <c r="G30" s="5">
        <v>10096</v>
      </c>
      <c r="H30" s="5">
        <v>52086</v>
      </c>
      <c r="I30" s="7">
        <v>283000</v>
      </c>
      <c r="J30" s="7">
        <v>267700</v>
      </c>
      <c r="K30" s="5">
        <v>6147</v>
      </c>
      <c r="L30" s="5">
        <v>65958</v>
      </c>
      <c r="M30" s="7">
        <v>624200</v>
      </c>
      <c r="N30" s="7">
        <v>1516000</v>
      </c>
      <c r="O30" s="8">
        <f t="shared" ref="O30:O31" si="64">(224333+K30)/235871</f>
        <v>0.97714428649558449</v>
      </c>
      <c r="P30" s="8">
        <f t="shared" ref="P30:P31" si="65">(224333+L30)/235871</f>
        <v>1.2307193338731763</v>
      </c>
      <c r="Q30" s="8">
        <f t="shared" ref="Q30:Q31" si="66">(224333+M30)/235871</f>
        <v>3.5974452136973176</v>
      </c>
      <c r="R30" s="8">
        <f t="shared" ref="R30:R31" si="67">(224333+N30)/235871</f>
        <v>7.3783254406010066</v>
      </c>
      <c r="S30" s="8">
        <f t="shared" ref="S30:S31" si="68">4/3*3.14*((O30/2)^3)</f>
        <v>0.48826375713328968</v>
      </c>
      <c r="T30" s="8">
        <f t="shared" ref="T30:T31" si="69">4/3*3.14*((P30/2)^3)</f>
        <v>0.97556332936579715</v>
      </c>
      <c r="U30" s="8">
        <f t="shared" ref="U30:U31" si="70">4/3*3.14*((Q30/2)^3)</f>
        <v>24.364694133641134</v>
      </c>
      <c r="V30" s="8">
        <f t="shared" ref="V30:V31" si="71">4/3*3.14*((R30/2)^3)</f>
        <v>210.20924808759651</v>
      </c>
      <c r="W30" s="8">
        <f t="shared" si="43"/>
        <v>0.12938989564032174</v>
      </c>
      <c r="X30" s="8">
        <f t="shared" ref="X30:X31" si="72">(10^(-0.665+LOG(T30, 10)*0.959))</f>
        <v>0.2112010111081172</v>
      </c>
      <c r="Y30" s="8">
        <f t="shared" ref="Y30:Y31" si="73">(10^(-0.665+LOG(U30, 10)*0.959))</f>
        <v>4.6227857327301161</v>
      </c>
      <c r="Z30" s="8">
        <f t="shared" ref="Z30:Z31" si="74">(10^(-0.665+LOG(V30, 10)*0.959))</f>
        <v>36.510946715104623</v>
      </c>
      <c r="AA30" s="8">
        <f t="shared" si="56"/>
        <v>4863.5073973284134</v>
      </c>
      <c r="AB30" s="8">
        <f t="shared" si="57"/>
        <v>1970.7166346498416</v>
      </c>
      <c r="AC30" s="8">
        <f t="shared" si="58"/>
        <v>4433.2515176881816</v>
      </c>
      <c r="AD30" s="8">
        <f t="shared" si="59"/>
        <v>26141.837848014911</v>
      </c>
      <c r="AE30" s="8">
        <f t="shared" si="60"/>
        <v>0.13000792999397462</v>
      </c>
      <c r="AF30" s="8">
        <f t="shared" si="61"/>
        <v>5.2679839742046368E-2</v>
      </c>
      <c r="AG30" s="8">
        <f t="shared" si="62"/>
        <v>0.11850662615911463</v>
      </c>
      <c r="AH30" s="8">
        <f t="shared" si="63"/>
        <v>0.69880560410486436</v>
      </c>
      <c r="AN30" s="10">
        <v>50</v>
      </c>
      <c r="AO30" s="8">
        <f t="shared" si="53"/>
        <v>0.78968434458291636</v>
      </c>
      <c r="AP30" s="8">
        <f t="shared" si="54"/>
        <v>0.45338032681832746</v>
      </c>
      <c r="AV30" s="5">
        <f t="shared" ref="AV30:AW31" si="75">H30</f>
        <v>52086</v>
      </c>
      <c r="AW30" s="5">
        <f t="shared" si="75"/>
        <v>283000</v>
      </c>
    </row>
    <row r="31" spans="1:49" x14ac:dyDescent="0.2">
      <c r="A31" s="5" t="s">
        <v>319</v>
      </c>
      <c r="B31" s="10">
        <v>50</v>
      </c>
      <c r="C31" s="5">
        <v>36904</v>
      </c>
      <c r="D31" s="5">
        <v>8936</v>
      </c>
      <c r="E31" s="5">
        <v>843</v>
      </c>
      <c r="F31" s="5">
        <v>574</v>
      </c>
      <c r="G31" s="5">
        <v>10152</v>
      </c>
      <c r="H31" s="5">
        <v>52052</v>
      </c>
      <c r="I31" s="7">
        <v>280700</v>
      </c>
      <c r="J31" s="7">
        <v>266100</v>
      </c>
      <c r="K31" s="5">
        <v>6717</v>
      </c>
      <c r="L31" s="5">
        <v>63677</v>
      </c>
      <c r="M31" s="7">
        <v>574400</v>
      </c>
      <c r="N31" s="7">
        <v>1284000</v>
      </c>
      <c r="O31" s="8">
        <f t="shared" si="64"/>
        <v>0.97956086165743139</v>
      </c>
      <c r="P31" s="8">
        <f t="shared" si="65"/>
        <v>1.2210487936202417</v>
      </c>
      <c r="Q31" s="8">
        <f t="shared" si="66"/>
        <v>3.3863128574517427</v>
      </c>
      <c r="R31" s="8">
        <f t="shared" si="67"/>
        <v>6.3947369536738305</v>
      </c>
      <c r="S31" s="8">
        <f t="shared" si="68"/>
        <v>0.49189529824099559</v>
      </c>
      <c r="T31" s="8">
        <f t="shared" si="69"/>
        <v>0.95274670249547988</v>
      </c>
      <c r="U31" s="8">
        <f t="shared" si="70"/>
        <v>20.321681313463085</v>
      </c>
      <c r="V31" s="8">
        <f t="shared" si="71"/>
        <v>136.85051981048298</v>
      </c>
      <c r="W31" s="8">
        <f t="shared" si="43"/>
        <v>0.13035225403386383</v>
      </c>
      <c r="X31" s="8">
        <f t="shared" si="72"/>
        <v>0.20646164281744475</v>
      </c>
      <c r="Y31" s="8">
        <f t="shared" si="73"/>
        <v>3.8844835920523817</v>
      </c>
      <c r="Z31" s="8">
        <f t="shared" si="74"/>
        <v>24.191363479316408</v>
      </c>
      <c r="AA31" s="8">
        <f t="shared" si="56"/>
        <v>4810.5195828657106</v>
      </c>
      <c r="AB31" s="8">
        <f t="shared" si="57"/>
        <v>1844.9412402166863</v>
      </c>
      <c r="AC31" s="8">
        <f t="shared" si="58"/>
        <v>3274.6196681001579</v>
      </c>
      <c r="AD31" s="8">
        <f t="shared" si="59"/>
        <v>13885.842637127618</v>
      </c>
      <c r="AE31" s="8">
        <f t="shared" si="60"/>
        <v>0.20198753401027772</v>
      </c>
      <c r="AF31" s="8">
        <f t="shared" si="61"/>
        <v>7.7466711253513842E-2</v>
      </c>
      <c r="AG31" s="8">
        <f t="shared" si="62"/>
        <v>0.1374970707815055</v>
      </c>
      <c r="AH31" s="8">
        <f t="shared" si="63"/>
        <v>0.583048683954703</v>
      </c>
      <c r="AN31" s="10">
        <v>50</v>
      </c>
      <c r="AO31" s="8">
        <f t="shared" si="53"/>
        <v>0.817438007443818</v>
      </c>
      <c r="AP31" s="8">
        <f t="shared" si="54"/>
        <v>0.48868384401114207</v>
      </c>
      <c r="AV31" s="5">
        <f t="shared" si="75"/>
        <v>52052</v>
      </c>
      <c r="AW31" s="5">
        <f t="shared" si="75"/>
        <v>280700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294</v>
      </c>
      <c r="B38" s="10">
        <v>5</v>
      </c>
      <c r="C38" s="31">
        <f>1-0.21-0.025</f>
        <v>0.76500000000000001</v>
      </c>
      <c r="D38" s="12">
        <f>H38/$C38</f>
        <v>75779.084967320261</v>
      </c>
      <c r="E38" s="12">
        <f t="shared" ref="E38:G45" si="76">I38/$C38</f>
        <v>19016.993464052288</v>
      </c>
      <c r="F38" s="12">
        <f t="shared" si="76"/>
        <v>2262.7450980392155</v>
      </c>
      <c r="G38" s="12">
        <f>K38/$C38</f>
        <v>2504.5751633986929</v>
      </c>
      <c r="H38" s="5">
        <v>57971</v>
      </c>
      <c r="I38" s="5">
        <v>14548</v>
      </c>
      <c r="J38" s="5">
        <v>1731</v>
      </c>
      <c r="K38" s="5">
        <v>1916</v>
      </c>
      <c r="L38" s="26">
        <f t="shared" ref="L38:O45" si="77">W4*D38*1000/1000000</f>
        <v>10.165058812601087</v>
      </c>
      <c r="M38" s="26">
        <f t="shared" si="77"/>
        <v>4.1621563171382707</v>
      </c>
      <c r="N38" s="26">
        <f t="shared" si="77"/>
        <v>19.277297984449945</v>
      </c>
      <c r="O38" s="26">
        <f t="shared" si="77"/>
        <v>151.32642199103481</v>
      </c>
      <c r="P38" s="26">
        <f>SUM(L38:O38)</f>
        <v>184.93093510522411</v>
      </c>
      <c r="Q38" s="26">
        <f>SUM(L38:N38)</f>
        <v>33.604513114189302</v>
      </c>
      <c r="R38" s="26">
        <f>(LN(L48/(L38*0.25)))/$B$1</f>
        <v>0.60478117848794877</v>
      </c>
      <c r="S38" s="26">
        <f>(R38-R39)/(1-0.25)</f>
        <v>0.45118895379667978</v>
      </c>
      <c r="T38" s="26">
        <f>S38+R40</f>
        <v>0.77554450502434547</v>
      </c>
      <c r="V38" s="26">
        <f>(LN(L51/(L39*0.25)))/$B$1</f>
        <v>0.33179055004014818</v>
      </c>
      <c r="W38" s="26">
        <f>(V38-V39)/(1-0.25)</f>
        <v>0.45727050392667445</v>
      </c>
      <c r="X38" s="26">
        <f>W38+V40</f>
        <v>0.53345358777914353</v>
      </c>
      <c r="Z38" s="26">
        <f>(LN(L54/(L40*0.25)))/$B$1</f>
        <v>0.13105292800300511</v>
      </c>
      <c r="AA38" s="26">
        <f>(Z38-Z39)/(1-0.25)</f>
        <v>0.39383831596416136</v>
      </c>
      <c r="AB38" s="26">
        <f>AA38+Z40</f>
        <v>0.23596539428676147</v>
      </c>
    </row>
    <row r="39" spans="1:28" x14ac:dyDescent="0.2">
      <c r="A39" s="5" t="s">
        <v>295</v>
      </c>
      <c r="B39" s="10">
        <v>12</v>
      </c>
      <c r="C39" s="31">
        <f>1-0.23-0.025</f>
        <v>0.745</v>
      </c>
      <c r="D39" s="12">
        <f t="shared" ref="D39:D44" si="78">H39/$C39</f>
        <v>78638.92617449665</v>
      </c>
      <c r="E39" s="12">
        <f t="shared" si="76"/>
        <v>19410.738255033557</v>
      </c>
      <c r="F39" s="12">
        <f t="shared" si="76"/>
        <v>2218.7919463087246</v>
      </c>
      <c r="G39" s="12">
        <f t="shared" si="76"/>
        <v>2216.1073825503354</v>
      </c>
      <c r="H39" s="5">
        <v>58586</v>
      </c>
      <c r="I39" s="5">
        <v>14461</v>
      </c>
      <c r="J39" s="5">
        <v>1653</v>
      </c>
      <c r="K39" s="5">
        <v>1651</v>
      </c>
      <c r="L39" s="26">
        <f t="shared" si="77"/>
        <v>10.629333594731111</v>
      </c>
      <c r="M39" s="26">
        <f t="shared" si="77"/>
        <v>4.185182279766444</v>
      </c>
      <c r="N39" s="26">
        <f t="shared" si="77"/>
        <v>17.228090232923272</v>
      </c>
      <c r="O39" s="26">
        <f t="shared" si="77"/>
        <v>132.97030812764115</v>
      </c>
      <c r="P39" s="26">
        <f t="shared" ref="P39:P44" si="79">SUM(L39:O39)</f>
        <v>165.01291423506197</v>
      </c>
      <c r="Q39" s="26">
        <f t="shared" ref="Q39:Q44" si="80">SUM(L39:N39)</f>
        <v>32.042606107420823</v>
      </c>
      <c r="R39" s="26">
        <f>(LN(L49/L38))/$B$1</f>
        <v>0.26638946314043893</v>
      </c>
      <c r="V39" s="26">
        <f>(LN(L52/L39))/$B$1</f>
        <v>-1.1162327904857685E-2</v>
      </c>
      <c r="Z39" s="26">
        <f>(LN(L55/L40))/$B$1</f>
        <v>-0.16432580897011589</v>
      </c>
    </row>
    <row r="40" spans="1:28" x14ac:dyDescent="0.2">
      <c r="A40" s="5" t="s">
        <v>296</v>
      </c>
      <c r="B40" s="10">
        <v>20</v>
      </c>
      <c r="C40" s="31">
        <f>1-0.23-0.025</f>
        <v>0.745</v>
      </c>
      <c r="D40" s="12">
        <f t="shared" si="78"/>
        <v>78437.583892617447</v>
      </c>
      <c r="E40" s="12">
        <f t="shared" si="76"/>
        <v>19228.187919463086</v>
      </c>
      <c r="F40" s="12">
        <f t="shared" si="76"/>
        <v>2259.060402684564</v>
      </c>
      <c r="G40" s="12">
        <f t="shared" si="76"/>
        <v>2001.3422818791946</v>
      </c>
      <c r="H40" s="5">
        <v>58436</v>
      </c>
      <c r="I40" s="5">
        <v>14325</v>
      </c>
      <c r="J40" s="5">
        <v>1683</v>
      </c>
      <c r="K40" s="5">
        <v>1491</v>
      </c>
      <c r="L40" s="26">
        <f t="shared" si="77"/>
        <v>10.419434270625041</v>
      </c>
      <c r="M40" s="26">
        <f t="shared" si="77"/>
        <v>4.1971019642610869</v>
      </c>
      <c r="N40" s="26">
        <f t="shared" si="77"/>
        <v>17.685170106286261</v>
      </c>
      <c r="O40" s="26">
        <f t="shared" si="77"/>
        <v>122.60662530494268</v>
      </c>
      <c r="P40" s="26">
        <f t="shared" si="79"/>
        <v>154.90833164611507</v>
      </c>
      <c r="Q40" s="26">
        <f t="shared" si="80"/>
        <v>32.301706341172391</v>
      </c>
      <c r="R40" s="26">
        <f>LN(L50/L38)/$B$1</f>
        <v>0.32435555122766563</v>
      </c>
      <c r="V40" s="26">
        <f>LN(L53/L39)/$B$1</f>
        <v>7.6183083852469052E-2</v>
      </c>
      <c r="Z40" s="26">
        <f>LN(L56/L40)/$B$1</f>
        <v>-0.15787292167739989</v>
      </c>
    </row>
    <row r="41" spans="1:28" x14ac:dyDescent="0.2">
      <c r="A41" s="5" t="s">
        <v>297</v>
      </c>
      <c r="B41" s="10">
        <v>30</v>
      </c>
      <c r="C41" s="31">
        <f>1-0.22-0.025</f>
        <v>0.755</v>
      </c>
      <c r="D41" s="12">
        <f t="shared" si="78"/>
        <v>81343.046357615895</v>
      </c>
      <c r="E41" s="12">
        <f t="shared" si="76"/>
        <v>18345.695364238411</v>
      </c>
      <c r="F41" s="12">
        <f t="shared" si="76"/>
        <v>2006.6225165562914</v>
      </c>
      <c r="G41" s="12">
        <f t="shared" si="76"/>
        <v>2203.9735099337749</v>
      </c>
      <c r="H41" s="5">
        <v>61414</v>
      </c>
      <c r="I41" s="5">
        <v>13851</v>
      </c>
      <c r="J41" s="5">
        <v>1515</v>
      </c>
      <c r="K41" s="5">
        <v>1664</v>
      </c>
      <c r="L41" s="26">
        <f t="shared" si="77"/>
        <v>13.106506894649028</v>
      </c>
      <c r="M41" s="26">
        <f t="shared" si="77"/>
        <v>4.0381500214095416</v>
      </c>
      <c r="N41" s="26">
        <f t="shared" si="77"/>
        <v>12.302522185289973</v>
      </c>
      <c r="O41" s="26">
        <f t="shared" si="77"/>
        <v>140.1160795037961</v>
      </c>
      <c r="P41" s="26">
        <f t="shared" si="79"/>
        <v>169.56325860514465</v>
      </c>
      <c r="Q41" s="26">
        <f t="shared" si="80"/>
        <v>29.447179101348542</v>
      </c>
      <c r="R41" s="5" t="s">
        <v>535</v>
      </c>
      <c r="V41" s="5" t="s">
        <v>535</v>
      </c>
      <c r="Z41" s="5" t="s">
        <v>535</v>
      </c>
    </row>
    <row r="42" spans="1:28" x14ac:dyDescent="0.2">
      <c r="A42" s="5" t="s">
        <v>298</v>
      </c>
      <c r="B42" s="10">
        <v>40</v>
      </c>
      <c r="C42" s="31">
        <f>1-0.2-0.025</f>
        <v>0.77500000000000002</v>
      </c>
      <c r="D42" s="12">
        <f t="shared" si="78"/>
        <v>76153.548387096773</v>
      </c>
      <c r="E42" s="12">
        <f t="shared" si="76"/>
        <v>18254.193548387095</v>
      </c>
      <c r="F42" s="12">
        <f t="shared" si="76"/>
        <v>1855.483870967742</v>
      </c>
      <c r="G42" s="12">
        <f t="shared" si="76"/>
        <v>1685.1612903225805</v>
      </c>
      <c r="H42" s="5">
        <v>59019</v>
      </c>
      <c r="I42" s="5">
        <v>14147</v>
      </c>
      <c r="J42" s="5">
        <v>1438</v>
      </c>
      <c r="K42" s="5">
        <v>1306</v>
      </c>
      <c r="L42" s="26">
        <f t="shared" si="77"/>
        <v>10.14411793067528</v>
      </c>
      <c r="M42" s="26">
        <f t="shared" si="77"/>
        <v>3.8646344707340052</v>
      </c>
      <c r="N42" s="26">
        <f t="shared" si="77"/>
        <v>11.832803935721911</v>
      </c>
      <c r="O42" s="26">
        <f t="shared" si="77"/>
        <v>78.167607390974965</v>
      </c>
      <c r="P42" s="26">
        <f t="shared" si="79"/>
        <v>104.00916372810616</v>
      </c>
      <c r="Q42" s="26">
        <f t="shared" si="80"/>
        <v>25.841556337131195</v>
      </c>
      <c r="R42" s="6" t="s">
        <v>539</v>
      </c>
      <c r="S42" s="6" t="s">
        <v>540</v>
      </c>
      <c r="T42" s="6" t="s">
        <v>541</v>
      </c>
      <c r="V42" s="6" t="s">
        <v>539</v>
      </c>
      <c r="W42" s="6" t="s">
        <v>540</v>
      </c>
      <c r="X42" s="6" t="s">
        <v>541</v>
      </c>
      <c r="Z42" s="6" t="s">
        <v>539</v>
      </c>
      <c r="AA42" s="6" t="s">
        <v>540</v>
      </c>
      <c r="AB42" s="6" t="s">
        <v>541</v>
      </c>
    </row>
    <row r="43" spans="1:28" x14ac:dyDescent="0.2">
      <c r="A43" s="5" t="s">
        <v>299</v>
      </c>
      <c r="B43" s="10">
        <v>50</v>
      </c>
      <c r="C43" s="31">
        <f>1-0.21-0.025</f>
        <v>0.76500000000000001</v>
      </c>
      <c r="D43" s="12">
        <f t="shared" si="78"/>
        <v>66932.026143790848</v>
      </c>
      <c r="E43" s="12">
        <f t="shared" si="76"/>
        <v>16367.320261437908</v>
      </c>
      <c r="F43" s="12">
        <f t="shared" si="76"/>
        <v>1732.0261437908496</v>
      </c>
      <c r="G43" s="12">
        <f t="shared" si="76"/>
        <v>1419.6078431372548</v>
      </c>
      <c r="H43" s="5">
        <v>51203</v>
      </c>
      <c r="I43" s="5">
        <v>12521</v>
      </c>
      <c r="J43" s="5">
        <v>1325</v>
      </c>
      <c r="K43" s="5">
        <v>1086</v>
      </c>
      <c r="L43" s="26">
        <f t="shared" si="77"/>
        <v>8.9020849972248364</v>
      </c>
      <c r="M43" s="26">
        <f t="shared" si="77"/>
        <v>3.4114931657318786</v>
      </c>
      <c r="N43" s="26">
        <f t="shared" si="77"/>
        <v>9.1059129657906581</v>
      </c>
      <c r="O43" s="26">
        <f t="shared" si="77"/>
        <v>56.412818798540982</v>
      </c>
      <c r="P43" s="26">
        <f t="shared" si="79"/>
        <v>77.83230992728835</v>
      </c>
      <c r="Q43" s="26">
        <f t="shared" si="80"/>
        <v>21.419491128747374</v>
      </c>
      <c r="R43" s="26">
        <f>(LN(M48/(M38*0.25)))/$B$1</f>
        <v>0.63580467228110238</v>
      </c>
      <c r="S43" s="26">
        <f>(R43-R44)/(1-0.25)</f>
        <v>0.17212594737452078</v>
      </c>
      <c r="T43" s="26">
        <f>S43+R45</f>
        <v>0.64279652427750333</v>
      </c>
      <c r="V43" s="26">
        <f>(LN(M51/(M39*0.25)))/$B$1</f>
        <v>0.47254639347744559</v>
      </c>
      <c r="W43" s="26">
        <f>(V43-V44)/(1-0.25)</f>
        <v>0.41926777579912128</v>
      </c>
      <c r="X43" s="26">
        <f>W43+V45</f>
        <v>0.5441544570825263</v>
      </c>
      <c r="Z43" s="26">
        <f>(LN(M54/(M40*0.25)))/$B$1</f>
        <v>0.14857521406022531</v>
      </c>
      <c r="AA43" s="26">
        <f>(Z43-Z44)/(1-0.25)</f>
        <v>0.33142246478477855</v>
      </c>
      <c r="AB43" s="26">
        <f>AA43+Z45</f>
        <v>0.19156783243050288</v>
      </c>
    </row>
    <row r="44" spans="1:28" x14ac:dyDescent="0.2">
      <c r="A44" s="5" t="s">
        <v>300</v>
      </c>
      <c r="B44" s="10">
        <v>70</v>
      </c>
      <c r="C44" s="31">
        <f>1-0.19-0.025</f>
        <v>0.78500000000000003</v>
      </c>
      <c r="D44" s="12">
        <f t="shared" si="78"/>
        <v>25881.52866242038</v>
      </c>
      <c r="E44" s="12">
        <f t="shared" si="76"/>
        <v>6468.7898089171968</v>
      </c>
      <c r="F44" s="12">
        <f t="shared" si="76"/>
        <v>698.08917197452229</v>
      </c>
      <c r="G44" s="12">
        <f t="shared" si="76"/>
        <v>436.94267515923565</v>
      </c>
      <c r="H44" s="5">
        <v>20317</v>
      </c>
      <c r="I44" s="5">
        <v>5078</v>
      </c>
      <c r="J44" s="5">
        <v>548</v>
      </c>
      <c r="K44" s="5">
        <v>343</v>
      </c>
      <c r="L44" s="26">
        <f t="shared" si="77"/>
        <v>3.6629691990198285</v>
      </c>
      <c r="M44" s="26">
        <f t="shared" si="77"/>
        <v>1.3379865086462988</v>
      </c>
      <c r="N44" s="26">
        <f t="shared" si="77"/>
        <v>1.7809197882561321</v>
      </c>
      <c r="O44" s="26">
        <f t="shared" si="77"/>
        <v>15.379848645331133</v>
      </c>
      <c r="P44" s="26">
        <f t="shared" si="79"/>
        <v>22.161724141253394</v>
      </c>
      <c r="Q44" s="26">
        <f t="shared" si="80"/>
        <v>6.78187549592226</v>
      </c>
      <c r="R44" s="26">
        <f>(LN(M49/M38))/$B$1</f>
        <v>0.5067102117502118</v>
      </c>
      <c r="V44" s="26">
        <f>(LN(M52/M39))/$B$1</f>
        <v>0.15809556162810459</v>
      </c>
      <c r="Z44" s="26">
        <f>(LN(M55/M40))/$B$1</f>
        <v>-9.9991634528358603E-2</v>
      </c>
    </row>
    <row r="45" spans="1:28" x14ac:dyDescent="0.2">
      <c r="A45" s="5" t="s">
        <v>301</v>
      </c>
      <c r="B45" s="10">
        <v>100</v>
      </c>
      <c r="C45" s="31">
        <f>1-0.2-0.025</f>
        <v>0.77500000000000002</v>
      </c>
      <c r="D45" s="12">
        <f>H45/$C45</f>
        <v>5415.4838709677415</v>
      </c>
      <c r="E45" s="12">
        <f t="shared" si="76"/>
        <v>1830.9677419354839</v>
      </c>
      <c r="F45" s="12">
        <f t="shared" si="76"/>
        <v>218.06451612903226</v>
      </c>
      <c r="G45" s="12">
        <f t="shared" si="76"/>
        <v>156.12903225806451</v>
      </c>
      <c r="H45" s="5">
        <v>4197</v>
      </c>
      <c r="I45" s="5">
        <v>1419</v>
      </c>
      <c r="J45" s="5">
        <v>169</v>
      </c>
      <c r="K45" s="5">
        <v>121</v>
      </c>
      <c r="L45" s="26">
        <f t="shared" si="77"/>
        <v>1.4106372780221168</v>
      </c>
      <c r="M45" s="26">
        <f t="shared" si="77"/>
        <v>0.3883063922049198</v>
      </c>
      <c r="N45" s="26">
        <f t="shared" si="77"/>
        <v>0.46251977588073678</v>
      </c>
      <c r="O45" s="26">
        <f t="shared" si="77"/>
        <v>5.0828472160516114</v>
      </c>
      <c r="P45" s="26">
        <f>SUM(L45:O45)</f>
        <v>7.3443106621593852</v>
      </c>
      <c r="Q45" s="26">
        <f>SUM(L45:N45)</f>
        <v>2.2614634461077734</v>
      </c>
      <c r="R45" s="26">
        <f>LN(M50/M38)/$B$1</f>
        <v>0.47067057690298253</v>
      </c>
      <c r="V45" s="26">
        <f>LN(M53/M39)/$B$1</f>
        <v>0.12488668128340505</v>
      </c>
      <c r="Z45" s="26">
        <f>LN(M56/M40)/$B$1</f>
        <v>-0.13985463235427567</v>
      </c>
    </row>
    <row r="46" spans="1:28" x14ac:dyDescent="0.2">
      <c r="A46" s="30"/>
      <c r="B46" s="10"/>
      <c r="Q46" s="10"/>
    </row>
    <row r="47" spans="1:28" x14ac:dyDescent="0.2">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302</v>
      </c>
      <c r="B48" s="10">
        <v>5</v>
      </c>
      <c r="C48" s="31">
        <f>1-0.27-0.025</f>
        <v>0.70499999999999996</v>
      </c>
      <c r="D48" s="12">
        <f t="shared" ref="D48:G65" si="81">H48/$C48</f>
        <v>32486.524822695039</v>
      </c>
      <c r="E48" s="12">
        <f t="shared" si="81"/>
        <v>8513.4751773049647</v>
      </c>
      <c r="F48" s="12">
        <f t="shared" si="81"/>
        <v>902.12765957446811</v>
      </c>
      <c r="G48" s="12">
        <f>K48/$C48</f>
        <v>812.76595744680856</v>
      </c>
      <c r="H48" s="5">
        <v>22903</v>
      </c>
      <c r="I48" s="5">
        <v>6002</v>
      </c>
      <c r="J48" s="5">
        <v>636</v>
      </c>
      <c r="K48" s="5">
        <v>573</v>
      </c>
      <c r="L48" s="26">
        <f>W14*D48*1000/1000000</f>
        <v>4.7666049328600693</v>
      </c>
      <c r="M48" s="26">
        <f>X14*E48*1000/1000000</f>
        <v>2.0157186531420508</v>
      </c>
      <c r="N48" s="26">
        <f>Y14*F48*1000/1000000</f>
        <v>7.934719544241867</v>
      </c>
      <c r="O48" s="26">
        <f>Z14*G48*1000/1000000</f>
        <v>101.48033014384809</v>
      </c>
      <c r="P48" s="26">
        <f>SUM(L48:O48)</f>
        <v>116.19737327409209</v>
      </c>
      <c r="Q48" s="26">
        <f>SUM(L48:N48)</f>
        <v>14.717043130243987</v>
      </c>
      <c r="R48" s="26">
        <f>(LN(N48/(N38*0.25)))/$B$1</f>
        <v>0.47943676635236543</v>
      </c>
      <c r="S48" s="26">
        <f>(R48-R49)/(1-0.25)</f>
        <v>6.0225404071997023E-2</v>
      </c>
      <c r="T48" s="26">
        <f>S48+R50</f>
        <v>0.53109166694286347</v>
      </c>
      <c r="V48" s="26">
        <f>(LN(N51/(N39*0.25)))/$B$1</f>
        <v>0.48254716657398189</v>
      </c>
      <c r="W48" s="26">
        <f>(V48-V49)/(1-0.25)</f>
        <v>0.23958570774343171</v>
      </c>
      <c r="X48" s="26">
        <f>W48+V50</f>
        <v>0.29340831007461488</v>
      </c>
      <c r="Z48" s="26">
        <f>(LN(N54/(N40*0.25)))/$B$1</f>
        <v>0.26937234472866933</v>
      </c>
      <c r="AA48" s="26">
        <f>(Z48-Z49)/(1-0.25)</f>
        <v>0.63238099066288522</v>
      </c>
      <c r="AB48" s="26">
        <f>AA48+Z50</f>
        <v>0.57956614531537309</v>
      </c>
    </row>
    <row r="49" spans="1:28" x14ac:dyDescent="0.2">
      <c r="A49" s="5" t="s">
        <v>303</v>
      </c>
      <c r="B49" s="10">
        <v>5</v>
      </c>
      <c r="C49" s="31">
        <f>1-0.27-0.025</f>
        <v>0.70499999999999996</v>
      </c>
      <c r="D49" s="12">
        <f t="shared" si="81"/>
        <v>99123.404255319154</v>
      </c>
      <c r="E49" s="12">
        <f t="shared" si="81"/>
        <v>29346.099290780145</v>
      </c>
      <c r="F49" s="12">
        <f t="shared" si="81"/>
        <v>3435.4609929078015</v>
      </c>
      <c r="G49" s="12">
        <f t="shared" si="81"/>
        <v>2687.9432624113479</v>
      </c>
      <c r="H49" s="5">
        <v>69882</v>
      </c>
      <c r="I49" s="5">
        <v>20689</v>
      </c>
      <c r="J49" s="5">
        <v>2422</v>
      </c>
      <c r="K49" s="5">
        <v>1895</v>
      </c>
      <c r="L49" s="26">
        <f t="shared" ref="L49:O64" si="82">W15*D49*1000/1000000</f>
        <v>13.41000774066379</v>
      </c>
      <c r="M49" s="26">
        <f t="shared" si="82"/>
        <v>7.049889237195913</v>
      </c>
      <c r="N49" s="26">
        <f t="shared" si="82"/>
        <v>30.282396047858551</v>
      </c>
      <c r="O49" s="26">
        <f t="shared" si="82"/>
        <v>163.53486026165163</v>
      </c>
      <c r="P49" s="26">
        <f t="shared" ref="P49:P65" si="83">SUM(L49:O49)</f>
        <v>214.27715328736988</v>
      </c>
      <c r="Q49" s="26">
        <f t="shared" ref="Q49:Q65" si="84">SUM(L49:N49)</f>
        <v>50.742293025718254</v>
      </c>
      <c r="R49" s="26">
        <f>(LN(N49/N38))/$B$1</f>
        <v>0.43426771329836766</v>
      </c>
      <c r="V49" s="26">
        <f>(LN(N52/N39))/$B$1</f>
        <v>0.3028578857664081</v>
      </c>
      <c r="Z49" s="26">
        <f>(LN(N55/N40))/$B$1</f>
        <v>-0.20491339826849458</v>
      </c>
    </row>
    <row r="50" spans="1:28" x14ac:dyDescent="0.2">
      <c r="A50" s="5" t="s">
        <v>304</v>
      </c>
      <c r="B50" s="10">
        <v>5</v>
      </c>
      <c r="C50" s="31">
        <f>1-0.26-0.025</f>
        <v>0.71499999999999997</v>
      </c>
      <c r="D50" s="12">
        <f t="shared" si="81"/>
        <v>108693.7062937063</v>
      </c>
      <c r="E50" s="12">
        <f t="shared" si="81"/>
        <v>27868.53146853147</v>
      </c>
      <c r="F50" s="12">
        <f t="shared" si="81"/>
        <v>4055.9440559440563</v>
      </c>
      <c r="G50" s="12">
        <f t="shared" si="81"/>
        <v>2676.9230769230771</v>
      </c>
      <c r="H50" s="5">
        <v>77716</v>
      </c>
      <c r="I50" s="5">
        <v>19926</v>
      </c>
      <c r="J50" s="5">
        <v>2900</v>
      </c>
      <c r="K50" s="5">
        <v>1914</v>
      </c>
      <c r="L50" s="26">
        <f t="shared" si="82"/>
        <v>14.24329124643957</v>
      </c>
      <c r="M50" s="26">
        <f t="shared" si="82"/>
        <v>6.7905414823514851</v>
      </c>
      <c r="N50" s="26">
        <f t="shared" si="82"/>
        <v>31.457236331511929</v>
      </c>
      <c r="O50" s="26">
        <f t="shared" si="82"/>
        <v>158.39599154882217</v>
      </c>
      <c r="P50" s="26">
        <f t="shared" si="83"/>
        <v>210.88706060912514</v>
      </c>
      <c r="Q50" s="26">
        <f t="shared" si="84"/>
        <v>52.491069060302983</v>
      </c>
      <c r="R50" s="26">
        <f>LN(N50/N38)/$B$1</f>
        <v>0.47086626287086647</v>
      </c>
      <c r="V50" s="26">
        <f>LN(N53/N39)/$B$1</f>
        <v>5.3822602331183175E-2</v>
      </c>
      <c r="Z50" s="26">
        <f>LN(N56/N40)/$B$1</f>
        <v>-5.2814845347512164E-2</v>
      </c>
    </row>
    <row r="51" spans="1:28" x14ac:dyDescent="0.2">
      <c r="A51" s="5" t="s">
        <v>305</v>
      </c>
      <c r="B51" s="10">
        <v>12</v>
      </c>
      <c r="C51" s="31">
        <f>1-0.27-0.025</f>
        <v>0.70499999999999996</v>
      </c>
      <c r="D51" s="12">
        <f>H51/$C51</f>
        <v>28534.751773049647</v>
      </c>
      <c r="E51" s="12">
        <f t="shared" si="81"/>
        <v>7360.2836879432625</v>
      </c>
      <c r="F51" s="12">
        <f t="shared" si="81"/>
        <v>1035.4609929078015</v>
      </c>
      <c r="G51" s="12">
        <f t="shared" si="81"/>
        <v>723.404255319149</v>
      </c>
      <c r="H51" s="5">
        <v>20117</v>
      </c>
      <c r="I51" s="5">
        <v>5189</v>
      </c>
      <c r="J51" s="5">
        <v>730</v>
      </c>
      <c r="K51" s="5">
        <v>510</v>
      </c>
      <c r="L51" s="26">
        <f t="shared" si="82"/>
        <v>3.7523612568450515</v>
      </c>
      <c r="M51" s="26">
        <f t="shared" si="82"/>
        <v>1.7103604650752076</v>
      </c>
      <c r="N51" s="26">
        <f t="shared" si="82"/>
        <v>7.114222126328726</v>
      </c>
      <c r="O51" s="26">
        <f t="shared" si="82"/>
        <v>46.304107245069474</v>
      </c>
      <c r="P51" s="26">
        <f t="shared" si="83"/>
        <v>58.881051093318462</v>
      </c>
      <c r="Q51" s="26">
        <f t="shared" si="84"/>
        <v>12.576943848248984</v>
      </c>
    </row>
    <row r="52" spans="1:28" x14ac:dyDescent="0.2">
      <c r="A52" s="5" t="s">
        <v>306</v>
      </c>
      <c r="B52" s="10">
        <v>12</v>
      </c>
      <c r="C52" s="31">
        <f>1-0.26-0.025</f>
        <v>0.71499999999999997</v>
      </c>
      <c r="D52" s="12">
        <f t="shared" si="81"/>
        <v>79404.195804195813</v>
      </c>
      <c r="E52" s="12">
        <f t="shared" si="81"/>
        <v>21067.132867132867</v>
      </c>
      <c r="F52" s="12">
        <f t="shared" si="81"/>
        <v>3041.958041958042</v>
      </c>
      <c r="G52" s="12">
        <f t="shared" si="81"/>
        <v>2236.3636363636365</v>
      </c>
      <c r="H52" s="5">
        <v>56774</v>
      </c>
      <c r="I52" s="5">
        <v>15063</v>
      </c>
      <c r="J52" s="5">
        <v>2175</v>
      </c>
      <c r="K52" s="5">
        <v>1599</v>
      </c>
      <c r="L52" s="26">
        <f t="shared" si="82"/>
        <v>10.506653029566664</v>
      </c>
      <c r="M52" s="26">
        <f t="shared" si="82"/>
        <v>4.9331101074379182</v>
      </c>
      <c r="N52" s="26">
        <f t="shared" si="82"/>
        <v>23.606294815811538</v>
      </c>
      <c r="O52" s="26">
        <f t="shared" si="82"/>
        <v>112.98667216360846</v>
      </c>
      <c r="P52" s="26">
        <f t="shared" si="83"/>
        <v>152.03273011642457</v>
      </c>
      <c r="Q52" s="26">
        <f t="shared" si="84"/>
        <v>39.04605795281612</v>
      </c>
      <c r="R52" s="6" t="s">
        <v>545</v>
      </c>
      <c r="S52" s="6" t="s">
        <v>546</v>
      </c>
      <c r="T52" s="6" t="s">
        <v>547</v>
      </c>
      <c r="V52" s="6" t="s">
        <v>545</v>
      </c>
      <c r="W52" s="6" t="s">
        <v>546</v>
      </c>
      <c r="X52" s="6" t="s">
        <v>547</v>
      </c>
      <c r="Z52" s="6" t="s">
        <v>545</v>
      </c>
      <c r="AA52" s="6" t="s">
        <v>546</v>
      </c>
      <c r="AB52" s="6" t="s">
        <v>547</v>
      </c>
    </row>
    <row r="53" spans="1:28" x14ac:dyDescent="0.2">
      <c r="A53" s="5" t="s">
        <v>307</v>
      </c>
      <c r="B53" s="10">
        <v>12</v>
      </c>
      <c r="C53" s="31">
        <f>1-0.275-0.025</f>
        <v>0.7</v>
      </c>
      <c r="D53" s="12">
        <f t="shared" si="81"/>
        <v>87395.71428571429</v>
      </c>
      <c r="E53" s="12">
        <f t="shared" si="81"/>
        <v>20760</v>
      </c>
      <c r="F53" s="12">
        <f t="shared" si="81"/>
        <v>2722.8571428571431</v>
      </c>
      <c r="G53" s="12">
        <f t="shared" si="81"/>
        <v>2145.7142857142858</v>
      </c>
      <c r="H53" s="5">
        <v>61177</v>
      </c>
      <c r="I53" s="5">
        <v>14532</v>
      </c>
      <c r="J53" s="5">
        <v>1906</v>
      </c>
      <c r="K53" s="5">
        <v>1502</v>
      </c>
      <c r="L53" s="26">
        <f t="shared" si="82"/>
        <v>11.505761461920589</v>
      </c>
      <c r="M53" s="26">
        <f t="shared" si="82"/>
        <v>4.7656426985141254</v>
      </c>
      <c r="N53" s="26">
        <f t="shared" si="82"/>
        <v>18.219942048552113</v>
      </c>
      <c r="O53" s="26">
        <f t="shared" si="82"/>
        <v>95.792485653422531</v>
      </c>
      <c r="P53" s="26">
        <f t="shared" si="83"/>
        <v>130.28383186240936</v>
      </c>
      <c r="Q53" s="26">
        <f t="shared" si="84"/>
        <v>34.491346208986826</v>
      </c>
      <c r="R53" s="26">
        <f>(LN(O48/(O38*0.25)))/$B$1</f>
        <v>0.94876933698835564</v>
      </c>
      <c r="S53" s="26">
        <f>(R53-R54)/(1-0.25)</f>
        <v>1.165555344763143</v>
      </c>
      <c r="T53" s="26">
        <f>S53+R55</f>
        <v>1.2094581664111204</v>
      </c>
      <c r="V53" s="26">
        <f>(LN(O51/(O39*0.25)))/$B$1</f>
        <v>0.31865304955440188</v>
      </c>
      <c r="W53" s="26">
        <f>(V53-V54)/(1-0.25)</f>
        <v>0.63366046329864867</v>
      </c>
      <c r="X53" s="26">
        <f>W53+V55</f>
        <v>0.31833199013219349</v>
      </c>
      <c r="Z53" s="26">
        <f>(LN(O54/(O40*0.25)))/$B$1</f>
        <v>0.34657726914406017</v>
      </c>
      <c r="AA53" s="26">
        <f>(Z53-Z54)/(1-0.25)</f>
        <v>1.0629066717437421</v>
      </c>
      <c r="AB53" s="26">
        <f>AA53+Z55</f>
        <v>0.72341235501310996</v>
      </c>
    </row>
    <row r="54" spans="1:28" x14ac:dyDescent="0.2">
      <c r="A54" s="5" t="s">
        <v>308</v>
      </c>
      <c r="B54" s="10">
        <v>20</v>
      </c>
      <c r="C54" s="31">
        <f>1-0.25-0.025</f>
        <v>0.72499999999999998</v>
      </c>
      <c r="D54" s="12">
        <f t="shared" si="81"/>
        <v>21179.310344827587</v>
      </c>
      <c r="E54" s="12">
        <f t="shared" si="81"/>
        <v>5259.3103448275861</v>
      </c>
      <c r="F54" s="12">
        <f t="shared" si="81"/>
        <v>815.17241379310349</v>
      </c>
      <c r="G54" s="12">
        <f t="shared" si="81"/>
        <v>617.93103448275861</v>
      </c>
      <c r="H54" s="5">
        <v>15355</v>
      </c>
      <c r="I54" s="5">
        <v>3813</v>
      </c>
      <c r="J54" s="5">
        <v>591</v>
      </c>
      <c r="K54" s="5">
        <v>448</v>
      </c>
      <c r="L54" s="26">
        <f t="shared" si="82"/>
        <v>2.9852199410029283</v>
      </c>
      <c r="M54" s="26">
        <f t="shared" si="82"/>
        <v>1.224604751525366</v>
      </c>
      <c r="N54" s="26">
        <f t="shared" si="82"/>
        <v>5.8508053514623057</v>
      </c>
      <c r="O54" s="26">
        <f t="shared" si="82"/>
        <v>43.953271615098444</v>
      </c>
      <c r="P54" s="26">
        <f t="shared" si="83"/>
        <v>54.013901659089044</v>
      </c>
      <c r="Q54" s="26">
        <f t="shared" si="84"/>
        <v>10.060630043990599</v>
      </c>
      <c r="R54" s="26">
        <f>(LN(O49/O38))/$B$1</f>
        <v>7.4602828415998343E-2</v>
      </c>
      <c r="V54" s="26">
        <f>(LN(O52/O39))/$B$1</f>
        <v>-0.15659229791958462</v>
      </c>
      <c r="Z54" s="26">
        <f>(LN(O55/O40))/$B$1</f>
        <v>-0.45060273466374628</v>
      </c>
    </row>
    <row r="55" spans="1:28" x14ac:dyDescent="0.2">
      <c r="A55" s="5" t="s">
        <v>309</v>
      </c>
      <c r="B55" s="10">
        <v>20</v>
      </c>
      <c r="C55" s="31">
        <f>1-0.25-0.025</f>
        <v>0.72499999999999998</v>
      </c>
      <c r="D55" s="12">
        <f t="shared" si="81"/>
        <v>65179.310344827587</v>
      </c>
      <c r="E55" s="12">
        <f t="shared" si="81"/>
        <v>16012.413793103449</v>
      </c>
      <c r="F55" s="12">
        <f t="shared" si="81"/>
        <v>2333.7931034482758</v>
      </c>
      <c r="G55" s="12">
        <f t="shared" si="81"/>
        <v>1724.1379310344828</v>
      </c>
      <c r="H55" s="5">
        <v>47255</v>
      </c>
      <c r="I55" s="5">
        <v>11609</v>
      </c>
      <c r="J55" s="5">
        <v>1692</v>
      </c>
      <c r="K55" s="5">
        <v>1250</v>
      </c>
      <c r="L55" s="26">
        <f t="shared" si="82"/>
        <v>8.7826123791141377</v>
      </c>
      <c r="M55" s="26">
        <f t="shared" si="82"/>
        <v>3.782567374583675</v>
      </c>
      <c r="N55" s="26">
        <f t="shared" si="82"/>
        <v>14.290807624261088</v>
      </c>
      <c r="O55" s="26">
        <f t="shared" si="82"/>
        <v>76.734715342249274</v>
      </c>
      <c r="P55" s="26">
        <f t="shared" si="83"/>
        <v>103.59070272020817</v>
      </c>
      <c r="Q55" s="26">
        <f t="shared" si="84"/>
        <v>26.8559873779589</v>
      </c>
      <c r="R55" s="26">
        <f>LN(O50/O38)/$B$1</f>
        <v>4.3902821647977347E-2</v>
      </c>
      <c r="V55" s="26">
        <f>LN(O53/O39)/$B$1</f>
        <v>-0.31532847316645518</v>
      </c>
      <c r="Z55" s="26">
        <f>LN(O56/O40)/$B$1</f>
        <v>-0.33949431673063218</v>
      </c>
    </row>
    <row r="56" spans="1:28" x14ac:dyDescent="0.2">
      <c r="A56" s="5" t="s">
        <v>310</v>
      </c>
      <c r="B56" s="10">
        <v>20</v>
      </c>
      <c r="C56" s="31">
        <f>1-0.25-0.025</f>
        <v>0.72499999999999998</v>
      </c>
      <c r="D56" s="12">
        <f t="shared" si="81"/>
        <v>63820.689655172413</v>
      </c>
      <c r="E56" s="12">
        <f t="shared" si="81"/>
        <v>15784.827586206897</v>
      </c>
      <c r="F56" s="12">
        <f t="shared" si="81"/>
        <v>2706.2068965517242</v>
      </c>
      <c r="G56" s="12">
        <f t="shared" si="81"/>
        <v>1950.344827586207</v>
      </c>
      <c r="H56" s="5">
        <v>46270</v>
      </c>
      <c r="I56" s="5">
        <v>11444</v>
      </c>
      <c r="J56" s="5">
        <v>1962</v>
      </c>
      <c r="K56" s="5">
        <v>1414</v>
      </c>
      <c r="L56" s="26">
        <f t="shared" si="82"/>
        <v>8.8417507321169762</v>
      </c>
      <c r="M56" s="26">
        <f t="shared" si="82"/>
        <v>3.6289576597431927</v>
      </c>
      <c r="N56" s="26">
        <f t="shared" si="82"/>
        <v>16.73996546649553</v>
      </c>
      <c r="O56" s="26">
        <f t="shared" si="82"/>
        <v>86.134236825876542</v>
      </c>
      <c r="P56" s="26">
        <f t="shared" si="83"/>
        <v>115.34491068423225</v>
      </c>
      <c r="Q56" s="26">
        <f t="shared" si="84"/>
        <v>29.210673858355698</v>
      </c>
    </row>
    <row r="57" spans="1:28" x14ac:dyDescent="0.2">
      <c r="A57" s="5" t="s">
        <v>311</v>
      </c>
      <c r="B57" s="10">
        <v>30</v>
      </c>
      <c r="C57" s="31">
        <f>1-0.26-0.025</f>
        <v>0.71499999999999997</v>
      </c>
      <c r="D57" s="12">
        <f t="shared" si="81"/>
        <v>21973.426573426575</v>
      </c>
      <c r="E57" s="12">
        <f t="shared" si="81"/>
        <v>5478.3216783216785</v>
      </c>
      <c r="F57" s="12">
        <f t="shared" si="81"/>
        <v>739.86013986013984</v>
      </c>
      <c r="G57" s="12">
        <f t="shared" si="81"/>
        <v>523.07692307692309</v>
      </c>
      <c r="H57" s="5">
        <v>15711</v>
      </c>
      <c r="I57" s="5">
        <v>3917</v>
      </c>
      <c r="J57" s="5">
        <v>529</v>
      </c>
      <c r="K57" s="5">
        <v>374</v>
      </c>
      <c r="L57" s="26">
        <f t="shared" si="82"/>
        <v>3.0037602420123499</v>
      </c>
      <c r="M57" s="26">
        <f t="shared" si="82"/>
        <v>1.2179714319834085</v>
      </c>
      <c r="N57" s="26">
        <f t="shared" si="82"/>
        <v>5.2348984918662778</v>
      </c>
      <c r="O57" s="26">
        <f t="shared" si="82"/>
        <v>23.568694311014582</v>
      </c>
      <c r="P57" s="26">
        <f t="shared" si="83"/>
        <v>33.025324476876619</v>
      </c>
      <c r="Q57" s="26">
        <f t="shared" si="84"/>
        <v>9.4566301658620375</v>
      </c>
      <c r="R57" s="4"/>
      <c r="S57" s="4"/>
      <c r="T57" s="4"/>
      <c r="V57" s="4"/>
      <c r="W57" s="4"/>
      <c r="X57" s="4"/>
      <c r="Z57" s="4"/>
      <c r="AA57" s="4"/>
      <c r="AB57" s="4"/>
    </row>
    <row r="58" spans="1:28" x14ac:dyDescent="0.2">
      <c r="A58" s="5" t="s">
        <v>312</v>
      </c>
      <c r="B58" s="10">
        <v>30</v>
      </c>
      <c r="C58" s="31">
        <f>1-0.26-0.025</f>
        <v>0.71499999999999997</v>
      </c>
      <c r="D58" s="12">
        <f t="shared" si="81"/>
        <v>63742.657342657345</v>
      </c>
      <c r="E58" s="12">
        <f t="shared" si="81"/>
        <v>15025.174825174825</v>
      </c>
      <c r="F58" s="12">
        <f t="shared" si="81"/>
        <v>1633.5664335664337</v>
      </c>
      <c r="G58" s="12">
        <f t="shared" si="81"/>
        <v>1390.2097902097903</v>
      </c>
      <c r="H58" s="5">
        <v>45576</v>
      </c>
      <c r="I58" s="5">
        <v>10743</v>
      </c>
      <c r="J58" s="5">
        <v>1168</v>
      </c>
      <c r="K58" s="5">
        <v>994</v>
      </c>
      <c r="L58" s="26">
        <f t="shared" si="82"/>
        <v>8.427259051401105</v>
      </c>
      <c r="M58" s="26">
        <f t="shared" si="82"/>
        <v>3.3044780634330242</v>
      </c>
      <c r="N58" s="26">
        <f t="shared" si="82"/>
        <v>10.348256165801915</v>
      </c>
      <c r="O58" s="26">
        <f t="shared" si="82"/>
        <v>44.638775829159634</v>
      </c>
      <c r="P58" s="26">
        <f t="shared" si="83"/>
        <v>66.718769109795687</v>
      </c>
      <c r="Q58" s="26">
        <f t="shared" si="84"/>
        <v>22.079993280636046</v>
      </c>
      <c r="R58" s="6" t="s">
        <v>548</v>
      </c>
      <c r="S58" s="6" t="s">
        <v>549</v>
      </c>
      <c r="T58" s="6" t="s">
        <v>550</v>
      </c>
      <c r="V58" s="6" t="s">
        <v>548</v>
      </c>
      <c r="W58" s="6" t="s">
        <v>549</v>
      </c>
      <c r="X58" s="6" t="s">
        <v>550</v>
      </c>
      <c r="Z58" s="6" t="s">
        <v>548</v>
      </c>
      <c r="AA58" s="6" t="s">
        <v>549</v>
      </c>
      <c r="AB58" s="6" t="s">
        <v>550</v>
      </c>
    </row>
    <row r="59" spans="1:28" x14ac:dyDescent="0.2">
      <c r="A59" s="5" t="s">
        <v>313</v>
      </c>
      <c r="B59" s="10">
        <v>30</v>
      </c>
      <c r="C59" s="31">
        <f>1-0.26-0.025</f>
        <v>0.71499999999999997</v>
      </c>
      <c r="D59" s="12">
        <f t="shared" si="81"/>
        <v>63639.160839160839</v>
      </c>
      <c r="E59" s="12">
        <f t="shared" si="81"/>
        <v>15439.160839160841</v>
      </c>
      <c r="F59" s="12">
        <f t="shared" si="81"/>
        <v>1864.3356643356644</v>
      </c>
      <c r="G59" s="12">
        <f t="shared" si="81"/>
        <v>1537.0629370629372</v>
      </c>
      <c r="H59" s="5">
        <v>45502</v>
      </c>
      <c r="I59" s="5">
        <v>11039</v>
      </c>
      <c r="J59" s="5">
        <v>1333</v>
      </c>
      <c r="K59" s="5">
        <v>1099</v>
      </c>
      <c r="L59" s="26">
        <f t="shared" si="82"/>
        <v>8.3382345867781602</v>
      </c>
      <c r="M59" s="26">
        <f t="shared" si="82"/>
        <v>3.4032296469779388</v>
      </c>
      <c r="N59" s="26">
        <f t="shared" si="82"/>
        <v>11.717052280637173</v>
      </c>
      <c r="O59" s="26">
        <f t="shared" si="82"/>
        <v>60.786614919491797</v>
      </c>
      <c r="P59" s="26">
        <f t="shared" si="83"/>
        <v>84.245131433885064</v>
      </c>
      <c r="Q59" s="26">
        <f t="shared" si="84"/>
        <v>23.458516514393274</v>
      </c>
      <c r="R59" s="26">
        <f>(LN(Q48/(Q38*0.25)))/$B$1</f>
        <v>0.53907711837954875</v>
      </c>
      <c r="S59" s="26">
        <f>(R59-R60)/(1-0.25)</f>
        <v>0.19043696809107477</v>
      </c>
      <c r="T59" s="26">
        <f>S59+R61</f>
        <v>0.61926645382736645</v>
      </c>
      <c r="V59" s="26">
        <f>(LN(Q51/(Q39*0.25)))/$B$1</f>
        <v>0.43374344948250215</v>
      </c>
      <c r="W59" s="26">
        <f>(V59-V60)/(1-0.25)</f>
        <v>0.32489451674166014</v>
      </c>
      <c r="X59" s="26">
        <f>W59+V61</f>
        <v>0.39570413210293331</v>
      </c>
      <c r="Z59" s="26">
        <f>(LN(Q54/(Q40*0.25)))/$B$1</f>
        <v>0.21135009204264307</v>
      </c>
      <c r="AA59" s="26">
        <f>(Z59-Z60)/(1-0.25)</f>
        <v>0.5185068753457448</v>
      </c>
      <c r="AB59" s="26">
        <f>AA59+Z61</f>
        <v>0.42178969153869572</v>
      </c>
    </row>
    <row r="60" spans="1:28" x14ac:dyDescent="0.2">
      <c r="A60" s="5" t="s">
        <v>314</v>
      </c>
      <c r="B60" s="10">
        <v>40</v>
      </c>
      <c r="C60" s="31">
        <f>1-0.28-0.025</f>
        <v>0.69499999999999995</v>
      </c>
      <c r="D60" s="12">
        <f t="shared" si="81"/>
        <v>20587.050359712233</v>
      </c>
      <c r="E60" s="12">
        <f t="shared" si="81"/>
        <v>5014.3884892086335</v>
      </c>
      <c r="F60" s="12">
        <f t="shared" si="81"/>
        <v>470.50359712230221</v>
      </c>
      <c r="G60" s="12">
        <f t="shared" si="81"/>
        <v>368.34532374100723</v>
      </c>
      <c r="H60" s="5">
        <v>14308</v>
      </c>
      <c r="I60" s="5">
        <v>3485</v>
      </c>
      <c r="J60" s="5">
        <v>327</v>
      </c>
      <c r="K60" s="5">
        <v>256</v>
      </c>
      <c r="L60" s="26">
        <f t="shared" si="82"/>
        <v>2.8006338927829817</v>
      </c>
      <c r="M60" s="26">
        <f t="shared" si="82"/>
        <v>1.1176296503530667</v>
      </c>
      <c r="N60" s="26">
        <f t="shared" si="82"/>
        <v>2.5505742591757077</v>
      </c>
      <c r="O60" s="26">
        <f t="shared" si="82"/>
        <v>11.106167660757643</v>
      </c>
      <c r="P60" s="26">
        <f t="shared" si="83"/>
        <v>17.575005463069399</v>
      </c>
      <c r="Q60" s="26">
        <f t="shared" si="84"/>
        <v>6.4688378023117563</v>
      </c>
      <c r="R60" s="26">
        <f>(LN(Q49/Q38))/$B$1</f>
        <v>0.39624939231124268</v>
      </c>
      <c r="S60" s="10"/>
      <c r="T60" s="10"/>
      <c r="V60" s="26">
        <f>(LN(Q52/Q39))/$B$1</f>
        <v>0.19007256192625704</v>
      </c>
      <c r="W60" s="10"/>
      <c r="X60" s="10"/>
      <c r="Z60" s="26">
        <f>(LN(Q55/Q40))/$B$1</f>
        <v>-0.17753006446666553</v>
      </c>
      <c r="AA60" s="10"/>
      <c r="AB60" s="10"/>
    </row>
    <row r="61" spans="1:28" x14ac:dyDescent="0.2">
      <c r="A61" s="5" t="s">
        <v>315</v>
      </c>
      <c r="B61" s="10">
        <v>40</v>
      </c>
      <c r="C61" s="31">
        <f>1-0.29-0.025</f>
        <v>0.68499999999999994</v>
      </c>
      <c r="D61" s="12">
        <f t="shared" si="81"/>
        <v>65478.832116788326</v>
      </c>
      <c r="E61" s="12">
        <f t="shared" si="81"/>
        <v>15681.75182481752</v>
      </c>
      <c r="F61" s="12">
        <f t="shared" si="81"/>
        <v>1702.1897810218979</v>
      </c>
      <c r="G61" s="12">
        <f t="shared" si="81"/>
        <v>1452.5547445255477</v>
      </c>
      <c r="H61" s="5">
        <v>44853</v>
      </c>
      <c r="I61" s="5">
        <v>10742</v>
      </c>
      <c r="J61" s="5">
        <v>1166</v>
      </c>
      <c r="K61" s="5">
        <v>995</v>
      </c>
      <c r="L61" s="26">
        <f t="shared" si="82"/>
        <v>8.4881892250885986</v>
      </c>
      <c r="M61" s="26">
        <f t="shared" si="82"/>
        <v>3.4534305557406051</v>
      </c>
      <c r="N61" s="26">
        <f t="shared" si="82"/>
        <v>10.917864574008314</v>
      </c>
      <c r="O61" s="26">
        <f t="shared" si="82"/>
        <v>65.448918186555105</v>
      </c>
      <c r="P61" s="26">
        <f t="shared" si="83"/>
        <v>88.308402541392624</v>
      </c>
      <c r="Q61" s="26">
        <f t="shared" si="84"/>
        <v>22.85948435483752</v>
      </c>
      <c r="R61" s="26">
        <f>LN(Q50/Q38)/$B$1</f>
        <v>0.4288294857362917</v>
      </c>
      <c r="S61" s="10"/>
      <c r="T61" s="10"/>
      <c r="V61" s="26">
        <f>LN(Q53/Q39)/$B$1</f>
        <v>7.0809615361273184E-2</v>
      </c>
      <c r="W61" s="10"/>
      <c r="X61" s="10"/>
      <c r="Z61" s="26">
        <f>LN(Q56/Q40)/$B$1</f>
        <v>-9.6717183807049106E-2</v>
      </c>
      <c r="AA61" s="10"/>
      <c r="AB61" s="10"/>
    </row>
    <row r="62" spans="1:28" x14ac:dyDescent="0.2">
      <c r="A62" s="5" t="s">
        <v>316</v>
      </c>
      <c r="B62" s="10">
        <v>40</v>
      </c>
      <c r="C62" s="31">
        <f>1-0.29-0.025</f>
        <v>0.68499999999999994</v>
      </c>
      <c r="D62" s="12">
        <f t="shared" si="81"/>
        <v>64757.664233576645</v>
      </c>
      <c r="E62" s="12">
        <f t="shared" si="81"/>
        <v>15782.481751824818</v>
      </c>
      <c r="F62" s="12">
        <f t="shared" si="81"/>
        <v>1813.138686131387</v>
      </c>
      <c r="G62" s="12">
        <f t="shared" si="81"/>
        <v>1724.087591240876</v>
      </c>
      <c r="H62" s="5">
        <v>44359</v>
      </c>
      <c r="I62" s="5">
        <v>10811</v>
      </c>
      <c r="J62" s="5">
        <v>1242</v>
      </c>
      <c r="K62" s="5">
        <v>1181</v>
      </c>
      <c r="L62" s="26">
        <f t="shared" si="82"/>
        <v>8.3689575770369409</v>
      </c>
      <c r="M62" s="26">
        <f t="shared" si="82"/>
        <v>3.3773355195974131</v>
      </c>
      <c r="N62" s="26">
        <f t="shared" si="82"/>
        <v>10.328875993015515</v>
      </c>
      <c r="O62" s="26">
        <f t="shared" si="82"/>
        <v>60.280241254252893</v>
      </c>
      <c r="P62" s="26">
        <f t="shared" si="83"/>
        <v>82.355410343902761</v>
      </c>
      <c r="Q62" s="26">
        <f t="shared" si="84"/>
        <v>22.075169089649869</v>
      </c>
    </row>
    <row r="63" spans="1:28" x14ac:dyDescent="0.2">
      <c r="A63" s="5" t="s">
        <v>317</v>
      </c>
      <c r="B63" s="10">
        <v>50</v>
      </c>
      <c r="C63" s="31">
        <f>1-0.29-0.025</f>
        <v>0.68499999999999994</v>
      </c>
      <c r="D63" s="12">
        <f t="shared" si="81"/>
        <v>17659.854014598543</v>
      </c>
      <c r="E63" s="12">
        <f t="shared" si="81"/>
        <v>4325.5474452554745</v>
      </c>
      <c r="F63" s="12">
        <f t="shared" si="81"/>
        <v>407.29927007299273</v>
      </c>
      <c r="G63" s="12">
        <f t="shared" si="81"/>
        <v>289.05109489051097</v>
      </c>
      <c r="H63" s="5">
        <v>12097</v>
      </c>
      <c r="I63" s="5">
        <v>2963</v>
      </c>
      <c r="J63" s="5">
        <v>279</v>
      </c>
      <c r="K63" s="5">
        <v>198</v>
      </c>
      <c r="L63" s="26">
        <f t="shared" si="82"/>
        <v>2.3909083223614056</v>
      </c>
      <c r="M63" s="26">
        <f t="shared" si="82"/>
        <v>0.91125311164574818</v>
      </c>
      <c r="N63" s="26">
        <f t="shared" si="82"/>
        <v>1.8771174297683721</v>
      </c>
      <c r="O63" s="26">
        <f t="shared" si="82"/>
        <v>8.9796753033957959</v>
      </c>
      <c r="P63" s="26">
        <f t="shared" si="83"/>
        <v>14.158954167171322</v>
      </c>
      <c r="Q63" s="26">
        <f t="shared" si="84"/>
        <v>5.1792788637755258</v>
      </c>
    </row>
    <row r="64" spans="1:28" x14ac:dyDescent="0.2">
      <c r="A64" s="5" t="s">
        <v>318</v>
      </c>
      <c r="B64" s="10">
        <v>50</v>
      </c>
      <c r="C64" s="31">
        <f>1-0.28-0.025</f>
        <v>0.69499999999999995</v>
      </c>
      <c r="D64" s="12">
        <f t="shared" si="81"/>
        <v>54083.453237410075</v>
      </c>
      <c r="E64" s="12">
        <f t="shared" si="81"/>
        <v>13425.899280575541</v>
      </c>
      <c r="F64" s="12">
        <f t="shared" si="81"/>
        <v>1379.8561151079139</v>
      </c>
      <c r="G64" s="12">
        <f t="shared" si="81"/>
        <v>1030.2158273381297</v>
      </c>
      <c r="H64" s="5">
        <v>37588</v>
      </c>
      <c r="I64" s="5">
        <v>9331</v>
      </c>
      <c r="J64" s="5">
        <v>959</v>
      </c>
      <c r="K64" s="5">
        <v>716</v>
      </c>
      <c r="L64" s="26">
        <f t="shared" si="82"/>
        <v>6.9978523702567106</v>
      </c>
      <c r="M64" s="26">
        <f t="shared" si="82"/>
        <v>2.8355635030932977</v>
      </c>
      <c r="N64" s="26">
        <f t="shared" si="82"/>
        <v>6.3787791621412691</v>
      </c>
      <c r="O64" s="26">
        <f t="shared" si="82"/>
        <v>37.614155176999873</v>
      </c>
      <c r="P64" s="26">
        <f t="shared" si="83"/>
        <v>53.82635021249115</v>
      </c>
      <c r="Q64" s="26">
        <f t="shared" si="84"/>
        <v>16.212195035491277</v>
      </c>
      <c r="R64" s="6" t="s">
        <v>555</v>
      </c>
      <c r="S64" s="6" t="s">
        <v>555</v>
      </c>
      <c r="T64" s="6" t="s">
        <v>555</v>
      </c>
      <c r="V64" s="6" t="s">
        <v>556</v>
      </c>
      <c r="W64" s="6" t="s">
        <v>556</v>
      </c>
      <c r="X64" s="6" t="s">
        <v>556</v>
      </c>
      <c r="Z64" s="6" t="s">
        <v>558</v>
      </c>
      <c r="AA64" s="6" t="s">
        <v>557</v>
      </c>
      <c r="AB64" s="6" t="s">
        <v>557</v>
      </c>
    </row>
    <row r="65" spans="1:28" x14ac:dyDescent="0.2">
      <c r="A65" s="5" t="s">
        <v>319</v>
      </c>
      <c r="B65" s="10">
        <v>50</v>
      </c>
      <c r="C65" s="31">
        <f>1-0.27-0.025</f>
        <v>0.70499999999999996</v>
      </c>
      <c r="D65" s="12">
        <f t="shared" si="81"/>
        <v>52346.099290780148</v>
      </c>
      <c r="E65" s="12">
        <f t="shared" si="81"/>
        <v>12675.17730496454</v>
      </c>
      <c r="F65" s="12">
        <f t="shared" si="81"/>
        <v>1195.744680851064</v>
      </c>
      <c r="G65" s="12">
        <f>K65/$C65</f>
        <v>814.18439716312059</v>
      </c>
      <c r="H65" s="5">
        <v>36904</v>
      </c>
      <c r="I65" s="5">
        <v>8936</v>
      </c>
      <c r="J65" s="5">
        <v>843</v>
      </c>
      <c r="K65" s="5">
        <v>574</v>
      </c>
      <c r="L65" s="26">
        <f>W31*D65*1000/1000000</f>
        <v>6.8234320324336331</v>
      </c>
      <c r="M65" s="26">
        <f t="shared" ref="M65:N65" si="85">X31*E65*1000/1000000</f>
        <v>2.6169379293853705</v>
      </c>
      <c r="N65" s="26">
        <f t="shared" si="85"/>
        <v>4.6448505930498696</v>
      </c>
      <c r="O65" s="26">
        <f>Z31*G65*1000/1000000</f>
        <v>19.696230690961158</v>
      </c>
      <c r="P65" s="26">
        <f t="shared" si="83"/>
        <v>33.781451245830027</v>
      </c>
      <c r="Q65" s="26">
        <f t="shared" si="84"/>
        <v>14.085220554868872</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-8.3605324498464917E-2</v>
      </c>
      <c r="S66" s="26">
        <f>(R66-R67)/(1-0.25)</f>
        <v>0.45472782303015907</v>
      </c>
      <c r="T66" s="26">
        <f>S66+R68</f>
        <v>1.9865031989622528E-2</v>
      </c>
      <c r="V66" s="26">
        <f>(LN(L60/(L42*0.25)))/$B$1</f>
        <v>9.5428961223969322E-2</v>
      </c>
      <c r="W66" s="26">
        <f>(V66-V67)/(1-0.25)</f>
        <v>0.35572365211170726</v>
      </c>
      <c r="X66" s="26">
        <f>W66+V68</f>
        <v>0.17075760470070162</v>
      </c>
      <c r="Z66" s="26">
        <f>(LN(L63/(L43*0.25)))/$B$1</f>
        <v>6.8925180199007119E-2</v>
      </c>
      <c r="AA66" s="26">
        <f>(Z66-Z67)/(1-0.25)</f>
        <v>0.40046719016303545</v>
      </c>
      <c r="AB66" s="26">
        <f>AA66+Z68</f>
        <v>0.14477205284287331</v>
      </c>
    </row>
    <row r="67" spans="1:28" x14ac:dyDescent="0.2">
      <c r="M67" s="12"/>
      <c r="N67" s="12"/>
      <c r="R67" s="26">
        <f>(LN(L58/L41))/$B$1</f>
        <v>-0.42465119177108424</v>
      </c>
      <c r="V67" s="26">
        <f>(LN(L61/L42))/$B$1</f>
        <v>-0.17136377785981111</v>
      </c>
      <c r="Z67" s="26">
        <f>(LN(L64/L43))/$B$1</f>
        <v>-0.23142521242326944</v>
      </c>
    </row>
    <row r="68" spans="1:28" x14ac:dyDescent="0.2">
      <c r="M68" s="12"/>
      <c r="N68" s="12"/>
      <c r="R68" s="26">
        <f>LN(L59/L41)/$B$1</f>
        <v>-0.43486279104053654</v>
      </c>
      <c r="V68" s="26">
        <f>LN(L62/L42)/$B$1</f>
        <v>-0.18496604741100564</v>
      </c>
      <c r="Z68" s="26">
        <f>LN(L65/L43)/$B$1</f>
        <v>-0.25569513732016214</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0.18047538814408015</v>
      </c>
      <c r="S71" s="26">
        <f>(R71-R72)/(1-0.25)</f>
        <v>0.49769556123172665</v>
      </c>
      <c r="T71" s="26">
        <f>S71+R73</f>
        <v>0.33321306634823711</v>
      </c>
      <c r="V71" s="26">
        <f>(LN(M60/(M42*0.25)))/$B$1</f>
        <v>0.14003588147841947</v>
      </c>
      <c r="W71" s="26">
        <f>(V71-V72)/(1-0.25)</f>
        <v>0.33094399889134363</v>
      </c>
      <c r="X71" s="26">
        <f>W71+V73</f>
        <v>0.20134783296264699</v>
      </c>
      <c r="Z71" s="26">
        <f>(LN(M63/(M43*0.25)))/$B$1</f>
        <v>6.3663179025815211E-2</v>
      </c>
      <c r="AA71" s="26">
        <f>(Z71-Z72)/(1-0.25)</f>
        <v>0.3219475592355443</v>
      </c>
      <c r="AB71" s="26">
        <f>AA71+Z73</f>
        <v>6.7000281414204221E-2</v>
      </c>
    </row>
    <row r="72" spans="1:28" x14ac:dyDescent="0.2">
      <c r="M72" s="12"/>
      <c r="N72" s="12"/>
      <c r="R72" s="26">
        <f>(LN(M58/M41))/$B$1</f>
        <v>-0.19279628277971483</v>
      </c>
      <c r="V72" s="26">
        <f>(LN(M61/M42))/$B$1</f>
        <v>-0.10817211769008823</v>
      </c>
      <c r="Z72" s="26">
        <f>(LN(M64/M43))/$B$1</f>
        <v>-0.17779749040084303</v>
      </c>
    </row>
    <row r="73" spans="1:28" x14ac:dyDescent="0.2">
      <c r="M73" s="12"/>
      <c r="N73" s="12"/>
      <c r="R73" s="26">
        <f>LN(M59/M41)/$B$1</f>
        <v>-0.16448249488348957</v>
      </c>
      <c r="V73" s="26">
        <f>LN(M62/M42)/$B$1</f>
        <v>-0.12959616592869663</v>
      </c>
      <c r="Z73" s="26">
        <f>LN(M65/M43)/$B$1</f>
        <v>-0.25494727782134008</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0.51138222874905659</v>
      </c>
      <c r="S76" s="26">
        <f>(R76-R77)/(1-0.25)</f>
        <v>0.90362025109099042</v>
      </c>
      <c r="T76" s="26">
        <f>S76+R78</f>
        <v>0.85673654296739998</v>
      </c>
      <c r="V76" s="26">
        <f>(LN(N60/(N42*0.25)))/$B$1</f>
        <v>-0.14256035997388844</v>
      </c>
      <c r="W76" s="26">
        <f>(V76-V77)/(1-0.25)</f>
        <v>-8.6907057371709839E-2</v>
      </c>
      <c r="X76" s="26">
        <f>W76+V78</f>
        <v>-0.21761109751047908</v>
      </c>
      <c r="Z76" s="26">
        <f>(LN(N63/(N43*0.25)))/$B$1</f>
        <v>-0.18547336512133866</v>
      </c>
      <c r="AA76" s="26">
        <f>(Z76-Z77)/(1-0.25)</f>
        <v>0.20904481294096069</v>
      </c>
      <c r="AB76" s="26">
        <f>AA76+Z78</f>
        <v>-0.438229006611495</v>
      </c>
    </row>
    <row r="77" spans="1:28" x14ac:dyDescent="0.2">
      <c r="M77" s="12"/>
      <c r="N77" s="12"/>
      <c r="R77" s="26">
        <f>(LN(N58/N41))/$B$1</f>
        <v>-0.16633295956918628</v>
      </c>
      <c r="V77" s="26">
        <f>(LN(N61/N42))/$B$1</f>
        <v>-7.738006694510606E-2</v>
      </c>
      <c r="Z77" s="26">
        <f>(LN(N64/N43))/$B$1</f>
        <v>-0.34225697482705919</v>
      </c>
    </row>
    <row r="78" spans="1:28" x14ac:dyDescent="0.2">
      <c r="M78" s="12"/>
      <c r="N78" s="12"/>
      <c r="R78" s="26">
        <f>LN(N59/N41)/$B$1</f>
        <v>-4.6883708123590391E-2</v>
      </c>
      <c r="V78" s="26">
        <f>LN(N62/N42)/$B$1</f>
        <v>-0.13070404013876924</v>
      </c>
      <c r="Z78" s="26">
        <f>LN(N65/N43)/$B$1</f>
        <v>-0.64727381955245566</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-0.38101686352491421</v>
      </c>
      <c r="S81" s="26">
        <f>(R81-R82)/(1-0.25)</f>
        <v>0.95847536640382369</v>
      </c>
      <c r="T81" s="26">
        <f>S81+R83</f>
        <v>0.15549305583575956</v>
      </c>
      <c r="V81" s="26">
        <f>(LN(O60/(O42*0.25)))/$B$1</f>
        <v>-0.54332728246199058</v>
      </c>
      <c r="W81" s="26">
        <f>(V81-V82)/(1-0.25)</f>
        <v>-0.49676282452329062</v>
      </c>
      <c r="X81" s="26">
        <f>W81+V83</f>
        <v>-0.74661951492802481</v>
      </c>
      <c r="Z81" s="26">
        <f>(LN(O63/(O43*0.25)))/$B$1</f>
        <v>-0.43407531856904052</v>
      </c>
      <c r="AA81" s="26">
        <f>(Z81-Z82)/(1-0.25)</f>
        <v>-5.9131233325492305E-2</v>
      </c>
      <c r="AB81" s="26">
        <f>AA81+Z83</f>
        <v>-1.0709284779296271</v>
      </c>
    </row>
    <row r="82" spans="13:28" x14ac:dyDescent="0.2">
      <c r="M82" s="12"/>
      <c r="N82" s="12"/>
      <c r="R82" s="26">
        <f>(LN(O58/O41))/$B$1</f>
        <v>-1.099873388327782</v>
      </c>
      <c r="V82" s="26">
        <f>(LN(O61/O42))/$B$1</f>
        <v>-0.17075516406952265</v>
      </c>
      <c r="Z82" s="26">
        <f>(LN(O64/O43))/$B$1</f>
        <v>-0.3897268935749213</v>
      </c>
    </row>
    <row r="83" spans="13:28" x14ac:dyDescent="0.2">
      <c r="M83" s="12"/>
      <c r="N83" s="12"/>
      <c r="R83" s="26">
        <f>LN(O59/O41)/$B$1</f>
        <v>-0.80298231056806413</v>
      </c>
      <c r="V83" s="26">
        <f>LN(O62/O42)/$B$1</f>
        <v>-0.24985669040473424</v>
      </c>
      <c r="Z83" s="26">
        <f>LN(O65/O43)/$B$1</f>
        <v>-1.0117972446041348</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0.24078109806877931</v>
      </c>
      <c r="S87" s="26">
        <f>(R87-R88)/(1-0.25)</f>
        <v>0.69017762099899371</v>
      </c>
      <c r="T87" s="26">
        <f>S87+R89</f>
        <v>0.47155789702574935</v>
      </c>
      <c r="V87" s="26">
        <f>(LN(Q60/(Q42*0.25)))/$B$1</f>
        <v>1.2566518575469856E-3</v>
      </c>
      <c r="W87" s="26">
        <f>(V87-V88)/(1-0.25)</f>
        <v>0.15887785043803418</v>
      </c>
      <c r="X87" s="26">
        <f>W87+V89</f>
        <v>7.4062152218568045E-3</v>
      </c>
      <c r="Z87" s="26">
        <f>(LN(Q63/(Q43*0.25)))/$B$1</f>
        <v>-3.2058765093263906E-2</v>
      </c>
      <c r="AA87" s="26">
        <f>(Z87-Z88)/(1-0.25)</f>
        <v>0.31435442718249645</v>
      </c>
      <c r="AB87" s="26">
        <f>AA87+Z89</f>
        <v>-8.8698695756141477E-2</v>
      </c>
    </row>
    <row r="88" spans="13:28" x14ac:dyDescent="0.2">
      <c r="M88" s="12"/>
      <c r="N88" s="12"/>
      <c r="R88" s="26">
        <f>(LN(Q58/Q41))/$B$1</f>
        <v>-0.27685211768046591</v>
      </c>
      <c r="S88" s="10"/>
      <c r="T88" s="10"/>
      <c r="V88" s="26">
        <f>(LN(Q61/Q42))/$B$1</f>
        <v>-0.11790173597097864</v>
      </c>
      <c r="W88" s="10"/>
      <c r="X88" s="10"/>
      <c r="Z88" s="26">
        <f>(LN(Q64/Q43))/$B$1</f>
        <v>-0.26782458548013627</v>
      </c>
      <c r="AA88" s="10"/>
      <c r="AB88" s="10"/>
    </row>
    <row r="89" spans="13:28" x14ac:dyDescent="0.2">
      <c r="M89" s="12"/>
      <c r="N89" s="12"/>
      <c r="R89" s="26">
        <f>LN(Q59/Q41)/$B$1</f>
        <v>-0.21861972397324436</v>
      </c>
      <c r="S89" s="10"/>
      <c r="T89" s="10"/>
      <c r="V89" s="26">
        <f>LN(Q62/Q42)/$B$1</f>
        <v>-0.15147163521617737</v>
      </c>
      <c r="W89" s="10"/>
      <c r="X89" s="10"/>
      <c r="Z89" s="26">
        <f>LN(Q65/Q43)/$B$1</f>
        <v>-0.40305312293863793</v>
      </c>
      <c r="AA89" s="10"/>
      <c r="AB89"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Z89"/>
  <sheetViews>
    <sheetView workbookViewId="0">
      <selection activeCell="B3" sqref="B3"/>
    </sheetView>
  </sheetViews>
  <sheetFormatPr baseColWidth="10" defaultRowHeight="16" x14ac:dyDescent="0.2"/>
  <cols>
    <col min="1" max="1" width="20.832031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580</v>
      </c>
      <c r="B1" s="32">
        <v>1.04</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6"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320</v>
      </c>
      <c r="B4" s="10">
        <v>5</v>
      </c>
      <c r="C4" s="5">
        <v>13008</v>
      </c>
      <c r="D4" s="5">
        <v>11059</v>
      </c>
      <c r="E4" s="5">
        <v>972</v>
      </c>
      <c r="F4" s="5">
        <v>649</v>
      </c>
      <c r="G4" s="5">
        <v>6957</v>
      </c>
      <c r="H4" s="5">
        <v>26670</v>
      </c>
      <c r="I4" s="7">
        <v>169200</v>
      </c>
      <c r="J4" s="7">
        <v>290400</v>
      </c>
      <c r="K4" s="5">
        <v>19500</v>
      </c>
      <c r="L4" s="5">
        <v>52214</v>
      </c>
      <c r="M4" s="7">
        <v>630200</v>
      </c>
      <c r="N4" s="7">
        <v>2564000</v>
      </c>
      <c r="O4" s="8">
        <f>(224333+K4)/235871</f>
        <v>1.0337557393660093</v>
      </c>
      <c r="P4" s="8">
        <f>(224333+L4)/235871</f>
        <v>1.1724501952338355</v>
      </c>
      <c r="Q4" s="8">
        <f t="shared" ref="Q4:R9" si="0">(224333+M4)/235871</f>
        <v>3.622882846979917</v>
      </c>
      <c r="R4" s="8">
        <f t="shared" si="0"/>
        <v>11.821432053961699</v>
      </c>
      <c r="S4" s="8">
        <f>4/3*3.14*((O4/2)^3)</f>
        <v>0.57813890950101843</v>
      </c>
      <c r="T4" s="8">
        <f t="shared" ref="T4:V9" si="1">4/3*3.14*((P4/2)^3)</f>
        <v>0.84345439888891605</v>
      </c>
      <c r="U4" s="8">
        <f t="shared" si="1"/>
        <v>24.88520766138684</v>
      </c>
      <c r="V4" s="8">
        <f>4/3*3.14*((R4/2)^3)</f>
        <v>864.54712082124672</v>
      </c>
      <c r="W4" s="8">
        <f>(S4*265)/1000</f>
        <v>0.15320681101776989</v>
      </c>
      <c r="X4" s="8">
        <f>(10^(-0.665+LOG(T4, 10)*0.959))</f>
        <v>0.18369320078861781</v>
      </c>
      <c r="Y4" s="8">
        <f>(10^(-0.665+LOG(U4, 10)*0.959))</f>
        <v>4.7174540337248878</v>
      </c>
      <c r="Z4" s="8">
        <f>(10^(-0.665+LOG(V4, 10)*0.959))</f>
        <v>141.70342044283285</v>
      </c>
      <c r="AA4" s="8">
        <f>W4*C4</f>
        <v>1992.9141977191507</v>
      </c>
      <c r="AB4" s="8">
        <f>X4*D4</f>
        <v>2031.4631075213244</v>
      </c>
      <c r="AC4" s="8">
        <f t="shared" ref="AC4:AD9" si="2">Y4*E4</f>
        <v>4585.365320780591</v>
      </c>
      <c r="AD4" s="8">
        <f>Z4*F4</f>
        <v>91965.519867398514</v>
      </c>
      <c r="AE4" s="8">
        <f>AA4/(AA4+AB4+AC4+AD4)</f>
        <v>1.9815152834918456E-2</v>
      </c>
      <c r="AF4" s="8">
        <f>AB4/(AA4+AB4+AC4+AD4)</f>
        <v>2.0198437042649914E-2</v>
      </c>
      <c r="AG4" s="8">
        <f>AC4/(AA4+AB4+AC4+AD4)</f>
        <v>4.559138308071134E-2</v>
      </c>
      <c r="AH4" s="8">
        <f>AD4/(AA4+AB4+AC4+AD4)</f>
        <v>0.91439502704172038</v>
      </c>
      <c r="AI4" s="8">
        <f>LN((AVERAGE(G14:G16))/G4)/1.04</f>
        <v>-2.4118445038340458E-2</v>
      </c>
      <c r="AJ4" s="8">
        <f>LN((AVERAGE(H14:H16))/H4)/1.04</f>
        <v>0.14133681041299731</v>
      </c>
      <c r="AK4" s="8">
        <f>LN((AVERAGE(I14:I16))/I4)/1.04</f>
        <v>0.31217973781225206</v>
      </c>
      <c r="AL4" s="8">
        <f>LN((AVERAGE(J14:J16))/J4)/1.04</f>
        <v>-8.981742685710432E-3</v>
      </c>
      <c r="AM4" s="15">
        <f>(AI4*AE4)+(AJ4*AF4)+(AG4*AK4)+(AH4*AL4)</f>
        <v>8.3967171630130212E-3</v>
      </c>
      <c r="AN4" s="10">
        <v>5</v>
      </c>
      <c r="AO4" s="50">
        <f>H4/L4</f>
        <v>0.5107825487417168</v>
      </c>
      <c r="AP4" s="50">
        <f>I4/M4</f>
        <v>0.26848619485877501</v>
      </c>
      <c r="AQ4" s="50">
        <f>LN((AVERAGE(AO14:AO16))/AO4)/1.04</f>
        <v>-0.10556731020984624</v>
      </c>
      <c r="AR4" s="50">
        <f>LN((AVERAGE(AP14:AP16))/AP4)/1.04</f>
        <v>-3.5712727145500181E-2</v>
      </c>
      <c r="AS4" s="8">
        <f>AB4/(AB4+AC4)</f>
        <v>0.30701462634760518</v>
      </c>
      <c r="AT4" s="8">
        <f>AC4/(AC4+AB4)</f>
        <v>0.69298537365239476</v>
      </c>
      <c r="AU4" s="50">
        <f>(AQ4*AS4)+(AR4*AT4)</f>
        <v>-5.7159105863668125E-2</v>
      </c>
      <c r="AV4" s="46">
        <f>H4</f>
        <v>26670</v>
      </c>
      <c r="AW4" s="46">
        <f t="shared" ref="AW4:AW11" si="3">I4</f>
        <v>169200</v>
      </c>
      <c r="AX4" s="48">
        <f>LN((AVERAGE(AV14:AV16))/AV4)/1.04</f>
        <v>0.14133681041299731</v>
      </c>
      <c r="AY4" s="48">
        <f>LN((AVERAGE(AW14:AW16))/AW4)/1.04</f>
        <v>0.31217973781225206</v>
      </c>
      <c r="AZ4" s="48">
        <f t="shared" ref="AZ4:AZ9" si="4">(AX4*AS4)+(AY4*AT4)</f>
        <v>0.2597284602926388</v>
      </c>
    </row>
    <row r="5" spans="1:52" x14ac:dyDescent="0.2">
      <c r="A5" s="5" t="s">
        <v>321</v>
      </c>
      <c r="B5" s="10">
        <v>12</v>
      </c>
      <c r="C5" s="5">
        <v>16015</v>
      </c>
      <c r="D5" s="5">
        <v>13176</v>
      </c>
      <c r="E5" s="5">
        <v>996</v>
      </c>
      <c r="F5" s="5">
        <v>484</v>
      </c>
      <c r="G5" s="5">
        <v>7391</v>
      </c>
      <c r="H5" s="5">
        <v>27135</v>
      </c>
      <c r="I5" s="7">
        <v>200700</v>
      </c>
      <c r="J5" s="7">
        <v>290800</v>
      </c>
      <c r="K5" s="5">
        <v>12847</v>
      </c>
      <c r="L5" s="5">
        <v>54927</v>
      </c>
      <c r="M5" s="7">
        <v>771900</v>
      </c>
      <c r="N5" s="7">
        <v>2492000</v>
      </c>
      <c r="O5" s="8">
        <f t="shared" ref="O5:P9" si="5">(224333+K5)/235871</f>
        <v>1.0055496436611537</v>
      </c>
      <c r="P5" s="8">
        <f t="shared" si="5"/>
        <v>1.1839522450831175</v>
      </c>
      <c r="Q5" s="8">
        <f t="shared" si="0"/>
        <v>4.2236349530039723</v>
      </c>
      <c r="R5" s="8">
        <f t="shared" si="0"/>
        <v>11.516180454570506</v>
      </c>
      <c r="S5" s="8">
        <f t="shared" ref="S5:S9" si="6">4/3*3.14*((O5/2)^3)</f>
        <v>0.53209471704525679</v>
      </c>
      <c r="T5" s="8">
        <f t="shared" si="1"/>
        <v>0.86852226020452994</v>
      </c>
      <c r="U5" s="8">
        <f t="shared" si="1"/>
        <v>39.430975686847944</v>
      </c>
      <c r="V5" s="8">
        <f t="shared" si="1"/>
        <v>799.28890071123953</v>
      </c>
      <c r="W5" s="8">
        <f t="shared" ref="W5:W9" si="7">(S5*265)/1000</f>
        <v>0.14100510001699307</v>
      </c>
      <c r="X5" s="8">
        <f t="shared" ref="X5:Z9" si="8">(10^(-0.665+LOG(T5, 10)*0.959))</f>
        <v>0.18892565421449109</v>
      </c>
      <c r="Y5" s="8">
        <f t="shared" si="8"/>
        <v>7.3351362455507232</v>
      </c>
      <c r="Z5" s="8">
        <f t="shared" si="8"/>
        <v>131.42952161537627</v>
      </c>
      <c r="AA5" s="8">
        <f t="shared" ref="AA5:AB9" si="9">W5*C5</f>
        <v>2258.1966767721442</v>
      </c>
      <c r="AB5" s="8">
        <f t="shared" si="9"/>
        <v>2489.2844199301344</v>
      </c>
      <c r="AC5" s="8">
        <f t="shared" si="2"/>
        <v>7305.7957005685203</v>
      </c>
      <c r="AD5" s="8">
        <f t="shared" si="2"/>
        <v>63611.888461842114</v>
      </c>
      <c r="AE5" s="8">
        <f t="shared" ref="AE5:AE9" si="10">AA5/(AA5+AB5+AC5+AD5)</f>
        <v>2.9844601132357575E-2</v>
      </c>
      <c r="AF5" s="8">
        <f t="shared" ref="AF5:AF9" si="11">AB5/(AA5+AB5+AC5+AD5)</f>
        <v>3.2898684770008242E-2</v>
      </c>
      <c r="AG5" s="8">
        <f t="shared" ref="AG5:AG9" si="12">AC5/(AA5+AB5+AC5+AD5)</f>
        <v>9.6554281954583182E-2</v>
      </c>
      <c r="AH5" s="8">
        <f t="shared" ref="AH5:AH9" si="13">AD5/(AA5+AB5+AC5+AD5)</f>
        <v>0.84070243214305107</v>
      </c>
      <c r="AI5" s="8">
        <f>LN((AVERAGE(G17:G19))/G5)/1.04</f>
        <v>1.7915382701011943E-2</v>
      </c>
      <c r="AJ5" s="8">
        <f>LN((AVERAGE(H17:H19))/H5)/1.04</f>
        <v>0.23706642721575827</v>
      </c>
      <c r="AK5" s="8">
        <f>LN((AVERAGE(I17:I19))/I5)/1.04</f>
        <v>0.15510969716056788</v>
      </c>
      <c r="AL5" s="8">
        <f>LN((AVERAGE(J17:J19))/J5)/1.04</f>
        <v>-1.1085417473789622E-2</v>
      </c>
      <c r="AM5" s="15">
        <f t="shared" ref="AM5:AM9" si="14">(AI5*AE5)+(AJ5*AF5)+(AG5*AK5)+(AH5*AL5)</f>
        <v>1.3990819111364043E-2</v>
      </c>
      <c r="AN5" s="10">
        <v>12</v>
      </c>
      <c r="AO5" s="50">
        <f t="shared" ref="AO5:AO11" si="15">H5/L5</f>
        <v>0.49401933475339999</v>
      </c>
      <c r="AP5" s="50">
        <f t="shared" ref="AP5:AP11" si="16">I5/M5</f>
        <v>0.26000777302759426</v>
      </c>
      <c r="AQ5" s="50">
        <f>LN((AVERAGE(AO17:AO19))/AO5)/1.04</f>
        <v>8.998959031880574E-2</v>
      </c>
      <c r="AR5" s="50">
        <f>LN((AVERAGE(AP17:AP19))/AP5)/1.04</f>
        <v>6.6509916045649708E-2</v>
      </c>
      <c r="AS5" s="8">
        <f t="shared" ref="AS5:AS9" si="17">AB5/(AB5+AC5)</f>
        <v>0.25413619789803293</v>
      </c>
      <c r="AT5" s="8">
        <f t="shared" ref="AT5:AT9" si="18">AC5/(AC5+AB5)</f>
        <v>0.74586380210196701</v>
      </c>
      <c r="AU5" s="50">
        <f t="shared" ref="AU5:AU9" si="19">(AQ5*AS5)+(AR5*AT5)</f>
        <v>7.2476951193313849E-2</v>
      </c>
      <c r="AV5" s="46">
        <f t="shared" ref="AV5:AV11" si="20">H5</f>
        <v>27135</v>
      </c>
      <c r="AW5" s="46">
        <f t="shared" si="3"/>
        <v>200700</v>
      </c>
      <c r="AX5" s="48">
        <f>LN((AVERAGE(AV17:AV19))/AV5)/1.04</f>
        <v>0.23706642721575827</v>
      </c>
      <c r="AY5" s="48">
        <f>LN((AVERAGE(AW17:AW19))/AW5)/1.04</f>
        <v>0.15510969716056788</v>
      </c>
      <c r="AZ5" s="48">
        <f t="shared" si="4"/>
        <v>0.17593786892894941</v>
      </c>
    </row>
    <row r="6" spans="1:52" x14ac:dyDescent="0.2">
      <c r="A6" s="5" t="s">
        <v>322</v>
      </c>
      <c r="B6" s="10">
        <v>20</v>
      </c>
      <c r="C6" s="5">
        <v>20645</v>
      </c>
      <c r="D6" s="5">
        <v>16079</v>
      </c>
      <c r="E6" s="5">
        <v>1110</v>
      </c>
      <c r="F6" s="5">
        <v>303</v>
      </c>
      <c r="G6" s="5">
        <v>8448</v>
      </c>
      <c r="H6" s="5">
        <v>39087</v>
      </c>
      <c r="I6" s="7">
        <v>228800</v>
      </c>
      <c r="J6" s="7">
        <v>286700</v>
      </c>
      <c r="K6" s="5">
        <v>10547</v>
      </c>
      <c r="L6" s="5">
        <v>54596</v>
      </c>
      <c r="M6" s="7">
        <v>817000</v>
      </c>
      <c r="N6" s="7">
        <v>2646000</v>
      </c>
      <c r="O6" s="8">
        <f t="shared" si="5"/>
        <v>0.99579855090282399</v>
      </c>
      <c r="P6" s="8">
        <f t="shared" si="5"/>
        <v>1.1825489356470273</v>
      </c>
      <c r="Q6" s="8">
        <f t="shared" si="0"/>
        <v>4.4148411631781777</v>
      </c>
      <c r="R6" s="8">
        <f t="shared" si="0"/>
        <v>12.16907970882389</v>
      </c>
      <c r="S6" s="8">
        <f t="shared" si="6"/>
        <v>0.5167647333518911</v>
      </c>
      <c r="T6" s="8">
        <f t="shared" si="1"/>
        <v>0.86543760512939893</v>
      </c>
      <c r="U6" s="8">
        <f t="shared" si="1"/>
        <v>45.03225005737287</v>
      </c>
      <c r="V6" s="8">
        <f t="shared" si="1"/>
        <v>943.08666711595311</v>
      </c>
      <c r="W6" s="8">
        <f t="shared" si="7"/>
        <v>0.13694265433825115</v>
      </c>
      <c r="X6" s="8">
        <f t="shared" si="8"/>
        <v>0.18828212709366898</v>
      </c>
      <c r="Y6" s="8">
        <f t="shared" si="8"/>
        <v>8.3316147026193335</v>
      </c>
      <c r="Z6" s="8">
        <f t="shared" si="8"/>
        <v>154.02633769163654</v>
      </c>
      <c r="AA6" s="8">
        <f t="shared" si="9"/>
        <v>2827.1810988131947</v>
      </c>
      <c r="AB6" s="8">
        <f t="shared" si="9"/>
        <v>3027.3883215391038</v>
      </c>
      <c r="AC6" s="8">
        <f t="shared" si="2"/>
        <v>9248.0923199074605</v>
      </c>
      <c r="AD6" s="8">
        <f t="shared" si="2"/>
        <v>46669.980320565875</v>
      </c>
      <c r="AE6" s="8">
        <f t="shared" si="10"/>
        <v>4.5767527573603799E-2</v>
      </c>
      <c r="AF6" s="8">
        <f t="shared" si="11"/>
        <v>4.9008561404223688E-2</v>
      </c>
      <c r="AG6" s="8">
        <f t="shared" si="12"/>
        <v>0.14971178196977794</v>
      </c>
      <c r="AH6" s="8">
        <f t="shared" si="13"/>
        <v>0.75551212905239462</v>
      </c>
      <c r="AI6" s="8">
        <f>LN((AVERAGE(G20:G22))/G6)/1.04</f>
        <v>0.13116117161540314</v>
      </c>
      <c r="AJ6" s="8">
        <f>LN((AVERAGE(H20:H22))/H6)/1.04</f>
        <v>4.9486920664755955E-2</v>
      </c>
      <c r="AK6" s="8">
        <f>LN((AVERAGE(I20:I22))/I6)/1.04</f>
        <v>-2.4545213831712688E-2</v>
      </c>
      <c r="AL6" s="8">
        <f>LN((AVERAGE(J20:J22))/J6)/1.04</f>
        <v>-7.9703019863027243E-3</v>
      </c>
      <c r="AM6" s="15">
        <f t="shared" si="14"/>
        <v>-1.2681621958382672E-3</v>
      </c>
      <c r="AN6" s="10">
        <v>20</v>
      </c>
      <c r="AO6" s="50">
        <f t="shared" si="15"/>
        <v>0.71593157007839403</v>
      </c>
      <c r="AP6" s="50">
        <f t="shared" si="16"/>
        <v>0.28004895960832316</v>
      </c>
      <c r="AQ6" s="50">
        <f>LN((AVERAGE(AO20:AO22))/AO6)/1.04</f>
        <v>-3.4224279172939499E-2</v>
      </c>
      <c r="AR6" s="50">
        <f>LN((AVERAGE(AP20:AP22))/AP6)/1.04</f>
        <v>0.10645109645313752</v>
      </c>
      <c r="AS6" s="8">
        <f t="shared" si="17"/>
        <v>0.24662075644659656</v>
      </c>
      <c r="AT6" s="8">
        <f t="shared" si="18"/>
        <v>0.75337924355340347</v>
      </c>
      <c r="AU6" s="50">
        <f t="shared" si="19"/>
        <v>7.1757628902825304E-2</v>
      </c>
      <c r="AV6" s="46">
        <f t="shared" si="20"/>
        <v>39087</v>
      </c>
      <c r="AW6" s="46">
        <f t="shared" si="3"/>
        <v>228800</v>
      </c>
      <c r="AX6" s="48">
        <f>LN((AVERAGE(AV20:AV22))/AV6)/1.04</f>
        <v>4.9486920664755955E-2</v>
      </c>
      <c r="AY6" s="48">
        <f>LN((AVERAGE(AW20:AW22))/AW6)/1.04</f>
        <v>-2.4545213831712688E-2</v>
      </c>
      <c r="AZ6" s="48">
        <f t="shared" si="4"/>
        <v>-6.2873528208374167E-3</v>
      </c>
    </row>
    <row r="7" spans="1:52" x14ac:dyDescent="0.2">
      <c r="A7" s="5" t="s">
        <v>323</v>
      </c>
      <c r="B7" s="10">
        <v>30</v>
      </c>
      <c r="C7" s="5">
        <v>15157</v>
      </c>
      <c r="D7" s="5">
        <v>13117</v>
      </c>
      <c r="E7" s="5">
        <v>671</v>
      </c>
      <c r="F7" s="5">
        <v>205</v>
      </c>
      <c r="G7" s="5">
        <v>10806</v>
      </c>
      <c r="H7" s="5">
        <v>49564</v>
      </c>
      <c r="I7" s="7">
        <v>248500</v>
      </c>
      <c r="J7" s="7">
        <v>288300</v>
      </c>
      <c r="K7" s="5">
        <v>13541</v>
      </c>
      <c r="L7" s="5">
        <v>56684</v>
      </c>
      <c r="M7" s="7">
        <v>772500</v>
      </c>
      <c r="N7" s="7">
        <v>2313000</v>
      </c>
      <c r="O7" s="8">
        <f t="shared" si="5"/>
        <v>1.008491929910841</v>
      </c>
      <c r="P7" s="8">
        <f t="shared" si="5"/>
        <v>1.1914012320293721</v>
      </c>
      <c r="Q7" s="8">
        <f t="shared" si="0"/>
        <v>4.2261787163322326</v>
      </c>
      <c r="R7" s="8">
        <f t="shared" si="0"/>
        <v>10.757291061639625</v>
      </c>
      <c r="S7" s="8">
        <f t="shared" si="6"/>
        <v>0.53677920098246412</v>
      </c>
      <c r="T7" s="8">
        <f t="shared" si="1"/>
        <v>0.88501887336493135</v>
      </c>
      <c r="U7" s="8">
        <f t="shared" si="1"/>
        <v>39.502262736461532</v>
      </c>
      <c r="V7" s="8">
        <f t="shared" si="1"/>
        <v>651.45910208482553</v>
      </c>
      <c r="W7" s="8">
        <f t="shared" si="7"/>
        <v>0.14224648826035299</v>
      </c>
      <c r="X7" s="8">
        <f t="shared" si="8"/>
        <v>0.19236562969188967</v>
      </c>
      <c r="Y7" s="8">
        <f t="shared" si="8"/>
        <v>7.3478532207260532</v>
      </c>
      <c r="Z7" s="8">
        <f t="shared" si="8"/>
        <v>108.02338520339451</v>
      </c>
      <c r="AA7" s="8">
        <f t="shared" si="9"/>
        <v>2156.0300225621704</v>
      </c>
      <c r="AB7" s="8">
        <f t="shared" si="9"/>
        <v>2523.2599646685167</v>
      </c>
      <c r="AC7" s="8">
        <f t="shared" si="2"/>
        <v>4930.409511107182</v>
      </c>
      <c r="AD7" s="8">
        <f t="shared" si="2"/>
        <v>22144.793966695874</v>
      </c>
      <c r="AE7" s="8">
        <f t="shared" si="10"/>
        <v>6.7896848203113966E-2</v>
      </c>
      <c r="AF7" s="8">
        <f t="shared" si="11"/>
        <v>7.9461508886828514E-2</v>
      </c>
      <c r="AG7" s="8">
        <f t="shared" si="12"/>
        <v>0.15526651421904339</v>
      </c>
      <c r="AH7" s="8">
        <f t="shared" si="13"/>
        <v>0.69737512869101415</v>
      </c>
      <c r="AI7" s="8">
        <f>LN((AVERAGE(G23:G25))/G7)/1.04</f>
        <v>0.19071735886404842</v>
      </c>
      <c r="AJ7" s="8">
        <f>LN((AVERAGE(H23:H25))/H7)/1.04</f>
        <v>0.10654739141465584</v>
      </c>
      <c r="AK7" s="8">
        <f>LN((AVERAGE(I23:I25))/I7)/1.04</f>
        <v>-3.6182110860984462E-3</v>
      </c>
      <c r="AL7" s="8">
        <f>LN((AVERAGE(J23:J25))/J7)/1.04</f>
        <v>-3.5557876078478372E-2</v>
      </c>
      <c r="AM7" s="15">
        <f t="shared" si="14"/>
        <v>-3.9434413750000126E-3</v>
      </c>
      <c r="AN7" s="10">
        <v>30</v>
      </c>
      <c r="AO7" s="50">
        <f t="shared" si="15"/>
        <v>0.87439136264201534</v>
      </c>
      <c r="AP7" s="50">
        <f t="shared" si="16"/>
        <v>0.32168284789644014</v>
      </c>
      <c r="AQ7" s="50">
        <f>LN((AVERAGE(AO23:AO25))/AO7)/1.04</f>
        <v>6.6419999113589853E-2</v>
      </c>
      <c r="AR7" s="50">
        <f>LN((AVERAGE(AP23:AP25))/AP7)/1.04</f>
        <v>0.10330096333843927</v>
      </c>
      <c r="AS7" s="8">
        <f t="shared" si="17"/>
        <v>0.33852587277569385</v>
      </c>
      <c r="AT7" s="8">
        <f t="shared" si="18"/>
        <v>0.66147412722430621</v>
      </c>
      <c r="AU7" s="50">
        <f t="shared" si="19"/>
        <v>9.0815802735412982E-2</v>
      </c>
      <c r="AV7" s="46">
        <f t="shared" si="20"/>
        <v>49564</v>
      </c>
      <c r="AW7" s="46">
        <f t="shared" si="3"/>
        <v>248500</v>
      </c>
      <c r="AX7" s="48">
        <f>LN((AVERAGE(AV23:AV25))/AV7)/1.04</f>
        <v>0.10654739141465584</v>
      </c>
      <c r="AY7" s="48">
        <f>LN((AVERAGE(AW23:AW25))/AW7)/1.04</f>
        <v>-3.6182110860984462E-3</v>
      </c>
      <c r="AZ7" s="48">
        <f t="shared" si="4"/>
        <v>3.367569565032956E-2</v>
      </c>
    </row>
    <row r="8" spans="1:52" x14ac:dyDescent="0.2">
      <c r="A8" s="5" t="s">
        <v>324</v>
      </c>
      <c r="B8" s="10">
        <v>40</v>
      </c>
      <c r="C8" s="5">
        <v>12331</v>
      </c>
      <c r="D8" s="5">
        <v>12020</v>
      </c>
      <c r="E8" s="5">
        <v>471</v>
      </c>
      <c r="F8" s="5">
        <v>156</v>
      </c>
      <c r="G8" s="5">
        <v>13012</v>
      </c>
      <c r="H8" s="5">
        <v>56596</v>
      </c>
      <c r="I8" s="7">
        <v>268700</v>
      </c>
      <c r="J8" s="7">
        <v>289200</v>
      </c>
      <c r="K8" s="5">
        <v>14567</v>
      </c>
      <c r="L8" s="5">
        <v>55456</v>
      </c>
      <c r="M8" s="7">
        <v>775800</v>
      </c>
      <c r="N8" s="7">
        <v>2153000</v>
      </c>
      <c r="O8" s="8">
        <f t="shared" si="5"/>
        <v>1.0128417652021655</v>
      </c>
      <c r="P8" s="8">
        <f t="shared" si="5"/>
        <v>1.1861949964175333</v>
      </c>
      <c r="Q8" s="8">
        <f t="shared" si="0"/>
        <v>4.2401694146376618</v>
      </c>
      <c r="R8" s="8">
        <f t="shared" si="0"/>
        <v>10.078954174103641</v>
      </c>
      <c r="S8" s="8">
        <f t="shared" si="6"/>
        <v>0.54375492315419183</v>
      </c>
      <c r="T8" s="8">
        <f t="shared" si="1"/>
        <v>0.87346732023196172</v>
      </c>
      <c r="U8" s="8">
        <f t="shared" si="1"/>
        <v>39.895877784081165</v>
      </c>
      <c r="V8" s="8">
        <f t="shared" si="1"/>
        <v>535.82726629984131</v>
      </c>
      <c r="W8" s="8">
        <f t="shared" si="7"/>
        <v>0.14409505463586084</v>
      </c>
      <c r="X8" s="8">
        <f t="shared" si="8"/>
        <v>0.18995710749633149</v>
      </c>
      <c r="Y8" s="8">
        <f t="shared" si="8"/>
        <v>7.4180537493020644</v>
      </c>
      <c r="Z8" s="8">
        <f t="shared" si="8"/>
        <v>89.56427037271412</v>
      </c>
      <c r="AA8" s="8">
        <f t="shared" si="9"/>
        <v>1776.8361187148</v>
      </c>
      <c r="AB8" s="8">
        <f t="shared" si="9"/>
        <v>2283.2844321059047</v>
      </c>
      <c r="AC8" s="8">
        <f t="shared" si="2"/>
        <v>3493.9033159212722</v>
      </c>
      <c r="AD8" s="8">
        <f t="shared" si="2"/>
        <v>13972.026178143402</v>
      </c>
      <c r="AE8" s="8">
        <f t="shared" si="10"/>
        <v>8.2543528190717877E-2</v>
      </c>
      <c r="AF8" s="8">
        <f t="shared" si="11"/>
        <v>0.10607075740067864</v>
      </c>
      <c r="AG8" s="8">
        <f t="shared" si="12"/>
        <v>0.16231047073828711</v>
      </c>
      <c r="AH8" s="8">
        <f t="shared" si="13"/>
        <v>0.64907524367031644</v>
      </c>
      <c r="AI8" s="8">
        <f>LN((AVERAGE(G26:G28))/G8)/1.04</f>
        <v>0.19314067302932741</v>
      </c>
      <c r="AJ8" s="8">
        <f>LN((AVERAGE(H26:H28))/H8)/1.04</f>
        <v>0.20900879129880356</v>
      </c>
      <c r="AK8" s="8">
        <f>LN((AVERAGE(I26:I28))/I8)/1.04</f>
        <v>2.1351360206886223E-2</v>
      </c>
      <c r="AL8" s="8">
        <f>LN((AVERAGE(J26:J28))/J8)/1.04</f>
        <v>-2.9369966655633288E-2</v>
      </c>
      <c r="AM8" s="15">
        <f t="shared" si="14"/>
        <v>2.2514464447923169E-2</v>
      </c>
      <c r="AN8" s="10">
        <v>40</v>
      </c>
      <c r="AO8" s="50">
        <f t="shared" si="15"/>
        <v>1.0205568378534333</v>
      </c>
      <c r="AP8" s="50">
        <f t="shared" si="16"/>
        <v>0.34635215261665375</v>
      </c>
      <c r="AQ8" s="50">
        <f>LN((AVERAGE(AO26:AO28))/AO8)/1.04</f>
        <v>-4.5652606443577154E-3</v>
      </c>
      <c r="AR8" s="50">
        <f>LN((AVERAGE(AP26:AP28))/AP8)/1.04</f>
        <v>2.1318388958228244E-3</v>
      </c>
      <c r="AS8" s="8">
        <f t="shared" si="17"/>
        <v>0.39522420452504975</v>
      </c>
      <c r="AT8" s="8">
        <f t="shared" si="18"/>
        <v>0.6047757954749502</v>
      </c>
      <c r="AU8" s="50">
        <f t="shared" si="19"/>
        <v>-5.1501694257010604E-4</v>
      </c>
      <c r="AV8" s="46">
        <f t="shared" si="20"/>
        <v>56596</v>
      </c>
      <c r="AW8" s="46">
        <f t="shared" si="3"/>
        <v>268700</v>
      </c>
      <c r="AX8" s="48">
        <f>LN((AVERAGE(AV26:AV28))/AV8)/1.04</f>
        <v>0.20900879129880356</v>
      </c>
      <c r="AY8" s="48">
        <f>LN((AVERAGE(AW26:AW28))/AW8)/1.04</f>
        <v>2.1351360206886223E-2</v>
      </c>
      <c r="AZ8" s="48">
        <f t="shared" si="4"/>
        <v>9.5518119133403592E-2</v>
      </c>
    </row>
    <row r="9" spans="1:52" x14ac:dyDescent="0.2">
      <c r="A9" s="5" t="s">
        <v>325</v>
      </c>
      <c r="B9" s="10">
        <v>50</v>
      </c>
      <c r="C9" s="5">
        <v>2386</v>
      </c>
      <c r="D9" s="5">
        <v>3918</v>
      </c>
      <c r="E9" s="5">
        <v>181</v>
      </c>
      <c r="F9" s="5">
        <v>85</v>
      </c>
      <c r="G9" s="5">
        <v>20054</v>
      </c>
      <c r="H9" s="5">
        <v>82855</v>
      </c>
      <c r="I9" s="7">
        <v>276100</v>
      </c>
      <c r="J9" s="7">
        <v>270000</v>
      </c>
      <c r="K9" s="5">
        <v>33357</v>
      </c>
      <c r="L9" s="5">
        <v>63748</v>
      </c>
      <c r="M9" s="7">
        <v>491700</v>
      </c>
      <c r="N9" s="7">
        <v>1705000</v>
      </c>
      <c r="O9" s="8">
        <f t="shared" si="5"/>
        <v>1.0925039534321728</v>
      </c>
      <c r="P9" s="8">
        <f t="shared" si="5"/>
        <v>1.2213498056140857</v>
      </c>
      <c r="Q9" s="8">
        <f t="shared" si="0"/>
        <v>3.0356974787065814</v>
      </c>
      <c r="R9" s="8">
        <f t="shared" si="0"/>
        <v>8.1796108890028876</v>
      </c>
      <c r="S9" s="8">
        <f t="shared" si="6"/>
        <v>0.68241324793280067</v>
      </c>
      <c r="T9" s="8">
        <f t="shared" si="1"/>
        <v>0.95345148732632479</v>
      </c>
      <c r="U9" s="8">
        <f t="shared" si="1"/>
        <v>14.640431180410131</v>
      </c>
      <c r="V9" s="8">
        <f t="shared" si="1"/>
        <v>286.40218762052751</v>
      </c>
      <c r="W9" s="8">
        <f t="shared" si="7"/>
        <v>0.18083951070219217</v>
      </c>
      <c r="X9" s="8">
        <f t="shared" si="8"/>
        <v>0.2066081066841127</v>
      </c>
      <c r="Y9" s="8">
        <f t="shared" si="8"/>
        <v>2.8363913933874692</v>
      </c>
      <c r="Z9" s="8">
        <f t="shared" si="8"/>
        <v>49.117957765869491</v>
      </c>
      <c r="AA9" s="8">
        <f t="shared" si="9"/>
        <v>431.48307253543055</v>
      </c>
      <c r="AB9" s="8">
        <f t="shared" si="9"/>
        <v>809.49056198835353</v>
      </c>
      <c r="AC9" s="8">
        <f t="shared" si="2"/>
        <v>513.38684220313189</v>
      </c>
      <c r="AD9" s="8">
        <f t="shared" si="2"/>
        <v>4175.026410098907</v>
      </c>
      <c r="AE9" s="8">
        <f t="shared" si="10"/>
        <v>7.277026795032028E-2</v>
      </c>
      <c r="AF9" s="8">
        <f t="shared" si="11"/>
        <v>0.13652179853315288</v>
      </c>
      <c r="AG9" s="8">
        <f t="shared" si="12"/>
        <v>8.6583461663430616E-2</v>
      </c>
      <c r="AH9" s="8">
        <f t="shared" si="13"/>
        <v>0.70412447185309623</v>
      </c>
      <c r="AI9" s="8">
        <f>LN((AVERAGE(G29:G31))/G9)/1.04</f>
        <v>8.0402826830939911E-2</v>
      </c>
      <c r="AJ9" s="8">
        <f>LN((AVERAGE(H29:H31))/H9)/1.04</f>
        <v>0.12283422644041864</v>
      </c>
      <c r="AK9" s="8">
        <f>LN((AVERAGE(I29:I31))/I9)/1.04</f>
        <v>2.3621140518945819E-2</v>
      </c>
      <c r="AL9" s="8">
        <f>LN((AVERAGE(J29:J31))/J9)/1.04</f>
        <v>6.9784142002596583E-3</v>
      </c>
      <c r="AM9" s="15">
        <f t="shared" si="14"/>
        <v>2.9579357095223843E-2</v>
      </c>
      <c r="AN9" s="10">
        <v>50</v>
      </c>
      <c r="AO9" s="50">
        <f t="shared" si="15"/>
        <v>1.2997270502604004</v>
      </c>
      <c r="AP9" s="50">
        <f t="shared" si="16"/>
        <v>0.56152125279642062</v>
      </c>
      <c r="AQ9" s="50">
        <f>LN((AVERAGE(AO29:AO31))/AO9)/1.04</f>
        <v>-7.4191228201764117E-2</v>
      </c>
      <c r="AR9" s="50">
        <f>LN((AVERAGE(AP29:AP31))/AP9)/1.04</f>
        <v>-0.17248280082052864</v>
      </c>
      <c r="AS9" s="8">
        <f t="shared" si="17"/>
        <v>0.61191653846646288</v>
      </c>
      <c r="AT9" s="8">
        <f t="shared" si="18"/>
        <v>0.38808346153353723</v>
      </c>
      <c r="AU9" s="50">
        <f t="shared" si="19"/>
        <v>-0.1123365619432293</v>
      </c>
      <c r="AV9" s="46">
        <f t="shared" si="20"/>
        <v>82855</v>
      </c>
      <c r="AW9" s="46">
        <f t="shared" si="3"/>
        <v>276100</v>
      </c>
      <c r="AX9" s="48">
        <f>LN((AVERAGE(AV29:AV31))/AV9)/1.04</f>
        <v>0.12283422644041864</v>
      </c>
      <c r="AY9" s="48">
        <f>LN((AVERAGE(AW29:AW31))/AW9)/1.04</f>
        <v>2.3621140518945819E-2</v>
      </c>
      <c r="AZ9" s="48">
        <f t="shared" si="4"/>
        <v>8.433126862658924E-2</v>
      </c>
    </row>
    <row r="10" spans="1:52" x14ac:dyDescent="0.2">
      <c r="A10" s="5" t="s">
        <v>326</v>
      </c>
      <c r="B10" s="10">
        <v>70</v>
      </c>
      <c r="C10" s="5">
        <v>347</v>
      </c>
      <c r="D10" s="5">
        <v>629</v>
      </c>
      <c r="E10" s="5">
        <v>108</v>
      </c>
      <c r="F10" s="5">
        <v>79</v>
      </c>
      <c r="G10" s="5">
        <v>16817</v>
      </c>
      <c r="H10" s="5">
        <v>68964</v>
      </c>
      <c r="I10" s="7">
        <v>267400</v>
      </c>
      <c r="J10" s="7">
        <v>283400</v>
      </c>
      <c r="K10" s="7">
        <v>172200</v>
      </c>
      <c r="L10" s="5">
        <v>74216</v>
      </c>
      <c r="M10" s="7">
        <v>460000</v>
      </c>
      <c r="N10" s="7">
        <v>1072000</v>
      </c>
      <c r="O10" s="8">
        <f t="shared" ref="O10:O11" si="21">(224333+K10)/235871</f>
        <v>1.6811435064081637</v>
      </c>
      <c r="P10" s="8">
        <f t="shared" ref="P10:P11" si="22">(224333+L10)/235871</f>
        <v>1.2657299964811275</v>
      </c>
      <c r="Q10" s="8">
        <f t="shared" ref="Q10:Q11" si="23">(224333+M10)/235871</f>
        <v>2.9013019828635143</v>
      </c>
      <c r="R10" s="8">
        <f t="shared" ref="R10:R11" si="24">(224333+N10)/235871</f>
        <v>5.4959405776886516</v>
      </c>
      <c r="S10" s="8">
        <f t="shared" ref="S10:S11" si="25">4/3*3.14*((O10/2)^3)</f>
        <v>2.4865245987301412</v>
      </c>
      <c r="T10" s="8">
        <f t="shared" ref="T10:T11" si="26">4/3*3.14*((P10/2)^3)</f>
        <v>1.0612106880079399</v>
      </c>
      <c r="U10" s="8">
        <f t="shared" ref="U10:U11" si="27">4/3*3.14*((Q10/2)^3)</f>
        <v>12.780775377017324</v>
      </c>
      <c r="V10" s="8">
        <f t="shared" ref="V10:V11" si="28">4/3*3.14*((R10/2)^3)</f>
        <v>86.876933479586867</v>
      </c>
      <c r="W10" s="8">
        <f t="shared" ref="W10:W11" si="29">(S10*265)/1000</f>
        <v>0.65892901866348741</v>
      </c>
      <c r="X10" s="8">
        <f t="shared" ref="X10:X11" si="30">(10^(-0.665+LOG(T10, 10)*0.959))</f>
        <v>0.22895163491126921</v>
      </c>
      <c r="Y10" s="8">
        <f t="shared" ref="Y10:Y11" si="31">(10^(-0.665+LOG(U10, 10)*0.959))</f>
        <v>2.4899369890358343</v>
      </c>
      <c r="Z10" s="8">
        <f t="shared" ref="Z10:Z11" si="32">(10^(-0.665+LOG(V10, 10)*0.959))</f>
        <v>15.646218802598998</v>
      </c>
      <c r="AA10" s="8">
        <f t="shared" ref="AA10:AA11" si="33">W10*C10</f>
        <v>228.64836947623013</v>
      </c>
      <c r="AB10" s="8">
        <f t="shared" ref="AB10:AB11" si="34">X10*D10</f>
        <v>144.01057835918834</v>
      </c>
      <c r="AC10" s="8">
        <f t="shared" ref="AC10:AC11" si="35">Y10*E10</f>
        <v>268.9131948158701</v>
      </c>
      <c r="AD10" s="8">
        <f t="shared" ref="AD10:AD11" si="36">Z10*F10</f>
        <v>1236.0512854053209</v>
      </c>
      <c r="AE10" s="8">
        <f t="shared" ref="AE10:AE11" si="37">AA10/(AA10+AB10+AC10+AD10)</f>
        <v>0.12177541356782456</v>
      </c>
      <c r="AF10" s="8">
        <f t="shared" ref="AF10:AF11" si="38">AB10/(AA10+AB10+AC10+AD10)</f>
        <v>7.6698328433323359E-2</v>
      </c>
      <c r="AG10" s="8">
        <f t="shared" ref="AG10:AG11" si="39">AC10/(AA10+AB10+AC10+AD10)</f>
        <v>0.14321998266404379</v>
      </c>
      <c r="AH10" s="8">
        <f t="shared" ref="AH10:AH11" si="40">AD10/(AA10+AB10+AC10+AD10)</f>
        <v>0.65830627533480823</v>
      </c>
      <c r="AI10" s="8"/>
      <c r="AN10" s="10">
        <v>70</v>
      </c>
      <c r="AO10" s="50">
        <f t="shared" si="15"/>
        <v>0.92923358844454029</v>
      </c>
      <c r="AP10" s="50">
        <f t="shared" si="16"/>
        <v>0.58130434782608698</v>
      </c>
      <c r="AQ10" s="51"/>
      <c r="AR10" s="51"/>
      <c r="AU10" s="51"/>
      <c r="AV10" s="46">
        <f t="shared" si="20"/>
        <v>68964</v>
      </c>
      <c r="AW10" s="46">
        <f t="shared" si="3"/>
        <v>267400</v>
      </c>
    </row>
    <row r="11" spans="1:52" x14ac:dyDescent="0.2">
      <c r="A11" s="5" t="s">
        <v>327</v>
      </c>
      <c r="B11" s="10">
        <v>100</v>
      </c>
      <c r="C11" s="5">
        <v>177</v>
      </c>
      <c r="D11" s="5">
        <v>220</v>
      </c>
      <c r="E11" s="5">
        <v>41</v>
      </c>
      <c r="F11" s="5">
        <v>61</v>
      </c>
      <c r="G11" s="5">
        <v>22278</v>
      </c>
      <c r="H11" s="5">
        <v>42465</v>
      </c>
      <c r="I11" s="7">
        <v>249200</v>
      </c>
      <c r="J11" s="7">
        <v>280900</v>
      </c>
      <c r="K11" s="7">
        <v>748200</v>
      </c>
      <c r="L11" s="5">
        <v>98509</v>
      </c>
      <c r="M11" s="7">
        <v>446900</v>
      </c>
      <c r="N11" s="7">
        <v>816700</v>
      </c>
      <c r="O11" s="8">
        <f t="shared" si="21"/>
        <v>4.1231563015377048</v>
      </c>
      <c r="P11" s="8">
        <f t="shared" si="22"/>
        <v>1.3687227340368253</v>
      </c>
      <c r="Q11" s="8">
        <f t="shared" si="23"/>
        <v>2.8457631501965057</v>
      </c>
      <c r="R11" s="8">
        <f t="shared" si="24"/>
        <v>4.4135692815140484</v>
      </c>
      <c r="S11" s="8">
        <f t="shared" si="25"/>
        <v>36.683248939508189</v>
      </c>
      <c r="T11" s="8">
        <f t="shared" si="26"/>
        <v>1.3419144828089111</v>
      </c>
      <c r="U11" s="8">
        <f t="shared" si="27"/>
        <v>12.060759345812711</v>
      </c>
      <c r="V11" s="8">
        <f t="shared" si="28"/>
        <v>44.993340937933098</v>
      </c>
      <c r="W11" s="8">
        <f t="shared" si="29"/>
        <v>9.7210609689696703</v>
      </c>
      <c r="X11" s="8">
        <f t="shared" si="30"/>
        <v>0.28673989486010859</v>
      </c>
      <c r="Y11" s="8">
        <f t="shared" si="31"/>
        <v>2.355256934433934</v>
      </c>
      <c r="Z11" s="8">
        <f t="shared" si="32"/>
        <v>8.3247109815759437</v>
      </c>
      <c r="AA11" s="8">
        <f t="shared" si="33"/>
        <v>1720.6277915076316</v>
      </c>
      <c r="AB11" s="8">
        <f t="shared" si="34"/>
        <v>63.082776869223892</v>
      </c>
      <c r="AC11" s="8">
        <f t="shared" si="35"/>
        <v>96.565534311791296</v>
      </c>
      <c r="AD11" s="8">
        <f t="shared" si="36"/>
        <v>507.80736987613255</v>
      </c>
      <c r="AE11" s="8">
        <f t="shared" si="37"/>
        <v>0.72050571568157684</v>
      </c>
      <c r="AF11" s="8">
        <f t="shared" si="38"/>
        <v>2.6415649869002938E-2</v>
      </c>
      <c r="AG11" s="8">
        <f t="shared" si="39"/>
        <v>4.0436414983468234E-2</v>
      </c>
      <c r="AH11" s="8">
        <f t="shared" si="40"/>
        <v>0.21264221946595202</v>
      </c>
      <c r="AI11" s="8"/>
      <c r="AN11" s="10">
        <v>100</v>
      </c>
      <c r="AO11" s="50">
        <f t="shared" si="15"/>
        <v>0.43107736348963038</v>
      </c>
      <c r="AP11" s="50">
        <f t="shared" si="16"/>
        <v>0.55761915417319308</v>
      </c>
      <c r="AQ11" s="51"/>
      <c r="AR11" s="51"/>
      <c r="AU11" s="51"/>
      <c r="AV11" s="46">
        <f t="shared" si="20"/>
        <v>42465</v>
      </c>
      <c r="AW11" s="46">
        <f t="shared" si="3"/>
        <v>249200</v>
      </c>
    </row>
    <row r="12" spans="1:52" x14ac:dyDescent="0.2">
      <c r="B12" s="10"/>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x14ac:dyDescent="0.2">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x14ac:dyDescent="0.2">
      <c r="A14" s="5" t="s">
        <v>328</v>
      </c>
      <c r="B14" s="10">
        <v>5</v>
      </c>
      <c r="C14" s="5">
        <v>5216</v>
      </c>
      <c r="D14" s="5">
        <v>6347</v>
      </c>
      <c r="E14" s="5">
        <v>378</v>
      </c>
      <c r="F14" s="5">
        <v>204</v>
      </c>
      <c r="G14" s="5">
        <v>7174</v>
      </c>
      <c r="H14" s="5">
        <v>30539</v>
      </c>
      <c r="I14" s="7">
        <v>225100</v>
      </c>
      <c r="J14" s="7">
        <v>289600</v>
      </c>
      <c r="K14" s="5">
        <v>22711</v>
      </c>
      <c r="L14" s="5">
        <v>67641</v>
      </c>
      <c r="M14" s="7">
        <v>853300</v>
      </c>
      <c r="N14" s="7">
        <v>2673000</v>
      </c>
      <c r="O14" s="8">
        <f t="shared" ref="O14:R29" si="41">(224333+K14)/235871</f>
        <v>1.0473691127777471</v>
      </c>
      <c r="P14" s="8">
        <f t="shared" si="41"/>
        <v>1.2378545900089455</v>
      </c>
      <c r="Q14" s="8">
        <f t="shared" si="41"/>
        <v>4.5687388445379042</v>
      </c>
      <c r="R14" s="8">
        <f t="shared" si="41"/>
        <v>12.283549058595588</v>
      </c>
      <c r="S14" s="8">
        <f t="shared" ref="S14:V29" si="42">4/3*3.14*((O14/2)^3)</f>
        <v>0.60128128220914256</v>
      </c>
      <c r="T14" s="8">
        <f t="shared" si="42"/>
        <v>0.99262976049391416</v>
      </c>
      <c r="U14" s="8">
        <f t="shared" si="42"/>
        <v>49.907682018090817</v>
      </c>
      <c r="V14" s="8">
        <f t="shared" si="42"/>
        <v>969.95143908066166</v>
      </c>
      <c r="W14" s="8">
        <f t="shared" ref="W14:W31" si="43">(S14*265)/1000</f>
        <v>0.15933953978542278</v>
      </c>
      <c r="X14" s="8">
        <f t="shared" ref="X14:Z29" si="44">(10^(-0.665+LOG(T14, 10)*0.959))</f>
        <v>0.21474299845933859</v>
      </c>
      <c r="Y14" s="8">
        <f t="shared" si="44"/>
        <v>9.1948052681803478</v>
      </c>
      <c r="Z14" s="8">
        <f t="shared" si="44"/>
        <v>158.23160818887217</v>
      </c>
      <c r="AA14" s="8">
        <f t="shared" ref="AA14:AA19" si="45">W14*C14</f>
        <v>831.11503952076521</v>
      </c>
      <c r="AB14" s="8">
        <f t="shared" ref="AB14:AB19" si="46">X14*D14</f>
        <v>1362.973811221422</v>
      </c>
      <c r="AC14" s="8">
        <f t="shared" ref="AC14:AC19" si="47">Y14*E14</f>
        <v>3475.6363913721716</v>
      </c>
      <c r="AD14" s="8">
        <f t="shared" ref="AD14:AD19" si="48">Z14*F14</f>
        <v>32279.248070529924</v>
      </c>
      <c r="AE14" s="8">
        <f t="shared" ref="AE14:AE19" si="49">AA14/(AA14+AB14+AC14+AD14)</f>
        <v>2.1900857044895194E-2</v>
      </c>
      <c r="AF14" s="8">
        <f t="shared" ref="AF14:AF19" si="50">AB14/(AA14+AB14+AC14+AD14)</f>
        <v>3.5915960097062508E-2</v>
      </c>
      <c r="AG14" s="8">
        <f t="shared" ref="AG14:AG19" si="51">AC14/(AA14+AB14+AC14+AD14)</f>
        <v>9.1587099412097098E-2</v>
      </c>
      <c r="AH14" s="8">
        <f t="shared" ref="AH14:AH19" si="52">AD14/(AA14+AB14+AC14+AD14)</f>
        <v>0.85059608344594528</v>
      </c>
      <c r="AI14" s="8"/>
      <c r="AN14" s="10">
        <v>5</v>
      </c>
      <c r="AO14" s="8">
        <f t="shared" ref="AO14:AO31" si="53">H14/L14</f>
        <v>0.45148652444523291</v>
      </c>
      <c r="AP14" s="8">
        <f t="shared" ref="AP14:AP31" si="54">I14/M14</f>
        <v>0.2637993671627798</v>
      </c>
      <c r="AV14" s="5">
        <f t="shared" ref="AV14:AW29" si="55">H14</f>
        <v>30539</v>
      </c>
      <c r="AW14" s="5">
        <f t="shared" si="55"/>
        <v>225100</v>
      </c>
    </row>
    <row r="15" spans="1:52" x14ac:dyDescent="0.2">
      <c r="A15" s="5" t="s">
        <v>329</v>
      </c>
      <c r="B15" s="10">
        <v>5</v>
      </c>
      <c r="C15" s="5">
        <v>16346</v>
      </c>
      <c r="D15" s="5">
        <v>19403</v>
      </c>
      <c r="E15" s="5">
        <v>1437</v>
      </c>
      <c r="F15" s="5">
        <v>638</v>
      </c>
      <c r="G15" s="5">
        <v>6984</v>
      </c>
      <c r="H15" s="5">
        <v>32279</v>
      </c>
      <c r="I15" s="7">
        <v>237600</v>
      </c>
      <c r="J15" s="7">
        <v>287200</v>
      </c>
      <c r="K15" s="5">
        <v>11948</v>
      </c>
      <c r="L15" s="5">
        <v>68855</v>
      </c>
      <c r="M15" s="7">
        <v>927500</v>
      </c>
      <c r="N15" s="7">
        <v>2583000</v>
      </c>
      <c r="O15" s="8">
        <f t="shared" si="41"/>
        <v>1.001738238274311</v>
      </c>
      <c r="P15" s="8">
        <f t="shared" si="41"/>
        <v>1.2430014711431248</v>
      </c>
      <c r="Q15" s="8">
        <f t="shared" si="41"/>
        <v>4.8833175761327166</v>
      </c>
      <c r="R15" s="8">
        <f t="shared" si="41"/>
        <v>11.901984559356597</v>
      </c>
      <c r="S15" s="8">
        <f t="shared" si="42"/>
        <v>0.52606711388407679</v>
      </c>
      <c r="T15" s="8">
        <f t="shared" si="42"/>
        <v>1.0050630932590525</v>
      </c>
      <c r="U15" s="8">
        <f t="shared" si="42"/>
        <v>60.942926245267493</v>
      </c>
      <c r="V15" s="8">
        <f t="shared" si="42"/>
        <v>882.3411727705668</v>
      </c>
      <c r="W15" s="8">
        <f t="shared" si="43"/>
        <v>0.13940778517928035</v>
      </c>
      <c r="X15" s="8">
        <f t="shared" si="44"/>
        <v>0.21732185294026432</v>
      </c>
      <c r="Y15" s="8">
        <f t="shared" si="44"/>
        <v>11.136313494072329</v>
      </c>
      <c r="Z15" s="8">
        <f t="shared" si="44"/>
        <v>144.49920139175276</v>
      </c>
      <c r="AA15" s="8">
        <f t="shared" si="45"/>
        <v>2278.7596565405165</v>
      </c>
      <c r="AB15" s="8">
        <f t="shared" si="46"/>
        <v>4216.6959125999483</v>
      </c>
      <c r="AC15" s="8">
        <f t="shared" si="47"/>
        <v>16002.882490981938</v>
      </c>
      <c r="AD15" s="8">
        <f t="shared" si="48"/>
        <v>92190.490487938267</v>
      </c>
      <c r="AE15" s="8">
        <f t="shared" si="49"/>
        <v>1.986906384335067E-2</v>
      </c>
      <c r="AF15" s="8">
        <f t="shared" si="50"/>
        <v>3.6766404940939211E-2</v>
      </c>
      <c r="AG15" s="8">
        <f t="shared" si="51"/>
        <v>0.13953305386039308</v>
      </c>
      <c r="AH15" s="8">
        <f t="shared" si="52"/>
        <v>0.80383147735531701</v>
      </c>
      <c r="AI15" s="8"/>
      <c r="AN15" s="10">
        <v>5</v>
      </c>
      <c r="AO15" s="8">
        <f t="shared" si="53"/>
        <v>0.46879674678672573</v>
      </c>
      <c r="AP15" s="8">
        <f t="shared" si="54"/>
        <v>0.25617250673854447</v>
      </c>
      <c r="AV15" s="5">
        <f t="shared" si="55"/>
        <v>32279</v>
      </c>
      <c r="AW15" s="5">
        <f t="shared" si="55"/>
        <v>237600</v>
      </c>
    </row>
    <row r="16" spans="1:52" x14ac:dyDescent="0.2">
      <c r="A16" s="5" t="s">
        <v>330</v>
      </c>
      <c r="B16" s="10">
        <v>5</v>
      </c>
      <c r="C16" s="5">
        <v>16806</v>
      </c>
      <c r="D16" s="5">
        <v>16144</v>
      </c>
      <c r="E16" s="5">
        <v>1290</v>
      </c>
      <c r="F16" s="5">
        <v>463</v>
      </c>
      <c r="G16" s="5">
        <v>6196</v>
      </c>
      <c r="H16" s="5">
        <v>29861</v>
      </c>
      <c r="I16" s="7">
        <v>239600</v>
      </c>
      <c r="J16" s="7">
        <v>286300</v>
      </c>
      <c r="K16" s="5">
        <v>8936</v>
      </c>
      <c r="L16" s="5">
        <v>65957</v>
      </c>
      <c r="M16" s="7">
        <v>935500</v>
      </c>
      <c r="N16" s="7">
        <v>2452000</v>
      </c>
      <c r="O16" s="8">
        <f t="shared" si="41"/>
        <v>0.98896854636644604</v>
      </c>
      <c r="P16" s="8">
        <f t="shared" si="41"/>
        <v>1.2307150942676293</v>
      </c>
      <c r="Q16" s="8">
        <f t="shared" si="41"/>
        <v>4.9172344205095158</v>
      </c>
      <c r="R16" s="8">
        <f t="shared" si="41"/>
        <v>11.34659623268651</v>
      </c>
      <c r="S16" s="8">
        <f t="shared" si="42"/>
        <v>0.50620430654139081</v>
      </c>
      <c r="T16" s="8">
        <f t="shared" si="42"/>
        <v>0.97555324748276895</v>
      </c>
      <c r="U16" s="8">
        <f t="shared" si="42"/>
        <v>62.22159457275815</v>
      </c>
      <c r="V16" s="8">
        <f t="shared" si="42"/>
        <v>764.49596956371886</v>
      </c>
      <c r="W16" s="8">
        <f t="shared" si="43"/>
        <v>0.13414414123346857</v>
      </c>
      <c r="X16" s="8">
        <f t="shared" si="44"/>
        <v>0.21119891795557544</v>
      </c>
      <c r="Y16" s="8">
        <f t="shared" si="44"/>
        <v>11.360293456453803</v>
      </c>
      <c r="Z16" s="8">
        <f t="shared" si="44"/>
        <v>125.93800721371032</v>
      </c>
      <c r="AA16" s="8">
        <f t="shared" si="45"/>
        <v>2254.426437569673</v>
      </c>
      <c r="AB16" s="8">
        <f t="shared" si="46"/>
        <v>3409.5953314748099</v>
      </c>
      <c r="AC16" s="8">
        <f t="shared" si="47"/>
        <v>14654.778558825406</v>
      </c>
      <c r="AD16" s="8">
        <f t="shared" si="48"/>
        <v>58309.29733994788</v>
      </c>
      <c r="AE16" s="8">
        <f t="shared" si="49"/>
        <v>2.8672020619066849E-2</v>
      </c>
      <c r="AF16" s="8">
        <f t="shared" si="50"/>
        <v>4.3363573997165984E-2</v>
      </c>
      <c r="AG16" s="8">
        <f t="shared" si="51"/>
        <v>0.18638093752106075</v>
      </c>
      <c r="AH16" s="8">
        <f t="shared" si="52"/>
        <v>0.74158346786270646</v>
      </c>
      <c r="AI16" s="8"/>
      <c r="AN16" s="10">
        <v>5</v>
      </c>
      <c r="AO16" s="8">
        <f t="shared" si="53"/>
        <v>0.45273435723274252</v>
      </c>
      <c r="AP16" s="8">
        <f t="shared" si="54"/>
        <v>0.25611972207375733</v>
      </c>
      <c r="AV16" s="5">
        <f t="shared" si="55"/>
        <v>29861</v>
      </c>
      <c r="AW16" s="5">
        <f t="shared" si="55"/>
        <v>239600</v>
      </c>
    </row>
    <row r="17" spans="1:49" x14ac:dyDescent="0.2">
      <c r="A17" s="5" t="s">
        <v>331</v>
      </c>
      <c r="B17" s="10">
        <v>12</v>
      </c>
      <c r="C17" s="5">
        <v>7506</v>
      </c>
      <c r="D17" s="5">
        <v>7581</v>
      </c>
      <c r="E17" s="5">
        <v>470</v>
      </c>
      <c r="F17" s="5">
        <v>185</v>
      </c>
      <c r="G17" s="5">
        <v>7383</v>
      </c>
      <c r="H17" s="5">
        <v>35967</v>
      </c>
      <c r="I17" s="7">
        <v>238800</v>
      </c>
      <c r="J17" s="7">
        <v>284100</v>
      </c>
      <c r="K17" s="5">
        <v>26853</v>
      </c>
      <c r="L17" s="5">
        <v>64393</v>
      </c>
      <c r="M17" s="7">
        <v>861400</v>
      </c>
      <c r="N17" s="7">
        <v>2260000</v>
      </c>
      <c r="O17" s="8">
        <f t="shared" si="41"/>
        <v>1.064929558953835</v>
      </c>
      <c r="P17" s="8">
        <f t="shared" si="41"/>
        <v>1.224084351191965</v>
      </c>
      <c r="Q17" s="8">
        <f t="shared" si="41"/>
        <v>4.6030796494694135</v>
      </c>
      <c r="R17" s="8">
        <f t="shared" si="41"/>
        <v>10.532591967643331</v>
      </c>
      <c r="S17" s="8">
        <f t="shared" si="42"/>
        <v>0.63203487533335967</v>
      </c>
      <c r="T17" s="8">
        <f t="shared" si="42"/>
        <v>0.9598700377355609</v>
      </c>
      <c r="U17" s="8">
        <f t="shared" si="42"/>
        <v>51.041551494759652</v>
      </c>
      <c r="V17" s="8">
        <f t="shared" si="42"/>
        <v>611.48270424360828</v>
      </c>
      <c r="W17" s="8">
        <f t="shared" si="43"/>
        <v>0.16748924196334031</v>
      </c>
      <c r="X17" s="8">
        <f t="shared" si="44"/>
        <v>0.20794176482975696</v>
      </c>
      <c r="Y17" s="8">
        <f t="shared" si="44"/>
        <v>9.3950476798258755</v>
      </c>
      <c r="Z17" s="8">
        <f t="shared" si="44"/>
        <v>101.65820248673161</v>
      </c>
      <c r="AA17" s="8">
        <f t="shared" si="45"/>
        <v>1257.1742501768324</v>
      </c>
      <c r="AB17" s="8">
        <f t="shared" si="46"/>
        <v>1576.4065191743875</v>
      </c>
      <c r="AC17" s="8">
        <f t="shared" si="47"/>
        <v>4415.6724095181617</v>
      </c>
      <c r="AD17" s="8">
        <f t="shared" si="48"/>
        <v>18806.767460045347</v>
      </c>
      <c r="AE17" s="8">
        <f t="shared" si="49"/>
        <v>4.8248896775098485E-2</v>
      </c>
      <c r="AF17" s="8">
        <f t="shared" si="50"/>
        <v>6.0500662822626901E-2</v>
      </c>
      <c r="AG17" s="8">
        <f t="shared" si="51"/>
        <v>0.16946841080265895</v>
      </c>
      <c r="AH17" s="8">
        <f t="shared" si="52"/>
        <v>0.72178202959961568</v>
      </c>
      <c r="AI17" s="8"/>
      <c r="AN17" s="10">
        <v>12</v>
      </c>
      <c r="AO17" s="8">
        <f t="shared" si="53"/>
        <v>0.55855450126566553</v>
      </c>
      <c r="AP17" s="8">
        <f t="shared" si="54"/>
        <v>0.2772231251451126</v>
      </c>
      <c r="AV17" s="5">
        <f t="shared" si="55"/>
        <v>35967</v>
      </c>
      <c r="AW17" s="5">
        <f t="shared" si="55"/>
        <v>238800</v>
      </c>
    </row>
    <row r="18" spans="1:49" x14ac:dyDescent="0.2">
      <c r="A18" s="5" t="s">
        <v>332</v>
      </c>
      <c r="B18" s="10">
        <v>12</v>
      </c>
      <c r="C18" s="5">
        <v>22760</v>
      </c>
      <c r="D18" s="5">
        <v>22170</v>
      </c>
      <c r="E18" s="5">
        <v>1086</v>
      </c>
      <c r="F18" s="5">
        <v>435</v>
      </c>
      <c r="G18" s="5">
        <v>7788</v>
      </c>
      <c r="H18" s="5">
        <v>33907</v>
      </c>
      <c r="I18" s="7">
        <v>242500</v>
      </c>
      <c r="J18" s="7">
        <v>289600</v>
      </c>
      <c r="K18" s="5">
        <v>14715</v>
      </c>
      <c r="L18" s="5">
        <v>65069</v>
      </c>
      <c r="M18" s="7">
        <v>914000</v>
      </c>
      <c r="N18" s="7">
        <v>2228000</v>
      </c>
      <c r="O18" s="8">
        <f t="shared" si="41"/>
        <v>1.0134692268231364</v>
      </c>
      <c r="P18" s="8">
        <f t="shared" si="41"/>
        <v>1.2269503245418045</v>
      </c>
      <c r="Q18" s="8">
        <f t="shared" si="41"/>
        <v>4.8260829012468678</v>
      </c>
      <c r="R18" s="8">
        <f t="shared" si="41"/>
        <v>10.396924590136134</v>
      </c>
      <c r="S18" s="8">
        <f t="shared" si="42"/>
        <v>0.54476612776856226</v>
      </c>
      <c r="T18" s="8">
        <f t="shared" si="42"/>
        <v>0.96662792461023894</v>
      </c>
      <c r="U18" s="8">
        <f t="shared" si="42"/>
        <v>58.825107731064406</v>
      </c>
      <c r="V18" s="8">
        <f t="shared" si="42"/>
        <v>588.15674204457434</v>
      </c>
      <c r="W18" s="8">
        <f t="shared" si="43"/>
        <v>0.144363023858669</v>
      </c>
      <c r="X18" s="8">
        <f t="shared" si="44"/>
        <v>0.20934553588011026</v>
      </c>
      <c r="Y18" s="8">
        <f t="shared" si="44"/>
        <v>10.764916344766574</v>
      </c>
      <c r="Z18" s="8">
        <f t="shared" si="44"/>
        <v>97.936338548619389</v>
      </c>
      <c r="AA18" s="8">
        <f t="shared" si="45"/>
        <v>3285.7024230233064</v>
      </c>
      <c r="AB18" s="8">
        <f t="shared" si="46"/>
        <v>4641.1905304620441</v>
      </c>
      <c r="AC18" s="8">
        <f t="shared" si="47"/>
        <v>11690.6991504165</v>
      </c>
      <c r="AD18" s="8">
        <f t="shared" si="48"/>
        <v>42602.307268649434</v>
      </c>
      <c r="AE18" s="8">
        <f t="shared" si="49"/>
        <v>5.2807903197490791E-2</v>
      </c>
      <c r="AF18" s="8">
        <f t="shared" si="50"/>
        <v>7.4593346779174244E-2</v>
      </c>
      <c r="AG18" s="8">
        <f t="shared" si="51"/>
        <v>0.18789325068522897</v>
      </c>
      <c r="AH18" s="8">
        <f t="shared" si="52"/>
        <v>0.68470549933810598</v>
      </c>
      <c r="AI18" s="8"/>
      <c r="AN18" s="10">
        <v>12</v>
      </c>
      <c r="AO18" s="8">
        <f t="shared" si="53"/>
        <v>0.52109299359141836</v>
      </c>
      <c r="AP18" s="8">
        <f t="shared" si="54"/>
        <v>0.26531728665207877</v>
      </c>
      <c r="AV18" s="5">
        <f t="shared" si="55"/>
        <v>33907</v>
      </c>
      <c r="AW18" s="5">
        <f t="shared" si="55"/>
        <v>242500</v>
      </c>
    </row>
    <row r="19" spans="1:49" x14ac:dyDescent="0.2">
      <c r="A19" s="5" t="s">
        <v>333</v>
      </c>
      <c r="B19" s="10">
        <v>12</v>
      </c>
      <c r="C19" s="5">
        <v>26930</v>
      </c>
      <c r="D19" s="5">
        <v>19577</v>
      </c>
      <c r="E19" s="5">
        <v>1170</v>
      </c>
      <c r="F19" s="5">
        <v>523</v>
      </c>
      <c r="G19" s="5">
        <v>7419</v>
      </c>
      <c r="H19" s="5">
        <v>34292</v>
      </c>
      <c r="I19" s="7">
        <v>226200</v>
      </c>
      <c r="J19" s="7">
        <v>288700</v>
      </c>
      <c r="K19" s="5">
        <v>16108</v>
      </c>
      <c r="L19" s="5">
        <v>62598</v>
      </c>
      <c r="M19" s="7">
        <v>771100</v>
      </c>
      <c r="N19" s="7">
        <v>2322000</v>
      </c>
      <c r="O19" s="8">
        <f t="shared" si="41"/>
        <v>1.0193749973502466</v>
      </c>
      <c r="P19" s="8">
        <f t="shared" si="41"/>
        <v>1.2164742592349207</v>
      </c>
      <c r="Q19" s="8">
        <f t="shared" si="41"/>
        <v>4.2202432685662927</v>
      </c>
      <c r="R19" s="8">
        <f t="shared" si="41"/>
        <v>10.795447511563523</v>
      </c>
      <c r="S19" s="8">
        <f t="shared" si="42"/>
        <v>0.55434524859622925</v>
      </c>
      <c r="T19" s="8">
        <f t="shared" si="42"/>
        <v>0.94207866506524196</v>
      </c>
      <c r="U19" s="8">
        <f t="shared" si="42"/>
        <v>39.33605977034216</v>
      </c>
      <c r="V19" s="8">
        <f t="shared" si="42"/>
        <v>658.41595783185062</v>
      </c>
      <c r="W19" s="8">
        <f t="shared" si="43"/>
        <v>0.14690149087800075</v>
      </c>
      <c r="X19" s="8">
        <f t="shared" si="44"/>
        <v>0.20424413515635018</v>
      </c>
      <c r="Y19" s="8">
        <f t="shared" si="44"/>
        <v>7.3182026273885326</v>
      </c>
      <c r="Z19" s="8">
        <f t="shared" si="44"/>
        <v>109.12941670744301</v>
      </c>
      <c r="AA19" s="8">
        <f t="shared" si="45"/>
        <v>3956.05714934456</v>
      </c>
      <c r="AB19" s="8">
        <f t="shared" si="46"/>
        <v>3998.4874339558673</v>
      </c>
      <c r="AC19" s="8">
        <f t="shared" si="47"/>
        <v>8562.2970740445835</v>
      </c>
      <c r="AD19" s="8">
        <f t="shared" si="48"/>
        <v>57074.684937992693</v>
      </c>
      <c r="AE19" s="8">
        <f t="shared" si="49"/>
        <v>5.3756965405786152E-2</v>
      </c>
      <c r="AF19" s="8">
        <f t="shared" si="50"/>
        <v>5.4333530216632127E-2</v>
      </c>
      <c r="AG19" s="8">
        <f t="shared" si="51"/>
        <v>0.11634895306801582</v>
      </c>
      <c r="AH19" s="8">
        <f t="shared" si="52"/>
        <v>0.77556055130956603</v>
      </c>
      <c r="AI19" s="8"/>
      <c r="AN19" s="10">
        <v>12</v>
      </c>
      <c r="AO19" s="8">
        <f t="shared" si="53"/>
        <v>0.54781302917026098</v>
      </c>
      <c r="AP19" s="8">
        <f t="shared" si="54"/>
        <v>0.29334716638568281</v>
      </c>
      <c r="AV19" s="5">
        <f t="shared" si="55"/>
        <v>34292</v>
      </c>
      <c r="AW19" s="5">
        <f t="shared" si="55"/>
        <v>226200</v>
      </c>
    </row>
    <row r="20" spans="1:49" x14ac:dyDescent="0.2">
      <c r="A20" s="5" t="s">
        <v>334</v>
      </c>
      <c r="B20" s="10">
        <v>20</v>
      </c>
      <c r="C20" s="5">
        <v>9066</v>
      </c>
      <c r="D20" s="5">
        <v>7608</v>
      </c>
      <c r="E20" s="5">
        <v>544</v>
      </c>
      <c r="F20" s="5">
        <v>136</v>
      </c>
      <c r="G20" s="5">
        <v>9565</v>
      </c>
      <c r="H20" s="5">
        <v>40877</v>
      </c>
      <c r="I20" s="7">
        <v>224300</v>
      </c>
      <c r="J20" s="7">
        <v>287600</v>
      </c>
      <c r="K20" s="5">
        <v>24809</v>
      </c>
      <c r="L20" s="5">
        <v>58874</v>
      </c>
      <c r="M20" s="7">
        <v>705700</v>
      </c>
      <c r="N20" s="7">
        <v>2022000</v>
      </c>
      <c r="O20" s="8">
        <f t="shared" si="41"/>
        <v>1.0562638052155628</v>
      </c>
      <c r="P20" s="8">
        <f t="shared" si="41"/>
        <v>1.2006859681775208</v>
      </c>
      <c r="Q20" s="8">
        <f t="shared" si="41"/>
        <v>3.9429730657859592</v>
      </c>
      <c r="R20" s="8">
        <f t="shared" si="41"/>
        <v>9.5235658474335541</v>
      </c>
      <c r="S20" s="8">
        <f t="shared" si="42"/>
        <v>0.61673073497734543</v>
      </c>
      <c r="T20" s="8">
        <f t="shared" si="42"/>
        <v>0.90587172354527223</v>
      </c>
      <c r="U20" s="8">
        <f t="shared" si="42"/>
        <v>32.081142698050506</v>
      </c>
      <c r="V20" s="8">
        <f t="shared" si="42"/>
        <v>452.04031038595195</v>
      </c>
      <c r="W20" s="8">
        <f t="shared" si="43"/>
        <v>0.16343364476899655</v>
      </c>
      <c r="X20" s="8">
        <f t="shared" si="44"/>
        <v>0.19671024019286892</v>
      </c>
      <c r="Y20" s="8">
        <f t="shared" si="44"/>
        <v>6.0185737417675114</v>
      </c>
      <c r="Z20" s="8">
        <f t="shared" si="44"/>
        <v>76.087777855417286</v>
      </c>
      <c r="AA20" s="8">
        <f t="shared" ref="AA20:AA31" si="56">W20*C20</f>
        <v>1481.6894234757228</v>
      </c>
      <c r="AB20" s="8">
        <f t="shared" ref="AB20:AB31" si="57">X20*D20</f>
        <v>1496.5715073873469</v>
      </c>
      <c r="AC20" s="8">
        <f t="shared" ref="AC20:AC31" si="58">Y20*E20</f>
        <v>3274.1041155215262</v>
      </c>
      <c r="AD20" s="8">
        <f t="shared" ref="AD20:AD31" si="59">Z20*F20</f>
        <v>10347.937788336751</v>
      </c>
      <c r="AE20" s="8">
        <f t="shared" ref="AE20:AE31" si="60">AA20/(AA20+AB20+AC20+AD20)</f>
        <v>8.925677068833994E-2</v>
      </c>
      <c r="AF20" s="8">
        <f t="shared" ref="AF20:AF31" si="61">AB20/(AA20+AB20+AC20+AD20)</f>
        <v>9.0153265412550421E-2</v>
      </c>
      <c r="AG20" s="8">
        <f t="shared" ref="AG20:AG31" si="62">AC20/(AA20+AB20+AC20+AD20)</f>
        <v>0.19723158957518411</v>
      </c>
      <c r="AH20" s="8">
        <f t="shared" ref="AH20:AH31" si="63">AD20/(AA20+AB20+AC20+AD20)</f>
        <v>0.62335837432392549</v>
      </c>
      <c r="AN20" s="10">
        <v>20</v>
      </c>
      <c r="AO20" s="8">
        <f t="shared" si="53"/>
        <v>0.69431327920644093</v>
      </c>
      <c r="AP20" s="8">
        <f t="shared" si="54"/>
        <v>0.31784044211421286</v>
      </c>
      <c r="AV20" s="5">
        <f t="shared" si="55"/>
        <v>40877</v>
      </c>
      <c r="AW20" s="5">
        <f t="shared" si="55"/>
        <v>224300</v>
      </c>
    </row>
    <row r="21" spans="1:49" x14ac:dyDescent="0.2">
      <c r="A21" s="5" t="s">
        <v>335</v>
      </c>
      <c r="B21" s="10">
        <v>20</v>
      </c>
      <c r="C21" s="5">
        <v>28338</v>
      </c>
      <c r="D21" s="5">
        <v>23264</v>
      </c>
      <c r="E21" s="5">
        <v>1627</v>
      </c>
      <c r="F21" s="5">
        <v>456</v>
      </c>
      <c r="G21" s="5">
        <v>10468</v>
      </c>
      <c r="H21" s="5">
        <v>42365</v>
      </c>
      <c r="I21" s="7">
        <v>224500</v>
      </c>
      <c r="J21" s="7">
        <v>285100</v>
      </c>
      <c r="K21" s="5">
        <v>12459</v>
      </c>
      <c r="L21" s="5">
        <v>59483</v>
      </c>
      <c r="M21" s="7">
        <v>736500</v>
      </c>
      <c r="N21" s="7">
        <v>1988000</v>
      </c>
      <c r="O21" s="8">
        <f t="shared" si="41"/>
        <v>1.0039046767088791</v>
      </c>
      <c r="P21" s="8">
        <f t="shared" si="41"/>
        <v>1.2032678879557046</v>
      </c>
      <c r="Q21" s="8">
        <f t="shared" si="41"/>
        <v>4.0735529166366362</v>
      </c>
      <c r="R21" s="8">
        <f t="shared" si="41"/>
        <v>9.3794192588321579</v>
      </c>
      <c r="S21" s="8">
        <f t="shared" si="42"/>
        <v>0.52948764392701109</v>
      </c>
      <c r="T21" s="8">
        <f t="shared" si="42"/>
        <v>0.91172817876232881</v>
      </c>
      <c r="U21" s="8">
        <f t="shared" si="42"/>
        <v>35.375165844036616</v>
      </c>
      <c r="V21" s="8">
        <f t="shared" si="42"/>
        <v>431.82347233702535</v>
      </c>
      <c r="W21" s="8">
        <f t="shared" si="43"/>
        <v>0.14031422564065796</v>
      </c>
      <c r="X21" s="8">
        <f t="shared" si="44"/>
        <v>0.19792966848191876</v>
      </c>
      <c r="Y21" s="8">
        <f t="shared" si="44"/>
        <v>6.6100058935406114</v>
      </c>
      <c r="Z21" s="8">
        <f t="shared" si="44"/>
        <v>72.821343860612075</v>
      </c>
      <c r="AA21" s="8">
        <f t="shared" si="56"/>
        <v>3976.2245262049651</v>
      </c>
      <c r="AB21" s="8">
        <f t="shared" si="57"/>
        <v>4604.635807563358</v>
      </c>
      <c r="AC21" s="8">
        <f t="shared" si="58"/>
        <v>10754.479588790575</v>
      </c>
      <c r="AD21" s="8">
        <f t="shared" si="59"/>
        <v>33206.532800439105</v>
      </c>
      <c r="AE21" s="8">
        <f t="shared" si="60"/>
        <v>7.5677251687767497E-2</v>
      </c>
      <c r="AF21" s="8">
        <f t="shared" si="61"/>
        <v>8.7637451216082601E-2</v>
      </c>
      <c r="AG21" s="8">
        <f t="shared" si="62"/>
        <v>0.20468397929949025</v>
      </c>
      <c r="AH21" s="8">
        <f t="shared" si="63"/>
        <v>0.63200131779665969</v>
      </c>
      <c r="AN21" s="10">
        <v>20</v>
      </c>
      <c r="AO21" s="8">
        <f t="shared" si="53"/>
        <v>0.71222029823647093</v>
      </c>
      <c r="AP21" s="8">
        <f t="shared" si="54"/>
        <v>0.3048200950441276</v>
      </c>
      <c r="AV21" s="5">
        <f t="shared" si="55"/>
        <v>42365</v>
      </c>
      <c r="AW21" s="5">
        <f t="shared" si="55"/>
        <v>224500</v>
      </c>
    </row>
    <row r="22" spans="1:49" x14ac:dyDescent="0.2">
      <c r="A22" s="5" t="s">
        <v>336</v>
      </c>
      <c r="B22" s="10">
        <v>20</v>
      </c>
      <c r="C22" s="5">
        <v>31271</v>
      </c>
      <c r="D22" s="5">
        <v>22221</v>
      </c>
      <c r="E22" s="5">
        <v>1796</v>
      </c>
      <c r="F22" s="5">
        <v>427</v>
      </c>
      <c r="G22" s="5">
        <v>9015</v>
      </c>
      <c r="H22" s="5">
        <v>40212</v>
      </c>
      <c r="I22" s="7">
        <v>220300</v>
      </c>
      <c r="J22" s="7">
        <v>280300</v>
      </c>
      <c r="K22" s="5">
        <v>11292</v>
      </c>
      <c r="L22" s="5">
        <v>60364</v>
      </c>
      <c r="M22" s="7">
        <v>697500</v>
      </c>
      <c r="N22" s="7">
        <v>1968000</v>
      </c>
      <c r="O22" s="8">
        <f t="shared" si="41"/>
        <v>0.99895705703541338</v>
      </c>
      <c r="P22" s="8">
        <f t="shared" si="41"/>
        <v>1.2070029804426996</v>
      </c>
      <c r="Q22" s="8">
        <f t="shared" si="41"/>
        <v>3.9082083002997403</v>
      </c>
      <c r="R22" s="8">
        <f t="shared" si="41"/>
        <v>9.2946271478901608</v>
      </c>
      <c r="S22" s="8">
        <f t="shared" si="42"/>
        <v>0.52169762002138487</v>
      </c>
      <c r="T22" s="8">
        <f t="shared" si="42"/>
        <v>0.9202449125464639</v>
      </c>
      <c r="U22" s="8">
        <f t="shared" si="42"/>
        <v>31.240034582528786</v>
      </c>
      <c r="V22" s="8">
        <f t="shared" si="42"/>
        <v>420.21767558678044</v>
      </c>
      <c r="W22" s="8">
        <f t="shared" si="43"/>
        <v>0.13824986930566699</v>
      </c>
      <c r="X22" s="8">
        <f t="shared" si="44"/>
        <v>0.19970244623626923</v>
      </c>
      <c r="Y22" s="8">
        <f t="shared" si="44"/>
        <v>5.867165436892809</v>
      </c>
      <c r="Z22" s="8">
        <f t="shared" si="44"/>
        <v>70.943378888681778</v>
      </c>
      <c r="AA22" s="8">
        <f t="shared" si="56"/>
        <v>4323.2116630575129</v>
      </c>
      <c r="AB22" s="8">
        <f t="shared" si="57"/>
        <v>4437.5880578161386</v>
      </c>
      <c r="AC22" s="8">
        <f t="shared" si="58"/>
        <v>10537.429124659486</v>
      </c>
      <c r="AD22" s="8">
        <f t="shared" si="59"/>
        <v>30292.82278546712</v>
      </c>
      <c r="AE22" s="8">
        <f t="shared" si="60"/>
        <v>8.7177253171114355E-2</v>
      </c>
      <c r="AF22" s="8">
        <f t="shared" si="61"/>
        <v>8.9483644969571938E-2</v>
      </c>
      <c r="AG22" s="8">
        <f t="shared" si="62"/>
        <v>0.21248650266719388</v>
      </c>
      <c r="AH22" s="8">
        <f t="shared" si="63"/>
        <v>0.61085259919211987</v>
      </c>
      <c r="AN22" s="10">
        <v>20</v>
      </c>
      <c r="AO22" s="8">
        <f t="shared" si="53"/>
        <v>0.66615863759856864</v>
      </c>
      <c r="AP22" s="8">
        <f t="shared" si="54"/>
        <v>0.31584229390681001</v>
      </c>
      <c r="AV22" s="5">
        <f t="shared" si="55"/>
        <v>40212</v>
      </c>
      <c r="AW22" s="5">
        <f t="shared" si="55"/>
        <v>220300</v>
      </c>
    </row>
    <row r="23" spans="1:49" x14ac:dyDescent="0.2">
      <c r="A23" s="5" t="s">
        <v>337</v>
      </c>
      <c r="B23" s="10">
        <v>30</v>
      </c>
      <c r="C23" s="5">
        <v>6591</v>
      </c>
      <c r="D23" s="5">
        <v>5899</v>
      </c>
      <c r="E23" s="5">
        <v>255</v>
      </c>
      <c r="F23" s="5">
        <v>72</v>
      </c>
      <c r="G23" s="5">
        <v>11954</v>
      </c>
      <c r="H23" s="5">
        <v>53338</v>
      </c>
      <c r="I23" s="7">
        <v>249100</v>
      </c>
      <c r="J23" s="7">
        <v>269000</v>
      </c>
      <c r="K23" s="5">
        <v>15953</v>
      </c>
      <c r="L23" s="5">
        <v>58887</v>
      </c>
      <c r="M23" s="7">
        <v>700000</v>
      </c>
      <c r="N23" s="7">
        <v>1881000</v>
      </c>
      <c r="O23" s="8">
        <f t="shared" si="41"/>
        <v>1.0187178584904462</v>
      </c>
      <c r="P23" s="8">
        <f t="shared" si="41"/>
        <v>1.200741083049633</v>
      </c>
      <c r="Q23" s="8">
        <f t="shared" si="41"/>
        <v>3.91880731416749</v>
      </c>
      <c r="R23" s="8">
        <f t="shared" si="41"/>
        <v>8.9257814652924701</v>
      </c>
      <c r="S23" s="8">
        <f t="shared" si="42"/>
        <v>0.55327386557570757</v>
      </c>
      <c r="T23" s="8">
        <f t="shared" si="42"/>
        <v>0.90599647547210882</v>
      </c>
      <c r="U23" s="8">
        <f t="shared" si="42"/>
        <v>31.494892298914284</v>
      </c>
      <c r="V23" s="8">
        <f t="shared" si="42"/>
        <v>372.14924855298409</v>
      </c>
      <c r="W23" s="8">
        <f t="shared" si="43"/>
        <v>0.14661757437756251</v>
      </c>
      <c r="X23" s="8">
        <f t="shared" si="44"/>
        <v>0.19673621934113372</v>
      </c>
      <c r="Y23" s="8">
        <f t="shared" si="44"/>
        <v>5.9130599524608014</v>
      </c>
      <c r="Z23" s="8">
        <f t="shared" si="44"/>
        <v>63.141914147459097</v>
      </c>
      <c r="AA23" s="8">
        <f t="shared" si="56"/>
        <v>966.35643272251446</v>
      </c>
      <c r="AB23" s="8">
        <f t="shared" si="57"/>
        <v>1160.5469578933478</v>
      </c>
      <c r="AC23" s="8">
        <f t="shared" si="58"/>
        <v>1507.8302878775044</v>
      </c>
      <c r="AD23" s="8">
        <f t="shared" si="59"/>
        <v>4546.2178186170549</v>
      </c>
      <c r="AE23" s="8">
        <f t="shared" si="60"/>
        <v>0.11812274318749345</v>
      </c>
      <c r="AF23" s="8">
        <f t="shared" si="61"/>
        <v>0.14185965511508805</v>
      </c>
      <c r="AG23" s="8">
        <f t="shared" si="62"/>
        <v>0.1843098921207493</v>
      </c>
      <c r="AH23" s="8">
        <f t="shared" si="63"/>
        <v>0.55570770957666915</v>
      </c>
      <c r="AN23" s="10">
        <v>30</v>
      </c>
      <c r="AO23" s="8">
        <f t="shared" si="53"/>
        <v>0.90576867559902863</v>
      </c>
      <c r="AP23" s="8">
        <f t="shared" si="54"/>
        <v>0.35585714285714287</v>
      </c>
      <c r="AV23" s="5">
        <f t="shared" si="55"/>
        <v>53338</v>
      </c>
      <c r="AW23" s="5">
        <f t="shared" si="55"/>
        <v>249100</v>
      </c>
    </row>
    <row r="24" spans="1:49" x14ac:dyDescent="0.2">
      <c r="A24" s="5" t="s">
        <v>338</v>
      </c>
      <c r="B24" s="10">
        <v>30</v>
      </c>
      <c r="C24" s="5">
        <v>18462</v>
      </c>
      <c r="D24" s="5">
        <v>15134</v>
      </c>
      <c r="E24" s="5">
        <v>798</v>
      </c>
      <c r="F24" s="5">
        <v>246</v>
      </c>
      <c r="G24" s="5">
        <v>13973</v>
      </c>
      <c r="H24" s="5">
        <v>58146</v>
      </c>
      <c r="I24" s="7">
        <v>248600</v>
      </c>
      <c r="J24" s="7">
        <v>280200</v>
      </c>
      <c r="K24" s="5">
        <v>8554</v>
      </c>
      <c r="L24" s="5">
        <v>58672</v>
      </c>
      <c r="M24" s="7">
        <v>711300</v>
      </c>
      <c r="N24" s="7">
        <v>2125000</v>
      </c>
      <c r="O24" s="8">
        <f t="shared" si="41"/>
        <v>0.98734901704745393</v>
      </c>
      <c r="P24" s="8">
        <f t="shared" si="41"/>
        <v>1.1998295678570066</v>
      </c>
      <c r="Q24" s="8">
        <f t="shared" si="41"/>
        <v>3.9667148568497188</v>
      </c>
      <c r="R24" s="8">
        <f t="shared" si="41"/>
        <v>9.9602452187848449</v>
      </c>
      <c r="S24" s="8">
        <f t="shared" si="42"/>
        <v>0.50372150484561895</v>
      </c>
      <c r="T24" s="8">
        <f t="shared" si="42"/>
        <v>0.90393474173329502</v>
      </c>
      <c r="U24" s="8">
        <f t="shared" si="42"/>
        <v>32.664148855364324</v>
      </c>
      <c r="V24" s="8">
        <f t="shared" si="42"/>
        <v>517.11661275072424</v>
      </c>
      <c r="W24" s="8">
        <f t="shared" si="43"/>
        <v>0.13348619878408902</v>
      </c>
      <c r="X24" s="8">
        <f t="shared" si="44"/>
        <v>0.19630685173672957</v>
      </c>
      <c r="Y24" s="8">
        <f t="shared" si="44"/>
        <v>6.1234252527123454</v>
      </c>
      <c r="Z24" s="8">
        <f t="shared" si="44"/>
        <v>86.562813166182849</v>
      </c>
      <c r="AA24" s="8">
        <f t="shared" si="56"/>
        <v>2464.4222019518515</v>
      </c>
      <c r="AB24" s="8">
        <f t="shared" si="57"/>
        <v>2970.9078941836651</v>
      </c>
      <c r="AC24" s="8">
        <f t="shared" si="58"/>
        <v>4886.4933516644514</v>
      </c>
      <c r="AD24" s="8">
        <f t="shared" si="59"/>
        <v>21294.45203888098</v>
      </c>
      <c r="AE24" s="8">
        <f t="shared" si="60"/>
        <v>7.794789753113214E-2</v>
      </c>
      <c r="AF24" s="8">
        <f t="shared" si="61"/>
        <v>9.3967674827328262E-2</v>
      </c>
      <c r="AG24" s="8">
        <f t="shared" si="62"/>
        <v>0.1545562618127804</v>
      </c>
      <c r="AH24" s="8">
        <f t="shared" si="63"/>
        <v>0.67352816582875918</v>
      </c>
      <c r="AN24" s="10">
        <v>30</v>
      </c>
      <c r="AO24" s="8">
        <f t="shared" si="53"/>
        <v>0.99103490591764387</v>
      </c>
      <c r="AP24" s="8">
        <f t="shared" si="54"/>
        <v>0.34950091381976661</v>
      </c>
      <c r="AV24" s="5">
        <f t="shared" si="55"/>
        <v>58146</v>
      </c>
      <c r="AW24" s="5">
        <f t="shared" si="55"/>
        <v>248600</v>
      </c>
    </row>
    <row r="25" spans="1:49" x14ac:dyDescent="0.2">
      <c r="A25" s="5" t="s">
        <v>339</v>
      </c>
      <c r="B25" s="10">
        <v>30</v>
      </c>
      <c r="C25" s="5">
        <v>19531</v>
      </c>
      <c r="D25" s="5">
        <v>15704</v>
      </c>
      <c r="E25" s="5">
        <v>850</v>
      </c>
      <c r="F25" s="5">
        <v>274</v>
      </c>
      <c r="G25" s="5">
        <v>13603</v>
      </c>
      <c r="H25" s="5">
        <v>54632</v>
      </c>
      <c r="I25" s="7">
        <v>245000</v>
      </c>
      <c r="J25" s="7">
        <v>284300</v>
      </c>
      <c r="K25" s="5">
        <v>10006</v>
      </c>
      <c r="L25" s="5">
        <v>59774</v>
      </c>
      <c r="M25" s="7">
        <v>663700</v>
      </c>
      <c r="N25" s="7">
        <v>1927000</v>
      </c>
      <c r="O25" s="8">
        <f t="shared" si="41"/>
        <v>0.99350492430184301</v>
      </c>
      <c r="P25" s="8">
        <f t="shared" si="41"/>
        <v>1.2045016131699107</v>
      </c>
      <c r="Q25" s="8">
        <f t="shared" si="41"/>
        <v>3.7649096328077634</v>
      </c>
      <c r="R25" s="8">
        <f t="shared" si="41"/>
        <v>9.1208033204590642</v>
      </c>
      <c r="S25" s="8">
        <f t="shared" si="42"/>
        <v>0.51320215312627404</v>
      </c>
      <c r="T25" s="8">
        <f t="shared" si="42"/>
        <v>0.91453547315240091</v>
      </c>
      <c r="U25" s="8">
        <f t="shared" si="42"/>
        <v>27.928143495826966</v>
      </c>
      <c r="V25" s="8">
        <f t="shared" si="42"/>
        <v>397.07968620486389</v>
      </c>
      <c r="W25" s="8">
        <f t="shared" si="43"/>
        <v>0.13599857057846262</v>
      </c>
      <c r="X25" s="8">
        <f t="shared" si="44"/>
        <v>0.1985140879835785</v>
      </c>
      <c r="Y25" s="8">
        <f t="shared" si="44"/>
        <v>5.2693171957731435</v>
      </c>
      <c r="Z25" s="8">
        <f t="shared" si="44"/>
        <v>67.192946443618737</v>
      </c>
      <c r="AA25" s="8">
        <f t="shared" si="56"/>
        <v>2656.1880819679536</v>
      </c>
      <c r="AB25" s="8">
        <f t="shared" si="57"/>
        <v>3117.4652376941167</v>
      </c>
      <c r="AC25" s="8">
        <f t="shared" si="58"/>
        <v>4478.9196164071718</v>
      </c>
      <c r="AD25" s="8">
        <f t="shared" si="59"/>
        <v>18410.867325551535</v>
      </c>
      <c r="AE25" s="8">
        <f t="shared" si="60"/>
        <v>9.2668153498813799E-2</v>
      </c>
      <c r="AF25" s="8">
        <f t="shared" si="61"/>
        <v>0.10876102830783646</v>
      </c>
      <c r="AG25" s="8">
        <f t="shared" si="62"/>
        <v>0.15625896876043416</v>
      </c>
      <c r="AH25" s="8">
        <f t="shared" si="63"/>
        <v>0.64231184943291553</v>
      </c>
      <c r="AN25" s="10">
        <v>30</v>
      </c>
      <c r="AO25" s="8">
        <f t="shared" si="53"/>
        <v>0.91397597617693316</v>
      </c>
      <c r="AP25" s="8">
        <f t="shared" si="54"/>
        <v>0.36914268494801866</v>
      </c>
      <c r="AV25" s="5">
        <f t="shared" si="55"/>
        <v>54632</v>
      </c>
      <c r="AW25" s="5">
        <f t="shared" si="55"/>
        <v>245000</v>
      </c>
    </row>
    <row r="26" spans="1:49" x14ac:dyDescent="0.2">
      <c r="A26" s="5" t="s">
        <v>340</v>
      </c>
      <c r="B26" s="10">
        <v>40</v>
      </c>
      <c r="C26" s="5">
        <v>3770</v>
      </c>
      <c r="D26" s="5">
        <v>3335</v>
      </c>
      <c r="E26" s="5">
        <v>249</v>
      </c>
      <c r="F26" s="5">
        <v>74</v>
      </c>
      <c r="G26" s="5">
        <v>14997</v>
      </c>
      <c r="H26" s="5">
        <v>68285</v>
      </c>
      <c r="I26" s="7">
        <v>276500</v>
      </c>
      <c r="J26" s="7">
        <v>273400</v>
      </c>
      <c r="K26" s="5">
        <v>25832</v>
      </c>
      <c r="L26" s="5">
        <v>71075</v>
      </c>
      <c r="M26" s="7">
        <v>782900</v>
      </c>
      <c r="N26" s="7">
        <v>2249000</v>
      </c>
      <c r="O26" s="8">
        <f t="shared" si="41"/>
        <v>1.0606009216902459</v>
      </c>
      <c r="P26" s="8">
        <f t="shared" si="41"/>
        <v>1.2524133954576866</v>
      </c>
      <c r="Q26" s="8">
        <f t="shared" si="41"/>
        <v>4.2702706140220714</v>
      </c>
      <c r="R26" s="8">
        <f t="shared" si="41"/>
        <v>10.485956306625232</v>
      </c>
      <c r="S26" s="8">
        <f t="shared" si="42"/>
        <v>0.62435903151048289</v>
      </c>
      <c r="T26" s="8">
        <f t="shared" si="42"/>
        <v>1.0280672152925383</v>
      </c>
      <c r="U26" s="8">
        <f t="shared" si="42"/>
        <v>40.751593097376109</v>
      </c>
      <c r="V26" s="8">
        <f t="shared" si="42"/>
        <v>603.39614181447348</v>
      </c>
      <c r="W26" s="8">
        <f t="shared" si="43"/>
        <v>0.16545514335027797</v>
      </c>
      <c r="X26" s="8">
        <f t="shared" si="44"/>
        <v>0.22208980765082587</v>
      </c>
      <c r="Y26" s="8">
        <f t="shared" si="44"/>
        <v>7.5705714564902591</v>
      </c>
      <c r="Z26" s="8">
        <f t="shared" si="44"/>
        <v>100.36859048627406</v>
      </c>
      <c r="AA26" s="8">
        <f t="shared" si="56"/>
        <v>623.76589043054798</v>
      </c>
      <c r="AB26" s="8">
        <f t="shared" si="57"/>
        <v>740.66950851550428</v>
      </c>
      <c r="AC26" s="8">
        <f t="shared" si="58"/>
        <v>1885.0722926660744</v>
      </c>
      <c r="AD26" s="8">
        <f t="shared" si="59"/>
        <v>7427.27569598428</v>
      </c>
      <c r="AE26" s="8">
        <f t="shared" si="60"/>
        <v>5.8422641706414938E-2</v>
      </c>
      <c r="AF26" s="8">
        <f t="shared" si="61"/>
        <v>6.937197109158981E-2</v>
      </c>
      <c r="AG26" s="8">
        <f t="shared" si="62"/>
        <v>0.17655807224262215</v>
      </c>
      <c r="AH26" s="8">
        <f t="shared" si="63"/>
        <v>0.69564731495937315</v>
      </c>
      <c r="AN26" s="10">
        <v>40</v>
      </c>
      <c r="AO26" s="8">
        <f t="shared" si="53"/>
        <v>0.96074569117129793</v>
      </c>
      <c r="AP26" s="8">
        <f t="shared" si="54"/>
        <v>0.35317409630859625</v>
      </c>
      <c r="AV26" s="5">
        <f t="shared" si="55"/>
        <v>68285</v>
      </c>
      <c r="AW26" s="5">
        <f t="shared" si="55"/>
        <v>276500</v>
      </c>
    </row>
    <row r="27" spans="1:49" x14ac:dyDescent="0.2">
      <c r="A27" s="5" t="s">
        <v>341</v>
      </c>
      <c r="B27" s="10">
        <v>40</v>
      </c>
      <c r="C27" s="5">
        <v>13055</v>
      </c>
      <c r="D27" s="5">
        <v>11488</v>
      </c>
      <c r="E27" s="5">
        <v>714</v>
      </c>
      <c r="F27" s="5">
        <v>244</v>
      </c>
      <c r="G27" s="5">
        <v>16447</v>
      </c>
      <c r="H27" s="5">
        <v>72438</v>
      </c>
      <c r="I27" s="7">
        <v>275300</v>
      </c>
      <c r="J27" s="7">
        <v>285200</v>
      </c>
      <c r="K27" s="5">
        <v>22335</v>
      </c>
      <c r="L27" s="5">
        <v>69661</v>
      </c>
      <c r="M27" s="7">
        <v>804200</v>
      </c>
      <c r="N27" s="7">
        <v>1942000</v>
      </c>
      <c r="O27" s="8">
        <f t="shared" si="41"/>
        <v>1.0457750210920376</v>
      </c>
      <c r="P27" s="8">
        <f t="shared" si="41"/>
        <v>1.2464185932140874</v>
      </c>
      <c r="Q27" s="8">
        <f t="shared" si="41"/>
        <v>4.3605742121752993</v>
      </c>
      <c r="R27" s="8">
        <f t="shared" si="41"/>
        <v>9.1843974036655638</v>
      </c>
      <c r="S27" s="8">
        <f t="shared" si="42"/>
        <v>0.59854001537661172</v>
      </c>
      <c r="T27" s="8">
        <f t="shared" si="42"/>
        <v>1.0133749260610403</v>
      </c>
      <c r="U27" s="8">
        <f t="shared" si="42"/>
        <v>43.391977634144261</v>
      </c>
      <c r="V27" s="8">
        <f t="shared" si="42"/>
        <v>405.44355304748393</v>
      </c>
      <c r="W27" s="8">
        <f t="shared" si="43"/>
        <v>0.15861310407480209</v>
      </c>
      <c r="X27" s="8">
        <f t="shared" si="44"/>
        <v>0.21904511789384812</v>
      </c>
      <c r="Y27" s="8">
        <f t="shared" si="44"/>
        <v>8.0403630077343298</v>
      </c>
      <c r="Z27" s="8">
        <f t="shared" si="44"/>
        <v>68.549651739413036</v>
      </c>
      <c r="AA27" s="8">
        <f t="shared" si="56"/>
        <v>2070.6940736965412</v>
      </c>
      <c r="AB27" s="8">
        <f t="shared" si="57"/>
        <v>2516.3903143645271</v>
      </c>
      <c r="AC27" s="8">
        <f t="shared" si="58"/>
        <v>5740.819187522311</v>
      </c>
      <c r="AD27" s="8">
        <f t="shared" si="59"/>
        <v>16726.11502441678</v>
      </c>
      <c r="AE27" s="8">
        <f t="shared" si="60"/>
        <v>7.6539241889060028E-2</v>
      </c>
      <c r="AF27" s="8">
        <f t="shared" si="61"/>
        <v>9.3013550096565409E-2</v>
      </c>
      <c r="AG27" s="8">
        <f t="shared" si="62"/>
        <v>0.21219838991026188</v>
      </c>
      <c r="AH27" s="8">
        <f t="shared" si="63"/>
        <v>0.6182488181041127</v>
      </c>
      <c r="AN27" s="10">
        <v>40</v>
      </c>
      <c r="AO27" s="8">
        <f t="shared" si="53"/>
        <v>1.0398644865850333</v>
      </c>
      <c r="AP27" s="8">
        <f t="shared" si="54"/>
        <v>0.34232777915941309</v>
      </c>
      <c r="AV27" s="5">
        <f t="shared" si="55"/>
        <v>72438</v>
      </c>
      <c r="AW27" s="5">
        <f t="shared" si="55"/>
        <v>275300</v>
      </c>
    </row>
    <row r="28" spans="1:49" x14ac:dyDescent="0.2">
      <c r="A28" s="5" t="s">
        <v>342</v>
      </c>
      <c r="B28" s="10">
        <v>40</v>
      </c>
      <c r="C28" s="5">
        <v>12979</v>
      </c>
      <c r="D28" s="5">
        <v>10974</v>
      </c>
      <c r="E28" s="5">
        <v>635</v>
      </c>
      <c r="F28" s="5">
        <v>195</v>
      </c>
      <c r="G28" s="5">
        <v>16276</v>
      </c>
      <c r="H28" s="5">
        <v>70290</v>
      </c>
      <c r="I28" s="7">
        <v>272400</v>
      </c>
      <c r="J28" s="7">
        <v>282900</v>
      </c>
      <c r="K28" s="5">
        <v>14107</v>
      </c>
      <c r="L28" s="5">
        <v>67163</v>
      </c>
      <c r="M28" s="7">
        <v>787600</v>
      </c>
      <c r="N28" s="7">
        <v>1974000</v>
      </c>
      <c r="O28" s="8">
        <f t="shared" si="41"/>
        <v>1.0108915466504997</v>
      </c>
      <c r="P28" s="8">
        <f t="shared" si="41"/>
        <v>1.2358280585574317</v>
      </c>
      <c r="Q28" s="8">
        <f t="shared" si="41"/>
        <v>4.2901967600934405</v>
      </c>
      <c r="R28" s="8">
        <f t="shared" si="41"/>
        <v>9.3200647811727588</v>
      </c>
      <c r="S28" s="8">
        <f t="shared" si="42"/>
        <v>0.54061998021871704</v>
      </c>
      <c r="T28" s="8">
        <f t="shared" si="42"/>
        <v>0.98776253942774883</v>
      </c>
      <c r="U28" s="8">
        <f t="shared" si="42"/>
        <v>41.324730442882021</v>
      </c>
      <c r="V28" s="8">
        <f t="shared" si="42"/>
        <v>423.67729511365394</v>
      </c>
      <c r="W28" s="8">
        <f t="shared" si="43"/>
        <v>0.14326429475796001</v>
      </c>
      <c r="X28" s="8">
        <f t="shared" si="44"/>
        <v>0.21373310600484552</v>
      </c>
      <c r="Y28" s="8">
        <f t="shared" si="44"/>
        <v>7.6726505399228238</v>
      </c>
      <c r="Z28" s="8">
        <f t="shared" si="44"/>
        <v>71.503409033249014</v>
      </c>
      <c r="AA28" s="8">
        <f t="shared" si="56"/>
        <v>1859.427281663563</v>
      </c>
      <c r="AB28" s="8">
        <f t="shared" si="57"/>
        <v>2345.5071052971748</v>
      </c>
      <c r="AC28" s="8">
        <f t="shared" si="58"/>
        <v>4872.1330928509933</v>
      </c>
      <c r="AD28" s="8">
        <f t="shared" si="59"/>
        <v>13943.164761483558</v>
      </c>
      <c r="AE28" s="8">
        <f t="shared" si="60"/>
        <v>8.0773610890336425E-2</v>
      </c>
      <c r="AF28" s="8">
        <f t="shared" si="61"/>
        <v>0.10188894189736458</v>
      </c>
      <c r="AG28" s="8">
        <f t="shared" si="62"/>
        <v>0.21164569678454515</v>
      </c>
      <c r="AH28" s="8">
        <f t="shared" si="63"/>
        <v>0.60569175042775369</v>
      </c>
      <c r="AN28" s="10">
        <v>40</v>
      </c>
      <c r="AO28" s="8">
        <f t="shared" si="53"/>
        <v>1.0465583729136578</v>
      </c>
      <c r="AP28" s="8">
        <f t="shared" si="54"/>
        <v>0.345860843067547</v>
      </c>
      <c r="AV28" s="5">
        <f t="shared" si="55"/>
        <v>70290</v>
      </c>
      <c r="AW28" s="5">
        <f t="shared" si="55"/>
        <v>272400</v>
      </c>
    </row>
    <row r="29" spans="1:49" x14ac:dyDescent="0.2">
      <c r="A29" s="5" t="s">
        <v>343</v>
      </c>
      <c r="B29" s="10">
        <v>50</v>
      </c>
      <c r="C29" s="5">
        <v>989</v>
      </c>
      <c r="D29" s="5">
        <v>1508</v>
      </c>
      <c r="E29" s="5">
        <v>86</v>
      </c>
      <c r="F29" s="5">
        <v>52</v>
      </c>
      <c r="G29" s="5">
        <v>19652</v>
      </c>
      <c r="H29" s="5">
        <v>89593</v>
      </c>
      <c r="I29" s="7">
        <v>281100</v>
      </c>
      <c r="J29" s="7">
        <v>265200</v>
      </c>
      <c r="K29" s="5">
        <v>18985</v>
      </c>
      <c r="L29" s="5">
        <v>76325</v>
      </c>
      <c r="M29" s="7">
        <v>676000</v>
      </c>
      <c r="N29" s="7">
        <v>1633000</v>
      </c>
      <c r="O29" s="8">
        <f t="shared" si="41"/>
        <v>1.0315723425092529</v>
      </c>
      <c r="P29" s="8">
        <f t="shared" si="41"/>
        <v>1.274671324579961</v>
      </c>
      <c r="Q29" s="8">
        <f t="shared" si="41"/>
        <v>3.8170567810370923</v>
      </c>
      <c r="R29" s="8">
        <f t="shared" si="41"/>
        <v>7.8743592896116947</v>
      </c>
      <c r="S29" s="8">
        <f t="shared" si="42"/>
        <v>0.5744833773847291</v>
      </c>
      <c r="T29" s="8">
        <f t="shared" si="42"/>
        <v>1.0838596417973998</v>
      </c>
      <c r="U29" s="8">
        <f t="shared" si="42"/>
        <v>29.104775846116038</v>
      </c>
      <c r="V29" s="8">
        <f t="shared" si="42"/>
        <v>255.51951713992855</v>
      </c>
      <c r="W29" s="8">
        <f t="shared" si="43"/>
        <v>0.15223809500695321</v>
      </c>
      <c r="X29" s="8">
        <f t="shared" si="44"/>
        <v>0.23363567090993409</v>
      </c>
      <c r="Y29" s="8">
        <f t="shared" si="44"/>
        <v>5.4820339938150697</v>
      </c>
      <c r="Z29" s="8">
        <f t="shared" si="44"/>
        <v>44.027060547719181</v>
      </c>
      <c r="AA29" s="8">
        <f t="shared" si="56"/>
        <v>150.56347596187672</v>
      </c>
      <c r="AB29" s="8">
        <f t="shared" si="57"/>
        <v>352.32259173218063</v>
      </c>
      <c r="AC29" s="8">
        <f t="shared" si="58"/>
        <v>471.45492346809601</v>
      </c>
      <c r="AD29" s="8">
        <f t="shared" si="59"/>
        <v>2289.4071484813976</v>
      </c>
      <c r="AE29" s="8">
        <f t="shared" si="60"/>
        <v>4.613207561362883E-2</v>
      </c>
      <c r="AF29" s="8">
        <f t="shared" si="61"/>
        <v>0.10795030028593426</v>
      </c>
      <c r="AG29" s="8">
        <f t="shared" si="62"/>
        <v>0.14445199301426054</v>
      </c>
      <c r="AH29" s="8">
        <f t="shared" si="63"/>
        <v>0.70146563108617632</v>
      </c>
      <c r="AN29" s="10">
        <v>50</v>
      </c>
      <c r="AO29" s="8">
        <f t="shared" si="53"/>
        <v>1.1738355715689486</v>
      </c>
      <c r="AP29" s="8">
        <f t="shared" si="54"/>
        <v>0.41582840236686391</v>
      </c>
      <c r="AV29" s="5">
        <f t="shared" si="55"/>
        <v>89593</v>
      </c>
      <c r="AW29" s="5">
        <f t="shared" si="55"/>
        <v>281100</v>
      </c>
    </row>
    <row r="30" spans="1:49" x14ac:dyDescent="0.2">
      <c r="A30" s="5" t="s">
        <v>344</v>
      </c>
      <c r="B30" s="10">
        <v>50</v>
      </c>
      <c r="C30" s="5">
        <v>2471</v>
      </c>
      <c r="D30" s="5">
        <v>3781</v>
      </c>
      <c r="E30" s="5">
        <v>226</v>
      </c>
      <c r="F30" s="5">
        <v>149</v>
      </c>
      <c r="G30" s="5">
        <v>22719</v>
      </c>
      <c r="H30" s="5">
        <v>97164</v>
      </c>
      <c r="I30" s="7">
        <v>283500</v>
      </c>
      <c r="J30" s="7">
        <v>271300</v>
      </c>
      <c r="K30" s="5">
        <v>40842</v>
      </c>
      <c r="L30" s="5">
        <v>79818</v>
      </c>
      <c r="M30" s="7">
        <v>565100</v>
      </c>
      <c r="N30" s="7">
        <v>1838000</v>
      </c>
      <c r="O30" s="8">
        <f t="shared" ref="O30:O31" si="64">(224333+K30)/235871</f>
        <v>1.1242374009522154</v>
      </c>
      <c r="P30" s="8">
        <f t="shared" ref="P30:P31" si="65">(224333+L30)/235871</f>
        <v>1.289480266755981</v>
      </c>
      <c r="Q30" s="8">
        <f t="shared" ref="Q30:Q31" si="66">(224333+M30)/235871</f>
        <v>3.3468845258637137</v>
      </c>
      <c r="R30" s="8">
        <f t="shared" ref="R30:R31" si="67">(224333+N30)/235871</f>
        <v>8.7434784267671741</v>
      </c>
      <c r="S30" s="8">
        <f t="shared" ref="S30:S31" si="68">4/3*3.14*((O30/2)^3)</f>
        <v>0.74362243755433055</v>
      </c>
      <c r="T30" s="8">
        <f t="shared" ref="T30:T31" si="69">4/3*3.14*((P30/2)^3)</f>
        <v>1.1220765827024672</v>
      </c>
      <c r="U30" s="8">
        <f t="shared" ref="U30:U31" si="70">4/3*3.14*((Q30/2)^3)</f>
        <v>19.620071399154028</v>
      </c>
      <c r="V30" s="8">
        <f t="shared" ref="V30:V31" si="71">4/3*3.14*((R30/2)^3)</f>
        <v>349.80911855748661</v>
      </c>
      <c r="W30" s="8">
        <f t="shared" si="43"/>
        <v>0.1970599459518976</v>
      </c>
      <c r="X30" s="8">
        <f t="shared" ref="X30:X31" si="72">(10^(-0.665+LOG(T30, 10)*0.959))</f>
        <v>0.24153027534147689</v>
      </c>
      <c r="Y30" s="8">
        <f t="shared" ref="Y30:Y31" si="73">(10^(-0.665+LOG(U30, 10)*0.959))</f>
        <v>3.7557775320292515</v>
      </c>
      <c r="Z30" s="8">
        <f t="shared" ref="Z30:Z31" si="74">(10^(-0.665+LOG(V30, 10)*0.959))</f>
        <v>59.502340653040228</v>
      </c>
      <c r="AA30" s="8">
        <f t="shared" si="56"/>
        <v>486.935126447139</v>
      </c>
      <c r="AB30" s="8">
        <f t="shared" si="57"/>
        <v>913.22597106612409</v>
      </c>
      <c r="AC30" s="8">
        <f t="shared" si="58"/>
        <v>848.80572223861088</v>
      </c>
      <c r="AD30" s="8">
        <f t="shared" si="59"/>
        <v>8865.8487573029943</v>
      </c>
      <c r="AE30" s="8">
        <f t="shared" si="60"/>
        <v>4.3809555189773454E-2</v>
      </c>
      <c r="AF30" s="8">
        <f t="shared" si="61"/>
        <v>8.2162944111404207E-2</v>
      </c>
      <c r="AG30" s="8">
        <f t="shared" si="62"/>
        <v>7.6367054077879887E-2</v>
      </c>
      <c r="AH30" s="8">
        <f t="shared" si="63"/>
        <v>0.79766044662094238</v>
      </c>
      <c r="AN30" s="10">
        <v>50</v>
      </c>
      <c r="AO30" s="8">
        <f t="shared" si="53"/>
        <v>1.2173194016387281</v>
      </c>
      <c r="AP30" s="8">
        <f t="shared" si="54"/>
        <v>0.50168111838612639</v>
      </c>
      <c r="AV30" s="5">
        <f t="shared" ref="AV30:AW31" si="75">H30</f>
        <v>97164</v>
      </c>
      <c r="AW30" s="5">
        <f t="shared" si="75"/>
        <v>283500</v>
      </c>
    </row>
    <row r="31" spans="1:49" x14ac:dyDescent="0.2">
      <c r="A31" s="5" t="s">
        <v>345</v>
      </c>
      <c r="B31" s="10">
        <v>50</v>
      </c>
      <c r="C31" s="5">
        <v>2250</v>
      </c>
      <c r="D31" s="5">
        <v>3737</v>
      </c>
      <c r="E31" s="5">
        <v>195</v>
      </c>
      <c r="F31" s="5">
        <v>99</v>
      </c>
      <c r="G31" s="5">
        <v>23038</v>
      </c>
      <c r="H31" s="5">
        <v>95679</v>
      </c>
      <c r="I31" s="7">
        <v>284300</v>
      </c>
      <c r="J31" s="7">
        <v>279400</v>
      </c>
      <c r="K31" s="5">
        <v>38388</v>
      </c>
      <c r="L31" s="5">
        <v>78523</v>
      </c>
      <c r="M31" s="7">
        <v>579700</v>
      </c>
      <c r="N31" s="7">
        <v>1643000</v>
      </c>
      <c r="O31" s="8">
        <f t="shared" si="64"/>
        <v>1.1138334089396322</v>
      </c>
      <c r="P31" s="8">
        <f t="shared" si="65"/>
        <v>1.2839899775724866</v>
      </c>
      <c r="Q31" s="8">
        <f t="shared" si="66"/>
        <v>3.4087827668513722</v>
      </c>
      <c r="R31" s="8">
        <f t="shared" si="67"/>
        <v>7.9167553450826933</v>
      </c>
      <c r="S31" s="8">
        <f t="shared" si="68"/>
        <v>0.7231678632515266</v>
      </c>
      <c r="T31" s="8">
        <f t="shared" si="69"/>
        <v>1.1078049440121429</v>
      </c>
      <c r="U31" s="8">
        <f t="shared" si="70"/>
        <v>20.728905637289806</v>
      </c>
      <c r="V31" s="8">
        <f t="shared" si="71"/>
        <v>259.66897853895813</v>
      </c>
      <c r="W31" s="8">
        <f t="shared" si="43"/>
        <v>0.19163948376165457</v>
      </c>
      <c r="X31" s="8">
        <f t="shared" si="72"/>
        <v>0.23858344418826133</v>
      </c>
      <c r="Y31" s="8">
        <f t="shared" si="73"/>
        <v>3.959102477462602</v>
      </c>
      <c r="Z31" s="8">
        <f t="shared" si="74"/>
        <v>44.71248904059123</v>
      </c>
      <c r="AA31" s="8">
        <f t="shared" si="56"/>
        <v>431.18883846372279</v>
      </c>
      <c r="AB31" s="8">
        <f t="shared" si="57"/>
        <v>891.58633093153253</v>
      </c>
      <c r="AC31" s="8">
        <f t="shared" si="58"/>
        <v>772.02498310520741</v>
      </c>
      <c r="AD31" s="8">
        <f t="shared" si="59"/>
        <v>4426.5364150185314</v>
      </c>
      <c r="AE31" s="8">
        <f t="shared" si="60"/>
        <v>6.6119703223317325E-2</v>
      </c>
      <c r="AF31" s="8">
        <f t="shared" si="61"/>
        <v>0.13671834319551637</v>
      </c>
      <c r="AG31" s="8">
        <f t="shared" si="62"/>
        <v>0.11838447151316404</v>
      </c>
      <c r="AH31" s="8">
        <f t="shared" si="63"/>
        <v>0.67877748206800226</v>
      </c>
      <c r="AN31" s="10">
        <v>50</v>
      </c>
      <c r="AO31" s="8">
        <f t="shared" si="53"/>
        <v>1.2184837563516422</v>
      </c>
      <c r="AP31" s="8">
        <f t="shared" si="54"/>
        <v>0.49042608245644298</v>
      </c>
      <c r="AV31" s="5">
        <f t="shared" si="75"/>
        <v>95679</v>
      </c>
      <c r="AW31" s="5">
        <f t="shared" si="75"/>
        <v>284300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6"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320</v>
      </c>
      <c r="B38" s="10">
        <v>5</v>
      </c>
      <c r="C38" s="31">
        <f>1-0.23-0.025</f>
        <v>0.745</v>
      </c>
      <c r="D38" s="12">
        <f>H38/$C38</f>
        <v>17460.40268456376</v>
      </c>
      <c r="E38" s="12">
        <f t="shared" ref="E38:G45" si="76">I38/$C38</f>
        <v>14844.295302013423</v>
      </c>
      <c r="F38" s="12">
        <f t="shared" si="76"/>
        <v>1304.6979865771812</v>
      </c>
      <c r="G38" s="12">
        <f>K38/$C38</f>
        <v>871.14093959731542</v>
      </c>
      <c r="H38" s="5">
        <v>13008</v>
      </c>
      <c r="I38" s="5">
        <v>11059</v>
      </c>
      <c r="J38" s="5">
        <v>972</v>
      </c>
      <c r="K38" s="5">
        <v>649</v>
      </c>
      <c r="L38" s="26">
        <f t="shared" ref="L38:O45" si="77">W4*D38*1000/1000000</f>
        <v>2.6750526143881221</v>
      </c>
      <c r="M38" s="26">
        <f t="shared" si="77"/>
        <v>2.7267961174782878</v>
      </c>
      <c r="N38" s="26">
        <f t="shared" si="77"/>
        <v>6.1548527795712618</v>
      </c>
      <c r="O38" s="26">
        <f t="shared" si="77"/>
        <v>123.44365082872285</v>
      </c>
      <c r="P38" s="26">
        <f>SUM(L38:O38)</f>
        <v>135.00035234016053</v>
      </c>
      <c r="Q38" s="26">
        <f>SUM(L38:N38)</f>
        <v>11.556701511437673</v>
      </c>
      <c r="R38" s="26">
        <f>(LN(L48/(L38*0.25)))/$B$1</f>
        <v>0.49202818651239794</v>
      </c>
      <c r="S38" s="26">
        <f>(R38-R39)/(1-0.25)</f>
        <v>0.5181636323745562</v>
      </c>
      <c r="T38" s="26">
        <f>S38+R40</f>
        <v>0.63671901767204686</v>
      </c>
      <c r="V38" s="26">
        <f>(LN(L51/(L39*0.25)))/$B$1</f>
        <v>0.75680829006297312</v>
      </c>
      <c r="W38" s="26">
        <f>(V38-V39)/(1-0.25)</f>
        <v>0.54561595959668319</v>
      </c>
      <c r="X38" s="26">
        <f>W38+V40</f>
        <v>1.0589179266432782</v>
      </c>
      <c r="Z38" s="26">
        <f>(LN(L54/(L40*0.25)))/$B$1</f>
        <v>0.69230236137181378</v>
      </c>
      <c r="AA38" s="26">
        <f>(Z38-Z39)/(1-0.25)</f>
        <v>0.5117237726314493</v>
      </c>
      <c r="AB38" s="26">
        <f>AA38+Z40</f>
        <v>0.89429221440610873</v>
      </c>
    </row>
    <row r="39" spans="1:28" x14ac:dyDescent="0.2">
      <c r="A39" s="5" t="s">
        <v>321</v>
      </c>
      <c r="B39" s="10">
        <v>12</v>
      </c>
      <c r="C39" s="31">
        <f>1-0.24-0.025</f>
        <v>0.73499999999999999</v>
      </c>
      <c r="D39" s="12">
        <f t="shared" ref="D39:D44" si="78">H39/$C39</f>
        <v>21789.115646258502</v>
      </c>
      <c r="E39" s="12">
        <f t="shared" si="76"/>
        <v>17926.530612244896</v>
      </c>
      <c r="F39" s="12">
        <f t="shared" si="76"/>
        <v>1355.1020408163265</v>
      </c>
      <c r="G39" s="12">
        <f t="shared" si="76"/>
        <v>658.50340136054422</v>
      </c>
      <c r="H39" s="5">
        <v>16015</v>
      </c>
      <c r="I39" s="5">
        <v>13176</v>
      </c>
      <c r="J39" s="5">
        <v>996</v>
      </c>
      <c r="K39" s="5">
        <v>484</v>
      </c>
      <c r="L39" s="26">
        <f t="shared" si="77"/>
        <v>3.0723764309825086</v>
      </c>
      <c r="M39" s="26">
        <f t="shared" si="77"/>
        <v>3.3867815237144687</v>
      </c>
      <c r="N39" s="26">
        <f t="shared" si="77"/>
        <v>9.9398580960115925</v>
      </c>
      <c r="O39" s="26">
        <f t="shared" si="77"/>
        <v>86.546787022914444</v>
      </c>
      <c r="P39" s="26">
        <f t="shared" ref="P39:P44" si="79">SUM(L39:O39)</f>
        <v>102.94580307362301</v>
      </c>
      <c r="Q39" s="26">
        <f t="shared" ref="Q39:Q44" si="80">SUM(L39:N39)</f>
        <v>16.399016050708568</v>
      </c>
      <c r="R39" s="26">
        <f>(LN(L49/L38))/$B$1</f>
        <v>0.10340546223148077</v>
      </c>
      <c r="V39" s="26">
        <f>(LN(L52/L39))/$B$1</f>
        <v>0.34759632036546073</v>
      </c>
      <c r="Z39" s="26">
        <f>(LN(L55/L40))/$B$1</f>
        <v>0.30850953189822677</v>
      </c>
    </row>
    <row r="40" spans="1:28" x14ac:dyDescent="0.2">
      <c r="A40" s="5" t="s">
        <v>322</v>
      </c>
      <c r="B40" s="10">
        <v>20</v>
      </c>
      <c r="C40" s="31">
        <f>1-0.24-0.025</f>
        <v>0.73499999999999999</v>
      </c>
      <c r="D40" s="12">
        <f t="shared" si="78"/>
        <v>28088.43537414966</v>
      </c>
      <c r="E40" s="12">
        <f t="shared" si="76"/>
        <v>21876.190476190477</v>
      </c>
      <c r="F40" s="12">
        <f t="shared" si="76"/>
        <v>1510.204081632653</v>
      </c>
      <c r="G40" s="12">
        <f t="shared" si="76"/>
        <v>412.24489795918367</v>
      </c>
      <c r="H40" s="5">
        <v>20645</v>
      </c>
      <c r="I40" s="5">
        <v>16079</v>
      </c>
      <c r="J40" s="5">
        <v>1110</v>
      </c>
      <c r="K40" s="5">
        <v>303</v>
      </c>
      <c r="L40" s="26">
        <f t="shared" si="77"/>
        <v>3.846504896344483</v>
      </c>
      <c r="M40" s="26">
        <f t="shared" si="77"/>
        <v>4.1188956755634063</v>
      </c>
      <c r="N40" s="26">
        <f t="shared" si="77"/>
        <v>12.582438530486341</v>
      </c>
      <c r="O40" s="26">
        <f t="shared" si="77"/>
        <v>63.49657186471547</v>
      </c>
      <c r="P40" s="26">
        <f t="shared" si="79"/>
        <v>84.044410967109698</v>
      </c>
      <c r="Q40" s="26">
        <f t="shared" si="80"/>
        <v>20.547839102394228</v>
      </c>
      <c r="R40" s="26">
        <f>LN(L50/L38)/$B$1</f>
        <v>0.11855538529749063</v>
      </c>
      <c r="V40" s="26">
        <f>LN(L53/L39)/$B$1</f>
        <v>0.51330196704659503</v>
      </c>
      <c r="Z40" s="26">
        <f>LN(L56/L40)/$B$1</f>
        <v>0.38256844177465937</v>
      </c>
    </row>
    <row r="41" spans="1:28" x14ac:dyDescent="0.2">
      <c r="A41" s="5" t="s">
        <v>323</v>
      </c>
      <c r="B41" s="10">
        <v>30</v>
      </c>
      <c r="C41" s="31">
        <f>1-0.25-0.025</f>
        <v>0.72499999999999998</v>
      </c>
      <c r="D41" s="12">
        <f t="shared" si="78"/>
        <v>20906.206896551725</v>
      </c>
      <c r="E41" s="12">
        <f t="shared" si="76"/>
        <v>18092.413793103449</v>
      </c>
      <c r="F41" s="12">
        <f t="shared" si="76"/>
        <v>925.51724137931035</v>
      </c>
      <c r="G41" s="12">
        <f t="shared" si="76"/>
        <v>282.75862068965517</v>
      </c>
      <c r="H41" s="5">
        <v>15157</v>
      </c>
      <c r="I41" s="5">
        <v>13117</v>
      </c>
      <c r="J41" s="5">
        <v>671</v>
      </c>
      <c r="K41" s="5">
        <v>205</v>
      </c>
      <c r="L41" s="26">
        <f t="shared" si="77"/>
        <v>2.973834513878856</v>
      </c>
      <c r="M41" s="26">
        <f t="shared" si="77"/>
        <v>3.4803585719565748</v>
      </c>
      <c r="N41" s="26">
        <f t="shared" si="77"/>
        <v>6.8005648429064571</v>
      </c>
      <c r="O41" s="26">
        <f t="shared" si="77"/>
        <v>30.544543402339137</v>
      </c>
      <c r="P41" s="26">
        <f t="shared" si="79"/>
        <v>43.799301331081026</v>
      </c>
      <c r="Q41" s="26">
        <f t="shared" si="80"/>
        <v>13.254757928741888</v>
      </c>
      <c r="R41" s="5" t="s">
        <v>535</v>
      </c>
      <c r="V41" s="5" t="s">
        <v>535</v>
      </c>
      <c r="Z41" s="5" t="s">
        <v>535</v>
      </c>
    </row>
    <row r="42" spans="1:28" x14ac:dyDescent="0.2">
      <c r="A42" s="5" t="s">
        <v>324</v>
      </c>
      <c r="B42" s="10">
        <v>40</v>
      </c>
      <c r="C42" s="31">
        <f>1-0.2-0.025</f>
        <v>0.77500000000000002</v>
      </c>
      <c r="D42" s="12">
        <f t="shared" si="78"/>
        <v>15910.967741935483</v>
      </c>
      <c r="E42" s="12">
        <f t="shared" si="76"/>
        <v>15509.677419354839</v>
      </c>
      <c r="F42" s="12">
        <f t="shared" si="76"/>
        <v>607.74193548387098</v>
      </c>
      <c r="G42" s="12">
        <f t="shared" si="76"/>
        <v>201.29032258064515</v>
      </c>
      <c r="H42" s="5">
        <v>12331</v>
      </c>
      <c r="I42" s="5">
        <v>12020</v>
      </c>
      <c r="J42" s="5">
        <v>471</v>
      </c>
      <c r="K42" s="5">
        <v>156</v>
      </c>
      <c r="L42" s="26">
        <f t="shared" si="77"/>
        <v>2.292691766083613</v>
      </c>
      <c r="M42" s="26">
        <f t="shared" si="77"/>
        <v>2.9461734607818126</v>
      </c>
      <c r="N42" s="26">
        <f t="shared" si="77"/>
        <v>4.5082623431242226</v>
      </c>
      <c r="O42" s="26">
        <f t="shared" si="77"/>
        <v>18.028420875023745</v>
      </c>
      <c r="P42" s="26">
        <f t="shared" si="79"/>
        <v>27.775548445013392</v>
      </c>
      <c r="Q42" s="26">
        <f t="shared" si="80"/>
        <v>9.7471275699896474</v>
      </c>
      <c r="R42" s="6" t="s">
        <v>539</v>
      </c>
      <c r="S42" s="6" t="s">
        <v>540</v>
      </c>
      <c r="T42" s="6" t="s">
        <v>541</v>
      </c>
      <c r="V42" s="6" t="s">
        <v>539</v>
      </c>
      <c r="W42" s="6" t="s">
        <v>540</v>
      </c>
      <c r="X42" s="6" t="s">
        <v>541</v>
      </c>
      <c r="Z42" s="6" t="s">
        <v>539</v>
      </c>
      <c r="AA42" s="6" t="s">
        <v>540</v>
      </c>
      <c r="AB42" s="6" t="s">
        <v>541</v>
      </c>
    </row>
    <row r="43" spans="1:28" x14ac:dyDescent="0.2">
      <c r="A43" s="5" t="s">
        <v>325</v>
      </c>
      <c r="B43" s="10">
        <v>50</v>
      </c>
      <c r="C43" s="31">
        <f>1-0.2-0.025</f>
        <v>0.77500000000000002</v>
      </c>
      <c r="D43" s="12">
        <f t="shared" si="78"/>
        <v>3078.7096774193546</v>
      </c>
      <c r="E43" s="12">
        <f t="shared" si="76"/>
        <v>5055.4838709677415</v>
      </c>
      <c r="F43" s="12">
        <f t="shared" si="76"/>
        <v>233.54838709677418</v>
      </c>
      <c r="G43" s="12">
        <f t="shared" si="76"/>
        <v>109.6774193548387</v>
      </c>
      <c r="H43" s="5">
        <v>2386</v>
      </c>
      <c r="I43" s="5">
        <v>3918</v>
      </c>
      <c r="J43" s="5">
        <v>181</v>
      </c>
      <c r="K43" s="5">
        <v>85</v>
      </c>
      <c r="L43" s="26">
        <f t="shared" si="77"/>
        <v>0.55675235165862003</v>
      </c>
      <c r="M43" s="26">
        <f t="shared" si="77"/>
        <v>1.0445039509527141</v>
      </c>
      <c r="N43" s="26">
        <f t="shared" si="77"/>
        <v>0.66243463510081535</v>
      </c>
      <c r="O43" s="26">
        <f t="shared" si="77"/>
        <v>5.3871308517405243</v>
      </c>
      <c r="P43" s="26">
        <f t="shared" si="79"/>
        <v>7.6508217894526735</v>
      </c>
      <c r="Q43" s="26">
        <f t="shared" si="80"/>
        <v>2.2636909377121492</v>
      </c>
      <c r="R43" s="26">
        <f>(LN(M48/(M38*0.25)))/$B$1</f>
        <v>0.94923752260964223</v>
      </c>
      <c r="S43" s="26">
        <f>(R43-R44)/(1-0.25)</f>
        <v>0.36333724711537424</v>
      </c>
      <c r="T43" s="26">
        <f>S43+R45</f>
        <v>0.86125776352584094</v>
      </c>
      <c r="V43" s="26">
        <f>(LN(M51/(M39*0.25)))/$B$1</f>
        <v>0.88070505398579202</v>
      </c>
      <c r="W43" s="26">
        <f>(V43-V44)/(1-0.25)</f>
        <v>0.39291198687726192</v>
      </c>
      <c r="X43" s="26">
        <f>W43+V45</f>
        <v>0.82279045845291388</v>
      </c>
      <c r="Z43" s="26">
        <f>(LN(M54/(M40*0.25)))/$B$1</f>
        <v>0.63612324644771212</v>
      </c>
      <c r="AA43" s="26">
        <f>(Z43-Z44)/(1-0.25)</f>
        <v>0.33642001423081896</v>
      </c>
      <c r="AB43" s="26">
        <f>AA43+Z45</f>
        <v>0.67830793810787504</v>
      </c>
    </row>
    <row r="44" spans="1:28" x14ac:dyDescent="0.2">
      <c r="A44" s="5" t="s">
        <v>326</v>
      </c>
      <c r="B44" s="10">
        <v>70</v>
      </c>
      <c r="C44" s="31">
        <f>1-0.21-0.025</f>
        <v>0.76500000000000001</v>
      </c>
      <c r="D44" s="12">
        <f t="shared" si="78"/>
        <v>453.59477124183007</v>
      </c>
      <c r="E44" s="12">
        <f t="shared" si="76"/>
        <v>822.22222222222217</v>
      </c>
      <c r="F44" s="12">
        <f t="shared" si="76"/>
        <v>141.1764705882353</v>
      </c>
      <c r="G44" s="12">
        <f t="shared" si="76"/>
        <v>103.26797385620915</v>
      </c>
      <c r="H44" s="5">
        <v>347</v>
      </c>
      <c r="I44" s="5">
        <v>629</v>
      </c>
      <c r="J44" s="5">
        <v>108</v>
      </c>
      <c r="K44" s="5">
        <v>79</v>
      </c>
      <c r="L44" s="26">
        <f t="shared" si="77"/>
        <v>0.29888675748526816</v>
      </c>
      <c r="M44" s="26">
        <f t="shared" si="77"/>
        <v>0.18824912203815466</v>
      </c>
      <c r="N44" s="26">
        <f t="shared" si="77"/>
        <v>0.35152051609917667</v>
      </c>
      <c r="O44" s="26">
        <f t="shared" si="77"/>
        <v>1.6157533142553213</v>
      </c>
      <c r="P44" s="26">
        <f t="shared" si="79"/>
        <v>2.454409709877921</v>
      </c>
      <c r="Q44" s="26">
        <f t="shared" si="80"/>
        <v>0.83865639562259953</v>
      </c>
      <c r="R44" s="26">
        <f>(LN(M49/M38))/$B$1</f>
        <v>0.67673458727311153</v>
      </c>
      <c r="V44" s="26">
        <f>(LN(M52/M39))/$B$1</f>
        <v>0.58602106382784558</v>
      </c>
      <c r="Z44" s="26">
        <f>(LN(M55/M40))/$B$1</f>
        <v>0.38380823577459788</v>
      </c>
    </row>
    <row r="45" spans="1:28" x14ac:dyDescent="0.2">
      <c r="A45" s="5" t="s">
        <v>327</v>
      </c>
      <c r="B45" s="10">
        <v>100</v>
      </c>
      <c r="C45" s="31">
        <f>1-0.25-0.025</f>
        <v>0.72499999999999998</v>
      </c>
      <c r="D45" s="12">
        <f>H45/$C45</f>
        <v>244.13793103448276</v>
      </c>
      <c r="E45" s="12">
        <f t="shared" si="76"/>
        <v>303.44827586206895</v>
      </c>
      <c r="F45" s="12">
        <f t="shared" si="76"/>
        <v>56.551724137931039</v>
      </c>
      <c r="G45" s="12">
        <f t="shared" si="76"/>
        <v>84.137931034482762</v>
      </c>
      <c r="H45" s="5">
        <v>177</v>
      </c>
      <c r="I45" s="5">
        <v>220</v>
      </c>
      <c r="J45" s="5">
        <v>41</v>
      </c>
      <c r="K45" s="5">
        <v>61</v>
      </c>
      <c r="L45" s="26">
        <f t="shared" si="77"/>
        <v>2.3732797124243192</v>
      </c>
      <c r="M45" s="26">
        <f t="shared" si="77"/>
        <v>8.7010726716170869E-2</v>
      </c>
      <c r="N45" s="26">
        <f t="shared" si="77"/>
        <v>0.13319384043005697</v>
      </c>
      <c r="O45" s="26">
        <f t="shared" si="77"/>
        <v>0.70042395844983807</v>
      </c>
      <c r="P45" s="26">
        <f>SUM(L45:O45)</f>
        <v>3.2939082380203852</v>
      </c>
      <c r="Q45" s="26">
        <f>SUM(L45:N45)</f>
        <v>2.5934842795705473</v>
      </c>
      <c r="R45" s="26">
        <f>LN(M50/M38)/$B$1</f>
        <v>0.4979205164104667</v>
      </c>
      <c r="V45" s="26">
        <f>LN(M53/M39)/$B$1</f>
        <v>0.42987847157565195</v>
      </c>
      <c r="Z45" s="26">
        <f>LN(M56/M40)/$B$1</f>
        <v>0.34188792387705608</v>
      </c>
    </row>
    <row r="46" spans="1:28" x14ac:dyDescent="0.2">
      <c r="A46" s="30"/>
      <c r="B46" s="10"/>
      <c r="Q46" s="10"/>
    </row>
    <row r="47" spans="1:28" x14ac:dyDescent="0.2">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328</v>
      </c>
      <c r="B48" s="10">
        <v>5</v>
      </c>
      <c r="C48" s="31">
        <f>1-0.23-0.025</f>
        <v>0.745</v>
      </c>
      <c r="D48" s="12">
        <f t="shared" ref="D48:G65" si="81">H48/$C48</f>
        <v>7001.3422818791951</v>
      </c>
      <c r="E48" s="12">
        <f t="shared" si="81"/>
        <v>8519.4630872483231</v>
      </c>
      <c r="F48" s="12">
        <f t="shared" si="81"/>
        <v>507.3825503355705</v>
      </c>
      <c r="G48" s="12">
        <f>K48/$C48</f>
        <v>273.82550335570471</v>
      </c>
      <c r="H48" s="5">
        <v>5216</v>
      </c>
      <c r="I48" s="5">
        <v>6347</v>
      </c>
      <c r="J48" s="5">
        <v>378</v>
      </c>
      <c r="K48" s="5">
        <v>204</v>
      </c>
      <c r="L48" s="26">
        <f>W14*D48*1000/1000000</f>
        <v>1.1155906570748528</v>
      </c>
      <c r="M48" s="26">
        <f>X14*E48*1000/1000000</f>
        <v>1.8294950486193586</v>
      </c>
      <c r="N48" s="26">
        <f>Y14*F48*1000/1000000</f>
        <v>4.6652837468082842</v>
      </c>
      <c r="O48" s="26">
        <f>Z14*G48*1000/1000000</f>
        <v>43.327849759100573</v>
      </c>
      <c r="P48" s="26">
        <f>SUM(L48:O48)</f>
        <v>50.938219211603069</v>
      </c>
      <c r="Q48" s="26">
        <f>SUM(L48:N48)</f>
        <v>7.6103694525024954</v>
      </c>
      <c r="R48" s="26">
        <f>(LN(N48/(N38*0.25)))/$B$1</f>
        <v>1.0665405554466847</v>
      </c>
      <c r="S48" s="26">
        <f>(R48-R49)/(1-0.25)</f>
        <v>-0.14641703676364889</v>
      </c>
      <c r="T48" s="26">
        <f>S48+R50</f>
        <v>0.97079131309630984</v>
      </c>
      <c r="V48" s="26">
        <f>(LN(N51/(N39*0.25)))/$B$1</f>
        <v>0.83583923154515405</v>
      </c>
      <c r="W48" s="26">
        <f>(V48-V49)/(1-0.25)</f>
        <v>0.52905244032920951</v>
      </c>
      <c r="X48" s="26">
        <f>W48+V50</f>
        <v>0.65583444912493993</v>
      </c>
      <c r="Z48" s="26">
        <f>(LN(N54/(N40*0.25)))/$B$1</f>
        <v>0.31511407537078029</v>
      </c>
      <c r="AA48" s="26">
        <f>(Z48-Z49)/(1-0.25)</f>
        <v>0.2525849571312927</v>
      </c>
      <c r="AB48" s="26">
        <f>AA48+Z50</f>
        <v>0.352266738563075</v>
      </c>
    </row>
    <row r="49" spans="1:28" x14ac:dyDescent="0.2">
      <c r="A49" s="5" t="s">
        <v>329</v>
      </c>
      <c r="B49" s="10">
        <v>5</v>
      </c>
      <c r="C49" s="31">
        <f>1-0.21-0.025</f>
        <v>0.76500000000000001</v>
      </c>
      <c r="D49" s="12">
        <f t="shared" si="81"/>
        <v>21367.320261437908</v>
      </c>
      <c r="E49" s="12">
        <f t="shared" si="81"/>
        <v>25363.398692810457</v>
      </c>
      <c r="F49" s="12">
        <f t="shared" si="81"/>
        <v>1878.4313725490197</v>
      </c>
      <c r="G49" s="12">
        <f t="shared" si="81"/>
        <v>833.9869281045751</v>
      </c>
      <c r="H49" s="5">
        <v>16346</v>
      </c>
      <c r="I49" s="5">
        <v>19403</v>
      </c>
      <c r="J49" s="5">
        <v>1437</v>
      </c>
      <c r="K49" s="5">
        <v>638</v>
      </c>
      <c r="L49" s="26">
        <f t="shared" ref="L49:O64" si="82">W15*D49*1000/1000000</f>
        <v>2.9787707928634202</v>
      </c>
      <c r="M49" s="26">
        <f t="shared" si="82"/>
        <v>5.5120208007842466</v>
      </c>
      <c r="N49" s="26">
        <f t="shared" si="82"/>
        <v>20.918800641806452</v>
      </c>
      <c r="O49" s="26">
        <f t="shared" si="82"/>
        <v>120.51044508227223</v>
      </c>
      <c r="P49" s="26">
        <f t="shared" ref="P49:P65" si="83">SUM(L49:O49)</f>
        <v>149.92003731772635</v>
      </c>
      <c r="Q49" s="26">
        <f t="shared" ref="Q49:Q65" si="84">SUM(L49:N49)</f>
        <v>29.40959223545412</v>
      </c>
      <c r="R49" s="26">
        <f>(LN(N49/N38))/$B$1</f>
        <v>1.1763533330194214</v>
      </c>
      <c r="V49" s="26">
        <f>(LN(N52/N39))/$B$1</f>
        <v>0.43904990129824689</v>
      </c>
      <c r="Z49" s="26">
        <f>(LN(N55/N40))/$B$1</f>
        <v>0.12567535752231077</v>
      </c>
    </row>
    <row r="50" spans="1:28" x14ac:dyDescent="0.2">
      <c r="A50" s="5" t="s">
        <v>330</v>
      </c>
      <c r="B50" s="10">
        <v>5</v>
      </c>
      <c r="C50" s="31">
        <f>1-0.23-0.025</f>
        <v>0.745</v>
      </c>
      <c r="D50" s="12">
        <f t="shared" si="81"/>
        <v>22558.389261744967</v>
      </c>
      <c r="E50" s="12">
        <f t="shared" si="81"/>
        <v>21669.798657718122</v>
      </c>
      <c r="F50" s="12">
        <f t="shared" si="81"/>
        <v>1731.5436241610739</v>
      </c>
      <c r="G50" s="12">
        <f t="shared" si="81"/>
        <v>621.47651006711408</v>
      </c>
      <c r="H50" s="5">
        <v>16806</v>
      </c>
      <c r="I50" s="5">
        <v>16144</v>
      </c>
      <c r="J50" s="5">
        <v>1290</v>
      </c>
      <c r="K50" s="5">
        <v>463</v>
      </c>
      <c r="L50" s="26">
        <f t="shared" si="82"/>
        <v>3.0260757551270774</v>
      </c>
      <c r="M50" s="26">
        <f t="shared" si="82"/>
        <v>4.5766380288252488</v>
      </c>
      <c r="N50" s="26">
        <f t="shared" si="82"/>
        <v>19.670843703121349</v>
      </c>
      <c r="O50" s="26">
        <f t="shared" si="82"/>
        <v>78.267513207983725</v>
      </c>
      <c r="P50" s="26">
        <f t="shared" si="83"/>
        <v>105.5410706950574</v>
      </c>
      <c r="Q50" s="26">
        <f t="shared" si="84"/>
        <v>27.273557487073674</v>
      </c>
      <c r="R50" s="26">
        <f>LN(N50/N38)/$B$1</f>
        <v>1.1172083498599588</v>
      </c>
      <c r="V50" s="26">
        <f>LN(N53/N39)/$B$1</f>
        <v>0.12678200879573043</v>
      </c>
      <c r="Z50" s="26">
        <f>LN(N56/N40)/$B$1</f>
        <v>9.9681781431782274E-2</v>
      </c>
    </row>
    <row r="51" spans="1:28" x14ac:dyDescent="0.2">
      <c r="A51" s="5" t="s">
        <v>331</v>
      </c>
      <c r="B51" s="10">
        <v>12</v>
      </c>
      <c r="C51" s="31">
        <f>1-0.23-0.025</f>
        <v>0.745</v>
      </c>
      <c r="D51" s="12">
        <f>H51/$C51</f>
        <v>10075.1677852349</v>
      </c>
      <c r="E51" s="12">
        <f t="shared" si="81"/>
        <v>10175.838926174496</v>
      </c>
      <c r="F51" s="12">
        <f t="shared" si="81"/>
        <v>630.8724832214765</v>
      </c>
      <c r="G51" s="12">
        <f t="shared" si="81"/>
        <v>248.3221476510067</v>
      </c>
      <c r="H51" s="5">
        <v>7506</v>
      </c>
      <c r="I51" s="5">
        <v>7581</v>
      </c>
      <c r="J51" s="5">
        <v>470</v>
      </c>
      <c r="K51" s="5">
        <v>185</v>
      </c>
      <c r="L51" s="26">
        <f t="shared" si="82"/>
        <v>1.6874822150024598</v>
      </c>
      <c r="M51" s="26">
        <f t="shared" si="82"/>
        <v>2.1159819049320636</v>
      </c>
      <c r="N51" s="26">
        <f t="shared" si="82"/>
        <v>5.9270770597559217</v>
      </c>
      <c r="O51" s="26">
        <f t="shared" si="82"/>
        <v>25.243983167846107</v>
      </c>
      <c r="P51" s="26">
        <f t="shared" si="83"/>
        <v>34.974524347536551</v>
      </c>
      <c r="Q51" s="26">
        <f t="shared" si="84"/>
        <v>9.7305411796904444</v>
      </c>
    </row>
    <row r="52" spans="1:28" x14ac:dyDescent="0.2">
      <c r="A52" s="5" t="s">
        <v>332</v>
      </c>
      <c r="B52" s="10">
        <v>12</v>
      </c>
      <c r="C52" s="31">
        <f>1-0.23-0.025</f>
        <v>0.745</v>
      </c>
      <c r="D52" s="12">
        <f t="shared" si="81"/>
        <v>30550.335570469801</v>
      </c>
      <c r="E52" s="12">
        <f t="shared" si="81"/>
        <v>29758.389261744967</v>
      </c>
      <c r="F52" s="12">
        <f t="shared" si="81"/>
        <v>1457.7181208053692</v>
      </c>
      <c r="G52" s="12">
        <f t="shared" si="81"/>
        <v>583.89261744966439</v>
      </c>
      <c r="H52" s="5">
        <v>22760</v>
      </c>
      <c r="I52" s="5">
        <v>22170</v>
      </c>
      <c r="J52" s="5">
        <v>1086</v>
      </c>
      <c r="K52" s="5">
        <v>435</v>
      </c>
      <c r="L52" s="26">
        <f t="shared" si="82"/>
        <v>4.4103388228500764</v>
      </c>
      <c r="M52" s="26">
        <f t="shared" si="82"/>
        <v>6.2297859469289181</v>
      </c>
      <c r="N52" s="26">
        <f t="shared" si="82"/>
        <v>15.692213624720134</v>
      </c>
      <c r="O52" s="26">
        <f t="shared" si="82"/>
        <v>57.184305058589835</v>
      </c>
      <c r="P52" s="26">
        <f t="shared" si="83"/>
        <v>83.51664345308896</v>
      </c>
      <c r="Q52" s="26">
        <f t="shared" si="84"/>
        <v>26.332338394499128</v>
      </c>
      <c r="R52" s="6" t="s">
        <v>545</v>
      </c>
      <c r="S52" s="6" t="s">
        <v>546</v>
      </c>
      <c r="T52" s="6" t="s">
        <v>547</v>
      </c>
      <c r="V52" s="6" t="s">
        <v>545</v>
      </c>
      <c r="W52" s="6" t="s">
        <v>546</v>
      </c>
      <c r="X52" s="6" t="s">
        <v>547</v>
      </c>
      <c r="Z52" s="6" t="s">
        <v>545</v>
      </c>
      <c r="AA52" s="6" t="s">
        <v>546</v>
      </c>
      <c r="AB52" s="6" t="s">
        <v>547</v>
      </c>
    </row>
    <row r="53" spans="1:28" x14ac:dyDescent="0.2">
      <c r="A53" s="5" t="s">
        <v>333</v>
      </c>
      <c r="B53" s="10">
        <v>12</v>
      </c>
      <c r="C53" s="31">
        <f>1-0.22-0.025</f>
        <v>0.755</v>
      </c>
      <c r="D53" s="12">
        <f t="shared" si="81"/>
        <v>35668.874172185431</v>
      </c>
      <c r="E53" s="12">
        <f t="shared" si="81"/>
        <v>25929.801324503311</v>
      </c>
      <c r="F53" s="12">
        <f t="shared" si="81"/>
        <v>1549.6688741721855</v>
      </c>
      <c r="G53" s="12">
        <f t="shared" si="81"/>
        <v>692.71523178807945</v>
      </c>
      <c r="H53" s="5">
        <v>26930</v>
      </c>
      <c r="I53" s="5">
        <v>19577</v>
      </c>
      <c r="J53" s="5">
        <v>1170</v>
      </c>
      <c r="K53" s="5">
        <v>523</v>
      </c>
      <c r="L53" s="26">
        <f t="shared" si="82"/>
        <v>5.239810793833855</v>
      </c>
      <c r="M53" s="26">
        <f t="shared" si="82"/>
        <v>5.296009846299162</v>
      </c>
      <c r="N53" s="26">
        <f t="shared" si="82"/>
        <v>11.340790826549117</v>
      </c>
      <c r="O53" s="26">
        <f t="shared" si="82"/>
        <v>75.595609189394295</v>
      </c>
      <c r="P53" s="26">
        <f t="shared" si="83"/>
        <v>97.472220656076431</v>
      </c>
      <c r="Q53" s="26">
        <f t="shared" si="84"/>
        <v>21.876611466682135</v>
      </c>
      <c r="R53" s="26">
        <f>(LN(O48/(O38*0.25)))/$B$1</f>
        <v>0.32625498800647129</v>
      </c>
      <c r="S53" s="26">
        <f>(R53-R54)/(1-0.25)</f>
        <v>0.46583787246723274</v>
      </c>
      <c r="T53" s="26">
        <f>S53+R55</f>
        <v>2.7710787842681051E-2</v>
      </c>
      <c r="V53" s="26">
        <f>(LN(O51/(O39*0.25)))/$B$1</f>
        <v>0.14826638453424848</v>
      </c>
      <c r="W53" s="26">
        <f>(V53-V54)/(1-0.25)</f>
        <v>0.7289778518155452</v>
      </c>
      <c r="X53" s="26">
        <f>W53+V55</f>
        <v>0.59889424012881121</v>
      </c>
      <c r="Z53" s="26">
        <f>(LN(O54/(O40*0.25)))/$B$1</f>
        <v>-0.1348290693576559</v>
      </c>
      <c r="AA53" s="26">
        <f>(Z53-Z54)/(1-0.25)</f>
        <v>0.28248075104107573</v>
      </c>
      <c r="AB53" s="26">
        <f>AA53+Z55</f>
        <v>-0.15890153322408712</v>
      </c>
    </row>
    <row r="54" spans="1:28" x14ac:dyDescent="0.2">
      <c r="A54" s="5" t="s">
        <v>334</v>
      </c>
      <c r="B54" s="10">
        <v>20</v>
      </c>
      <c r="C54" s="31">
        <f>1-0.225-0.025</f>
        <v>0.75</v>
      </c>
      <c r="D54" s="12">
        <f t="shared" si="81"/>
        <v>12088</v>
      </c>
      <c r="E54" s="12">
        <f t="shared" si="81"/>
        <v>10144</v>
      </c>
      <c r="F54" s="12">
        <f t="shared" si="81"/>
        <v>725.33333333333337</v>
      </c>
      <c r="G54" s="12">
        <f t="shared" si="81"/>
        <v>181.33333333333334</v>
      </c>
      <c r="H54" s="5">
        <v>9066</v>
      </c>
      <c r="I54" s="5">
        <v>7608</v>
      </c>
      <c r="J54" s="5">
        <v>544</v>
      </c>
      <c r="K54" s="5">
        <v>136</v>
      </c>
      <c r="L54" s="26">
        <f t="shared" si="82"/>
        <v>1.9755858979676304</v>
      </c>
      <c r="M54" s="26">
        <f t="shared" si="82"/>
        <v>1.9954286765164626</v>
      </c>
      <c r="N54" s="26">
        <f t="shared" si="82"/>
        <v>4.3654721540287014</v>
      </c>
      <c r="O54" s="26">
        <f t="shared" si="82"/>
        <v>13.797250384449001</v>
      </c>
      <c r="P54" s="26">
        <f t="shared" si="83"/>
        <v>22.133737112961796</v>
      </c>
      <c r="Q54" s="26">
        <f t="shared" si="84"/>
        <v>8.3364867285127939</v>
      </c>
      <c r="R54" s="26">
        <f>(LN(O49/O38))/$B$1</f>
        <v>-2.3123416343953256E-2</v>
      </c>
      <c r="V54" s="26">
        <f>(LN(O52/O39))/$B$1</f>
        <v>-0.39846700432741045</v>
      </c>
      <c r="Z54" s="26">
        <f>(LN(O55/O40))/$B$1</f>
        <v>-0.3466896326384627</v>
      </c>
    </row>
    <row r="55" spans="1:28" x14ac:dyDescent="0.2">
      <c r="A55" s="5" t="s">
        <v>335</v>
      </c>
      <c r="B55" s="10">
        <v>20</v>
      </c>
      <c r="C55" s="31">
        <f>1-0.225-0.025</f>
        <v>0.75</v>
      </c>
      <c r="D55" s="12">
        <f t="shared" si="81"/>
        <v>37784</v>
      </c>
      <c r="E55" s="12">
        <f t="shared" si="81"/>
        <v>31018.666666666668</v>
      </c>
      <c r="F55" s="12">
        <f t="shared" si="81"/>
        <v>2169.3333333333335</v>
      </c>
      <c r="G55" s="12">
        <f t="shared" si="81"/>
        <v>608</v>
      </c>
      <c r="H55" s="5">
        <v>28338</v>
      </c>
      <c r="I55" s="5">
        <v>23264</v>
      </c>
      <c r="J55" s="5">
        <v>1627</v>
      </c>
      <c r="K55" s="5">
        <v>456</v>
      </c>
      <c r="L55" s="26">
        <f t="shared" si="82"/>
        <v>5.3016327016066214</v>
      </c>
      <c r="M55" s="26">
        <f t="shared" si="82"/>
        <v>6.1395144100844776</v>
      </c>
      <c r="N55" s="26">
        <f t="shared" si="82"/>
        <v>14.339306118387436</v>
      </c>
      <c r="O55" s="26">
        <f t="shared" si="82"/>
        <v>44.275377067252144</v>
      </c>
      <c r="P55" s="26">
        <f t="shared" si="83"/>
        <v>70.055830297330687</v>
      </c>
      <c r="Q55" s="26">
        <f t="shared" si="84"/>
        <v>25.780453230078535</v>
      </c>
      <c r="R55" s="26">
        <f>LN(O50/O38)/$B$1</f>
        <v>-0.43812708462455169</v>
      </c>
      <c r="V55" s="26">
        <f>LN(O53/O39)/$B$1</f>
        <v>-0.13008361168673399</v>
      </c>
      <c r="Z55" s="26">
        <f>LN(O56/O40)/$B$1</f>
        <v>-0.44138228426516285</v>
      </c>
    </row>
    <row r="56" spans="1:28" x14ac:dyDescent="0.2">
      <c r="A56" s="5" t="s">
        <v>336</v>
      </c>
      <c r="B56" s="10">
        <v>20</v>
      </c>
      <c r="C56" s="31">
        <f>1-0.22-0.025</f>
        <v>0.755</v>
      </c>
      <c r="D56" s="12">
        <f t="shared" si="81"/>
        <v>41418.543046357612</v>
      </c>
      <c r="E56" s="12">
        <f t="shared" si="81"/>
        <v>29431.7880794702</v>
      </c>
      <c r="F56" s="12">
        <f t="shared" si="81"/>
        <v>2378.8079470198677</v>
      </c>
      <c r="G56" s="12">
        <f t="shared" si="81"/>
        <v>565.56291390728472</v>
      </c>
      <c r="H56" s="5">
        <v>31271</v>
      </c>
      <c r="I56" s="5">
        <v>22221</v>
      </c>
      <c r="J56" s="5">
        <v>1796</v>
      </c>
      <c r="K56" s="5">
        <v>427</v>
      </c>
      <c r="L56" s="26">
        <f t="shared" si="82"/>
        <v>5.7261081629900819</v>
      </c>
      <c r="M56" s="26">
        <f t="shared" si="82"/>
        <v>5.877600076577667</v>
      </c>
      <c r="N56" s="26">
        <f t="shared" si="82"/>
        <v>13.956859767760909</v>
      </c>
      <c r="O56" s="26">
        <f t="shared" si="82"/>
        <v>40.122944086711406</v>
      </c>
      <c r="P56" s="26">
        <f t="shared" si="83"/>
        <v>65.683512094040054</v>
      </c>
      <c r="Q56" s="26">
        <f t="shared" si="84"/>
        <v>25.560568007328655</v>
      </c>
    </row>
    <row r="57" spans="1:28" x14ac:dyDescent="0.2">
      <c r="A57" s="5" t="s">
        <v>337</v>
      </c>
      <c r="B57" s="10">
        <v>30</v>
      </c>
      <c r="C57" s="31">
        <f>1-0.2-0.025</f>
        <v>0.77500000000000002</v>
      </c>
      <c r="D57" s="12">
        <f t="shared" si="81"/>
        <v>8504.5161290322576</v>
      </c>
      <c r="E57" s="12">
        <f t="shared" si="81"/>
        <v>7611.6129032258059</v>
      </c>
      <c r="F57" s="12">
        <f t="shared" si="81"/>
        <v>329.0322580645161</v>
      </c>
      <c r="G57" s="12">
        <f t="shared" si="81"/>
        <v>92.903225806451616</v>
      </c>
      <c r="H57" s="5">
        <v>6591</v>
      </c>
      <c r="I57" s="5">
        <v>5899</v>
      </c>
      <c r="J57" s="5">
        <v>255</v>
      </c>
      <c r="K57" s="5">
        <v>72</v>
      </c>
      <c r="L57" s="26">
        <f t="shared" si="82"/>
        <v>1.246911526093567</v>
      </c>
      <c r="M57" s="26">
        <f t="shared" si="82"/>
        <v>1.4974799456688359</v>
      </c>
      <c r="N57" s="26">
        <f t="shared" si="82"/>
        <v>1.9455874682290377</v>
      </c>
      <c r="O57" s="26">
        <f t="shared" si="82"/>
        <v>5.8660875078929733</v>
      </c>
      <c r="P57" s="26">
        <f t="shared" si="83"/>
        <v>10.556066447884414</v>
      </c>
      <c r="Q57" s="26">
        <f t="shared" si="84"/>
        <v>4.6899789399914402</v>
      </c>
      <c r="R57" s="4"/>
      <c r="S57" s="4"/>
      <c r="T57" s="4"/>
      <c r="V57" s="4"/>
      <c r="W57" s="4"/>
      <c r="X57" s="4"/>
      <c r="Z57" s="4"/>
      <c r="AA57" s="4"/>
      <c r="AB57" s="4"/>
    </row>
    <row r="58" spans="1:28" x14ac:dyDescent="0.2">
      <c r="A58" s="5" t="s">
        <v>338</v>
      </c>
      <c r="B58" s="10">
        <v>30</v>
      </c>
      <c r="C58" s="31">
        <f>1-0.22-0.025</f>
        <v>0.755</v>
      </c>
      <c r="D58" s="12">
        <f t="shared" si="81"/>
        <v>24452.980132450331</v>
      </c>
      <c r="E58" s="12">
        <f t="shared" si="81"/>
        <v>20045.03311258278</v>
      </c>
      <c r="F58" s="12">
        <f t="shared" si="81"/>
        <v>1056.9536423841059</v>
      </c>
      <c r="G58" s="12">
        <f t="shared" si="81"/>
        <v>325.82781456953643</v>
      </c>
      <c r="H58" s="5">
        <v>18462</v>
      </c>
      <c r="I58" s="5">
        <v>15134</v>
      </c>
      <c r="J58" s="5">
        <v>798</v>
      </c>
      <c r="K58" s="5">
        <v>246</v>
      </c>
      <c r="L58" s="26">
        <f t="shared" si="82"/>
        <v>3.2641353668236444</v>
      </c>
      <c r="M58" s="26">
        <f t="shared" si="82"/>
        <v>3.9349773432896225</v>
      </c>
      <c r="N58" s="26">
        <f t="shared" si="82"/>
        <v>6.4721766247211283</v>
      </c>
      <c r="O58" s="26">
        <f t="shared" si="82"/>
        <v>28.204572236928453</v>
      </c>
      <c r="P58" s="26">
        <f t="shared" si="83"/>
        <v>41.875861571762847</v>
      </c>
      <c r="Q58" s="26">
        <f t="shared" si="84"/>
        <v>13.671289334834395</v>
      </c>
      <c r="R58" s="6" t="s">
        <v>548</v>
      </c>
      <c r="S58" s="6" t="s">
        <v>549</v>
      </c>
      <c r="T58" s="6" t="s">
        <v>550</v>
      </c>
      <c r="V58" s="6" t="s">
        <v>548</v>
      </c>
      <c r="W58" s="6" t="s">
        <v>549</v>
      </c>
      <c r="X58" s="6" t="s">
        <v>550</v>
      </c>
      <c r="Z58" s="6" t="s">
        <v>548</v>
      </c>
      <c r="AA58" s="6" t="s">
        <v>549</v>
      </c>
      <c r="AB58" s="6" t="s">
        <v>550</v>
      </c>
    </row>
    <row r="59" spans="1:28" x14ac:dyDescent="0.2">
      <c r="A59" s="5" t="s">
        <v>339</v>
      </c>
      <c r="B59" s="10">
        <v>30</v>
      </c>
      <c r="C59" s="31">
        <f>1-0.2-0.025</f>
        <v>0.77500000000000002</v>
      </c>
      <c r="D59" s="12">
        <f t="shared" si="81"/>
        <v>25201.290322580644</v>
      </c>
      <c r="E59" s="12">
        <f t="shared" si="81"/>
        <v>20263.225806451614</v>
      </c>
      <c r="F59" s="12">
        <f t="shared" si="81"/>
        <v>1096.7741935483871</v>
      </c>
      <c r="G59" s="12">
        <f t="shared" si="81"/>
        <v>353.54838709677421</v>
      </c>
      <c r="H59" s="5">
        <v>19531</v>
      </c>
      <c r="I59" s="5">
        <v>15704</v>
      </c>
      <c r="J59" s="5">
        <v>850</v>
      </c>
      <c r="K59" s="5">
        <v>274</v>
      </c>
      <c r="L59" s="26">
        <f t="shared" si="82"/>
        <v>3.427339460603811</v>
      </c>
      <c r="M59" s="26">
        <f t="shared" si="82"/>
        <v>4.0225357905730537</v>
      </c>
      <c r="N59" s="26">
        <f t="shared" si="82"/>
        <v>5.7792511179447379</v>
      </c>
      <c r="O59" s="26">
        <f t="shared" si="82"/>
        <v>23.755957839421335</v>
      </c>
      <c r="P59" s="26">
        <f t="shared" si="83"/>
        <v>36.985084208542936</v>
      </c>
      <c r="Q59" s="26">
        <f t="shared" si="84"/>
        <v>13.229126369121602</v>
      </c>
      <c r="R59" s="26">
        <f>(LN(Q48/(Q38*0.25)))/$B$1</f>
        <v>0.93128903265371854</v>
      </c>
      <c r="S59" s="26">
        <f>(R59-R60)/(1-0.25)</f>
        <v>4.4211785209958165E-2</v>
      </c>
      <c r="T59" s="26">
        <f>S59+R61</f>
        <v>0.86983885870993072</v>
      </c>
      <c r="V59" s="26">
        <f>(LN(Q51/(Q39*0.25)))/$B$1</f>
        <v>0.83109859552865828</v>
      </c>
      <c r="W59" s="26">
        <f>(V59-V60)/(1-0.25)</f>
        <v>0.50098217291576397</v>
      </c>
      <c r="X59" s="26">
        <f>W59+V61</f>
        <v>0.77809444258544525</v>
      </c>
      <c r="Z59" s="26">
        <f>(LN(Q54/(Q40*0.25)))/$B$1</f>
        <v>0.46555812588306494</v>
      </c>
      <c r="AA59" s="26">
        <f>(Z59-Z60)/(1-0.25)</f>
        <v>0.32989699374517445</v>
      </c>
      <c r="AB59" s="26">
        <f>AA59+Z61</f>
        <v>0.53979609905889181</v>
      </c>
    </row>
    <row r="60" spans="1:28" x14ac:dyDescent="0.2">
      <c r="A60" s="5" t="s">
        <v>340</v>
      </c>
      <c r="B60" s="10">
        <v>40</v>
      </c>
      <c r="C60" s="31">
        <f>1-0.23-0.025</f>
        <v>0.745</v>
      </c>
      <c r="D60" s="12">
        <f t="shared" si="81"/>
        <v>5060.4026845637582</v>
      </c>
      <c r="E60" s="12">
        <f t="shared" si="81"/>
        <v>4476.5100671140935</v>
      </c>
      <c r="F60" s="12">
        <f t="shared" si="81"/>
        <v>334.2281879194631</v>
      </c>
      <c r="G60" s="12">
        <f t="shared" si="81"/>
        <v>99.328859060402692</v>
      </c>
      <c r="H60" s="5">
        <v>3770</v>
      </c>
      <c r="I60" s="5">
        <v>3335</v>
      </c>
      <c r="J60" s="5">
        <v>249</v>
      </c>
      <c r="K60" s="5">
        <v>74</v>
      </c>
      <c r="L60" s="26">
        <f t="shared" si="82"/>
        <v>0.83726965158462807</v>
      </c>
      <c r="M60" s="26">
        <f t="shared" si="82"/>
        <v>0.99418725975235456</v>
      </c>
      <c r="N60" s="26">
        <f t="shared" si="82"/>
        <v>2.53029837941755</v>
      </c>
      <c r="O60" s="26">
        <f t="shared" si="82"/>
        <v>9.9694975785023914</v>
      </c>
      <c r="P60" s="26">
        <f t="shared" si="83"/>
        <v>14.331252869256923</v>
      </c>
      <c r="Q60" s="26">
        <f t="shared" si="84"/>
        <v>4.3617552907545321</v>
      </c>
      <c r="R60" s="26">
        <f>(LN(Q49/Q38))/$B$1</f>
        <v>0.89813019374624992</v>
      </c>
      <c r="S60" s="10"/>
      <c r="T60" s="10"/>
      <c r="V60" s="26">
        <f>(LN(Q52/Q39))/$B$1</f>
        <v>0.4553619658418353</v>
      </c>
      <c r="W60" s="10"/>
      <c r="X60" s="10"/>
      <c r="Z60" s="26">
        <f>(LN(Q55/Q40))/$B$1</f>
        <v>0.21813538057418411</v>
      </c>
      <c r="AA60" s="10"/>
      <c r="AB60" s="10"/>
    </row>
    <row r="61" spans="1:28" x14ac:dyDescent="0.2">
      <c r="A61" s="5" t="s">
        <v>341</v>
      </c>
      <c r="B61" s="10">
        <v>40</v>
      </c>
      <c r="C61" s="31">
        <f>1-0.225-0.025</f>
        <v>0.75</v>
      </c>
      <c r="D61" s="12">
        <f t="shared" si="81"/>
        <v>17406.666666666668</v>
      </c>
      <c r="E61" s="12">
        <f t="shared" si="81"/>
        <v>15317.333333333334</v>
      </c>
      <c r="F61" s="12">
        <f t="shared" si="81"/>
        <v>952</v>
      </c>
      <c r="G61" s="12">
        <f t="shared" si="81"/>
        <v>325.33333333333331</v>
      </c>
      <c r="H61" s="5">
        <v>13055</v>
      </c>
      <c r="I61" s="5">
        <v>11488</v>
      </c>
      <c r="J61" s="5">
        <v>714</v>
      </c>
      <c r="K61" s="5">
        <v>244</v>
      </c>
      <c r="L61" s="26">
        <f t="shared" si="82"/>
        <v>2.7609254315953882</v>
      </c>
      <c r="M61" s="26">
        <f t="shared" si="82"/>
        <v>3.3551870858193698</v>
      </c>
      <c r="N61" s="26">
        <f t="shared" si="82"/>
        <v>7.6544255833630821</v>
      </c>
      <c r="O61" s="26">
        <f t="shared" si="82"/>
        <v>22.301486699222369</v>
      </c>
      <c r="P61" s="26">
        <f t="shared" si="83"/>
        <v>36.072024800000207</v>
      </c>
      <c r="Q61" s="26">
        <f t="shared" si="84"/>
        <v>13.77053810077784</v>
      </c>
      <c r="R61" s="26">
        <f>LN(Q50/Q38)/$B$1</f>
        <v>0.82562707349997255</v>
      </c>
      <c r="S61" s="10"/>
      <c r="T61" s="10"/>
      <c r="V61" s="26">
        <f>LN(Q53/Q39)/$B$1</f>
        <v>0.27711226966968122</v>
      </c>
      <c r="W61" s="10"/>
      <c r="X61" s="10"/>
      <c r="Z61" s="26">
        <f>LN(Q56/Q40)/$B$1</f>
        <v>0.20989910531371739</v>
      </c>
      <c r="AA61" s="10"/>
      <c r="AB61" s="10"/>
    </row>
    <row r="62" spans="1:28" x14ac:dyDescent="0.2">
      <c r="A62" s="5" t="s">
        <v>342</v>
      </c>
      <c r="B62" s="10">
        <v>40</v>
      </c>
      <c r="C62" s="31">
        <f>1-0.23-0.025</f>
        <v>0.745</v>
      </c>
      <c r="D62" s="12">
        <f t="shared" si="81"/>
        <v>17421.476510067114</v>
      </c>
      <c r="E62" s="12">
        <f t="shared" si="81"/>
        <v>14730.20134228188</v>
      </c>
      <c r="F62" s="12">
        <f t="shared" si="81"/>
        <v>852.34899328859058</v>
      </c>
      <c r="G62" s="12">
        <f t="shared" si="81"/>
        <v>261.744966442953</v>
      </c>
      <c r="H62" s="5">
        <v>12979</v>
      </c>
      <c r="I62" s="5">
        <v>10974</v>
      </c>
      <c r="J62" s="5">
        <v>635</v>
      </c>
      <c r="K62" s="5">
        <v>195</v>
      </c>
      <c r="L62" s="26">
        <f t="shared" si="82"/>
        <v>2.4958755458571313</v>
      </c>
      <c r="M62" s="26">
        <f t="shared" si="82"/>
        <v>3.1483316849626508</v>
      </c>
      <c r="N62" s="26">
        <f t="shared" si="82"/>
        <v>6.5397759635583794</v>
      </c>
      <c r="O62" s="26">
        <f t="shared" si="82"/>
        <v>18.715657397964506</v>
      </c>
      <c r="P62" s="26">
        <f t="shared" si="83"/>
        <v>30.899640592342667</v>
      </c>
      <c r="Q62" s="26">
        <f t="shared" si="84"/>
        <v>12.183983194378161</v>
      </c>
    </row>
    <row r="63" spans="1:28" x14ac:dyDescent="0.2">
      <c r="A63" s="5" t="s">
        <v>343</v>
      </c>
      <c r="B63" s="10">
        <v>50</v>
      </c>
      <c r="C63" s="31">
        <f>1-0.205-0.025</f>
        <v>0.77</v>
      </c>
      <c r="D63" s="12">
        <f t="shared" si="81"/>
        <v>1284.4155844155844</v>
      </c>
      <c r="E63" s="12">
        <f t="shared" si="81"/>
        <v>1958.4415584415583</v>
      </c>
      <c r="F63" s="12">
        <f t="shared" si="81"/>
        <v>111.68831168831169</v>
      </c>
      <c r="G63" s="12">
        <f t="shared" si="81"/>
        <v>67.532467532467535</v>
      </c>
      <c r="H63" s="5">
        <v>989</v>
      </c>
      <c r="I63" s="5">
        <v>1508</v>
      </c>
      <c r="J63" s="5">
        <v>86</v>
      </c>
      <c r="K63" s="5">
        <v>52</v>
      </c>
      <c r="L63" s="26">
        <f t="shared" si="82"/>
        <v>0.19553698176867107</v>
      </c>
      <c r="M63" s="26">
        <f t="shared" si="82"/>
        <v>0.4575618074443904</v>
      </c>
      <c r="N63" s="26">
        <f t="shared" si="82"/>
        <v>0.61227912138713758</v>
      </c>
      <c r="O63" s="26">
        <f t="shared" si="82"/>
        <v>2.9732560369888277</v>
      </c>
      <c r="P63" s="26">
        <f t="shared" si="83"/>
        <v>4.2386339475890269</v>
      </c>
      <c r="Q63" s="26">
        <f t="shared" si="84"/>
        <v>1.2653779106001992</v>
      </c>
    </row>
    <row r="64" spans="1:28" x14ac:dyDescent="0.2">
      <c r="A64" s="5" t="s">
        <v>344</v>
      </c>
      <c r="B64" s="10">
        <v>50</v>
      </c>
      <c r="C64" s="31">
        <f>1-0.205-0.025</f>
        <v>0.77</v>
      </c>
      <c r="D64" s="12">
        <f t="shared" si="81"/>
        <v>3209.090909090909</v>
      </c>
      <c r="E64" s="12">
        <f t="shared" si="81"/>
        <v>4910.3896103896104</v>
      </c>
      <c r="F64" s="12">
        <f t="shared" si="81"/>
        <v>293.50649350649348</v>
      </c>
      <c r="G64" s="12">
        <f t="shared" si="81"/>
        <v>193.50649350649351</v>
      </c>
      <c r="H64" s="5">
        <v>2471</v>
      </c>
      <c r="I64" s="5">
        <v>3781</v>
      </c>
      <c r="J64" s="5">
        <v>226</v>
      </c>
      <c r="K64" s="5">
        <v>149</v>
      </c>
      <c r="L64" s="26">
        <f t="shared" si="82"/>
        <v>0.63238328110018049</v>
      </c>
      <c r="M64" s="26">
        <f t="shared" si="82"/>
        <v>1.1860077546313301</v>
      </c>
      <c r="N64" s="26">
        <f t="shared" si="82"/>
        <v>1.1023450938163777</v>
      </c>
      <c r="O64" s="26">
        <f t="shared" si="82"/>
        <v>11.514089295198694</v>
      </c>
      <c r="P64" s="26">
        <f t="shared" si="83"/>
        <v>14.434825424746583</v>
      </c>
      <c r="Q64" s="26">
        <f t="shared" si="84"/>
        <v>2.9207361295478886</v>
      </c>
      <c r="R64" s="6" t="s">
        <v>555</v>
      </c>
      <c r="S64" s="6" t="s">
        <v>555</v>
      </c>
      <c r="T64" s="6" t="s">
        <v>555</v>
      </c>
      <c r="V64" s="6" t="s">
        <v>556</v>
      </c>
      <c r="W64" s="6" t="s">
        <v>556</v>
      </c>
      <c r="X64" s="6" t="s">
        <v>556</v>
      </c>
      <c r="Z64" s="6" t="s">
        <v>558</v>
      </c>
      <c r="AA64" s="6" t="s">
        <v>557</v>
      </c>
      <c r="AB64" s="6" t="s">
        <v>557</v>
      </c>
    </row>
    <row r="65" spans="1:28" x14ac:dyDescent="0.2">
      <c r="A65" s="5" t="s">
        <v>345</v>
      </c>
      <c r="B65" s="10">
        <v>50</v>
      </c>
      <c r="C65" s="31">
        <f>1-0.22-0.025</f>
        <v>0.755</v>
      </c>
      <c r="D65" s="12">
        <f t="shared" si="81"/>
        <v>2980.1324503311257</v>
      </c>
      <c r="E65" s="12">
        <f t="shared" si="81"/>
        <v>4949.6688741721855</v>
      </c>
      <c r="F65" s="12">
        <f t="shared" si="81"/>
        <v>258.27814569536423</v>
      </c>
      <c r="G65" s="12">
        <f>K65/$C65</f>
        <v>131.12582781456953</v>
      </c>
      <c r="H65" s="5">
        <v>2250</v>
      </c>
      <c r="I65" s="5">
        <v>3737</v>
      </c>
      <c r="J65" s="5">
        <v>195</v>
      </c>
      <c r="K65" s="5">
        <v>99</v>
      </c>
      <c r="L65" s="26">
        <f>W31*D65*1000/1000000</f>
        <v>0.57111104432281168</v>
      </c>
      <c r="M65" s="26">
        <f t="shared" ref="M65:N65" si="85">X31*E65*1000/1000000</f>
        <v>1.1809090475914339</v>
      </c>
      <c r="N65" s="26">
        <f t="shared" si="85"/>
        <v>1.0225496464969634</v>
      </c>
      <c r="O65" s="26">
        <f>Z31*G65*1000/1000000</f>
        <v>5.8629621390973927</v>
      </c>
      <c r="P65" s="26">
        <f t="shared" si="83"/>
        <v>8.6375318775086019</v>
      </c>
      <c r="Q65" s="26">
        <f t="shared" si="84"/>
        <v>2.7745697384112091</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0.49722295547902584</v>
      </c>
      <c r="S66" s="26">
        <f>(R66-R67)/(1-0.25)</f>
        <v>0.54355021407223258</v>
      </c>
      <c r="T66" s="26">
        <f>S66+R68</f>
        <v>0.68002337804423596</v>
      </c>
      <c r="V66" s="26">
        <f>(LN(L60/(L42*0.25)))/$B$1</f>
        <v>0.36438335975385155</v>
      </c>
      <c r="W66" s="26">
        <f>(V66-V67)/(1-0.25)</f>
        <v>0.24758889780884838</v>
      </c>
      <c r="X66" s="26">
        <f>W66+V68</f>
        <v>0.32923602939625435</v>
      </c>
      <c r="Z66" s="26">
        <f>(LN(L63/(L43*0.25)))/$B$1</f>
        <v>0.32684938238492323</v>
      </c>
      <c r="AA66" s="26">
        <f>(Z66-Z67)/(1-0.25)</f>
        <v>0.27249771788479765</v>
      </c>
      <c r="AB66" s="26">
        <f>AA66+Z68</f>
        <v>0.29698150070769452</v>
      </c>
    </row>
    <row r="67" spans="1:28" x14ac:dyDescent="0.2">
      <c r="M67" s="12"/>
      <c r="N67" s="12"/>
      <c r="R67" s="26">
        <f>(LN(L58/L41))/$B$1</f>
        <v>8.956029492485143E-2</v>
      </c>
      <c r="V67" s="26">
        <f>(LN(L61/L42))/$B$1</f>
        <v>0.17869168639721528</v>
      </c>
      <c r="Z67" s="26">
        <f>(LN(L64/L43))/$B$1</f>
        <v>0.12247609397132497</v>
      </c>
    </row>
    <row r="68" spans="1:28" x14ac:dyDescent="0.2">
      <c r="M68" s="12"/>
      <c r="N68" s="12"/>
      <c r="R68" s="26">
        <f>LN(L59/L41)/$B$1</f>
        <v>0.13647316397200335</v>
      </c>
      <c r="V68" s="26">
        <f>LN(L62/L42)/$B$1</f>
        <v>8.1647131587405983E-2</v>
      </c>
      <c r="Z68" s="26">
        <f>LN(L65/L43)/$B$1</f>
        <v>2.4483782822896889E-2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0.52206028246816294</v>
      </c>
      <c r="S71" s="26">
        <f>(R71-R72)/(1-0.25)</f>
        <v>0.53868320006651249</v>
      </c>
      <c r="T71" s="26">
        <f>S71+R73</f>
        <v>0.67789201837633573</v>
      </c>
      <c r="V71" s="26">
        <f>(LN(M60/(M42*0.25)))/$B$1</f>
        <v>0.28842063916782007</v>
      </c>
      <c r="W71" s="26">
        <f>(V71-V72)/(1-0.25)</f>
        <v>0.21789375511623288</v>
      </c>
      <c r="X71" s="26">
        <f>W71+V73</f>
        <v>0.28170672848777467</v>
      </c>
      <c r="Z71" s="26">
        <f>(LN(M63/(M43*0.25)))/$B$1</f>
        <v>0.53933554935990047</v>
      </c>
      <c r="AA71" s="26">
        <f>(Z71-Z72)/(1-0.25)</f>
        <v>0.55622848325429208</v>
      </c>
      <c r="AB71" s="26">
        <f>AA71+Z73</f>
        <v>0.67425005687864381</v>
      </c>
    </row>
    <row r="72" spans="1:28" x14ac:dyDescent="0.2">
      <c r="M72" s="12"/>
      <c r="N72" s="12"/>
      <c r="R72" s="26">
        <f>(LN(M58/M41))/$B$1</f>
        <v>0.11804788241827857</v>
      </c>
      <c r="V72" s="26">
        <f>(LN(M61/M42))/$B$1</f>
        <v>0.12500032283064541</v>
      </c>
      <c r="Z72" s="26">
        <f>(LN(M64/M43))/$B$1</f>
        <v>0.12216418691918142</v>
      </c>
    </row>
    <row r="73" spans="1:28" x14ac:dyDescent="0.2">
      <c r="M73" s="12"/>
      <c r="N73" s="12"/>
      <c r="R73" s="26">
        <f>LN(M59/M41)/$B$1</f>
        <v>0.13920881830982329</v>
      </c>
      <c r="V73" s="26">
        <f>LN(M62/M42)/$B$1</f>
        <v>6.3812973371541792E-2</v>
      </c>
      <c r="Z73" s="26">
        <f>LN(M65/M43)/$B$1</f>
        <v>0.1180215736243517</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0.12966601821180207</v>
      </c>
      <c r="S76" s="26">
        <f>(R76-R77)/(1-0.25)</f>
        <v>0.23634084978027178</v>
      </c>
      <c r="T76" s="26">
        <f>S76+R78</f>
        <v>7.986819214087687E-2</v>
      </c>
      <c r="V76" s="26">
        <f>(LN(N60/(N42*0.25)))/$B$1</f>
        <v>0.77761519609184393</v>
      </c>
      <c r="W76" s="26">
        <f>(V76-V77)/(1-0.25)</f>
        <v>0.35813795543263344</v>
      </c>
      <c r="X76" s="26">
        <f>W76+V78</f>
        <v>0.71582172374724329</v>
      </c>
      <c r="Z76" s="26">
        <f>(LN(N63/(N43*0.25)))/$B$1</f>
        <v>1.2572699340028548</v>
      </c>
      <c r="AA76" s="26">
        <f>(Z76-Z77)/(1-0.25)</f>
        <v>1.0234455479263882</v>
      </c>
      <c r="AB76" s="26">
        <f>AA76+Z78</f>
        <v>1.4408806938643812</v>
      </c>
    </row>
    <row r="77" spans="1:28" x14ac:dyDescent="0.2">
      <c r="M77" s="12"/>
      <c r="N77" s="12"/>
      <c r="R77" s="26">
        <f>(LN(N58/N41))/$B$1</f>
        <v>-4.7589619123401754E-2</v>
      </c>
      <c r="V77" s="26">
        <f>(LN(N61/N42))/$B$1</f>
        <v>0.50901172951736884</v>
      </c>
      <c r="Z77" s="26">
        <f>(LN(N64/N43))/$B$1</f>
        <v>0.48968577305806377</v>
      </c>
    </row>
    <row r="78" spans="1:28" x14ac:dyDescent="0.2">
      <c r="M78" s="12"/>
      <c r="N78" s="12"/>
      <c r="R78" s="26">
        <f>LN(N59/N41)/$B$1</f>
        <v>-0.15647265763939491</v>
      </c>
      <c r="V78" s="26">
        <f>LN(N62/N42)/$B$1</f>
        <v>0.35768376831460991</v>
      </c>
      <c r="Z78" s="26">
        <f>LN(N65/N43)/$B$1</f>
        <v>0.41743514593799297</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-0.2535613540890797</v>
      </c>
      <c r="S81" s="26">
        <f>(R81-R82)/(1-0.25)</f>
        <v>-0.23589980959682452</v>
      </c>
      <c r="T81" s="26">
        <f>S81+R83</f>
        <v>-0.47758510018501354</v>
      </c>
      <c r="V81" s="26">
        <f>(LN(O60/(O42*0.25)))/$B$1</f>
        <v>0.76334144260371672</v>
      </c>
      <c r="W81" s="26">
        <f>(V81-V82)/(1-0.25)</f>
        <v>0.74509128990216034</v>
      </c>
      <c r="X81" s="26">
        <f>W81+V83</f>
        <v>0.78106342196756029</v>
      </c>
      <c r="Z81" s="26">
        <f>(LN(O63/(O43*0.25)))/$B$1</f>
        <v>0.76147989278227668</v>
      </c>
      <c r="AA81" s="26">
        <f>(Z81-Z82)/(1-0.25)</f>
        <v>4.1513564865687989E-2</v>
      </c>
      <c r="AB81" s="26">
        <f>AA81+Z83</f>
        <v>0.12290012897962013</v>
      </c>
    </row>
    <row r="82" spans="13:28" x14ac:dyDescent="0.2">
      <c r="M82" s="12"/>
      <c r="N82" s="12"/>
      <c r="R82" s="26">
        <f>(LN(O58/O41))/$B$1</f>
        <v>-7.663649689146132E-2</v>
      </c>
      <c r="V82" s="26">
        <f>(LN(O61/O42))/$B$1</f>
        <v>0.20452297517709653</v>
      </c>
      <c r="Z82" s="26">
        <f>(LN(O64/O43))/$B$1</f>
        <v>0.73034471913301069</v>
      </c>
    </row>
    <row r="83" spans="13:28" x14ac:dyDescent="0.2">
      <c r="M83" s="12"/>
      <c r="N83" s="12"/>
      <c r="R83" s="26">
        <f>LN(O59/O41)/$B$1</f>
        <v>-0.24168529058818905</v>
      </c>
      <c r="V83" s="26">
        <f>LN(O62/O42)/$B$1</f>
        <v>3.5972132065399905E-2</v>
      </c>
      <c r="Z83" s="26">
        <f>LN(O65/O43)/$B$1</f>
        <v>8.138656411393215E-2</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0.33400565021555978</v>
      </c>
      <c r="S87" s="26">
        <f>(R87-R88)/(1-0.25)</f>
        <v>0.40567242090281175</v>
      </c>
      <c r="T87" s="26">
        <f>S87+R89</f>
        <v>0.40381123333516422</v>
      </c>
      <c r="V87" s="26">
        <f>(LN(Q60/(Q42*0.25)))/$B$1</f>
        <v>0.55980412854608796</v>
      </c>
      <c r="W87" s="26">
        <f>(V87-V88)/(1-0.25)</f>
        <v>0.30338145813754175</v>
      </c>
      <c r="X87" s="26">
        <f>W87+V89</f>
        <v>0.51794838397882725</v>
      </c>
      <c r="Z87" s="26">
        <f>(LN(Q63/(Q43*0.25)))/$B$1</f>
        <v>0.77371975272186144</v>
      </c>
      <c r="AA87" s="26">
        <f>(Z87-Z88)/(1-0.25)</f>
        <v>0.70490961355525672</v>
      </c>
      <c r="AB87" s="26">
        <f>AA87+Z89</f>
        <v>0.90058177369439307</v>
      </c>
    </row>
    <row r="88" spans="13:28" x14ac:dyDescent="0.2">
      <c r="M88" s="12"/>
      <c r="N88" s="12"/>
      <c r="R88" s="26">
        <f>(LN(Q58/Q41))/$B$1</f>
        <v>2.9751334538450955E-2</v>
      </c>
      <c r="S88" s="10"/>
      <c r="T88" s="10"/>
      <c r="V88" s="26">
        <f>(LN(Q61/Q42))/$B$1</f>
        <v>0.33226803494293167</v>
      </c>
      <c r="W88" s="10"/>
      <c r="X88" s="10"/>
      <c r="Z88" s="26">
        <f>(LN(Q64/Q43))/$B$1</f>
        <v>0.24503754255541887</v>
      </c>
      <c r="AA88" s="10"/>
      <c r="AB88" s="10"/>
    </row>
    <row r="89" spans="13:28" x14ac:dyDescent="0.2">
      <c r="M89" s="12"/>
      <c r="N89" s="12"/>
      <c r="R89" s="26">
        <f>LN(Q59/Q41)/$B$1</f>
        <v>-1.8611875676475239E-3</v>
      </c>
      <c r="S89" s="10"/>
      <c r="T89" s="10"/>
      <c r="V89" s="26">
        <f>LN(Q62/Q42)/$B$1</f>
        <v>0.21456692584128548</v>
      </c>
      <c r="W89" s="10"/>
      <c r="X89" s="10"/>
      <c r="Z89" s="26">
        <f>LN(Q65/Q43)/$B$1</f>
        <v>0.19567216013913638</v>
      </c>
      <c r="AA89" s="10"/>
      <c r="AB89" s="1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89"/>
  <sheetViews>
    <sheetView workbookViewId="0">
      <selection activeCell="B3" sqref="B3"/>
    </sheetView>
  </sheetViews>
  <sheetFormatPr baseColWidth="10" defaultRowHeight="16" x14ac:dyDescent="0.2"/>
  <cols>
    <col min="1" max="1" width="23.6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581</v>
      </c>
      <c r="B1" s="32">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346</v>
      </c>
      <c r="B4" s="10">
        <v>5</v>
      </c>
      <c r="C4" s="5">
        <v>8578</v>
      </c>
      <c r="D4" s="5">
        <v>4953</v>
      </c>
      <c r="E4" s="5">
        <v>2219</v>
      </c>
      <c r="F4" s="5">
        <v>1503</v>
      </c>
      <c r="G4" s="5">
        <v>4573</v>
      </c>
      <c r="H4" s="5">
        <v>21111</v>
      </c>
      <c r="I4" s="7">
        <v>128500</v>
      </c>
      <c r="J4" s="7">
        <v>295100</v>
      </c>
      <c r="K4" s="5">
        <v>52204</v>
      </c>
      <c r="L4" s="5">
        <v>47338</v>
      </c>
      <c r="M4" s="7">
        <v>485800</v>
      </c>
      <c r="N4" s="7">
        <v>2357000</v>
      </c>
      <c r="O4" s="8">
        <f>(224333+K4)/235871</f>
        <v>1.1724077991783644</v>
      </c>
      <c r="P4" s="8">
        <f>(224333+L4)/235871</f>
        <v>1.1517778785861763</v>
      </c>
      <c r="Q4" s="8">
        <f t="shared" ref="Q4:R9" si="0">(224333+M4)/235871</f>
        <v>3.0106838059786916</v>
      </c>
      <c r="R4" s="8">
        <f t="shared" si="0"/>
        <v>10.94383370571202</v>
      </c>
      <c r="S4" s="8">
        <f>4/3*3.14*((O4/2)^3)</f>
        <v>0.84336290371090683</v>
      </c>
      <c r="T4" s="8">
        <f t="shared" ref="T4:V9" si="1">4/3*3.14*((P4/2)^3)</f>
        <v>0.79962174694847432</v>
      </c>
      <c r="U4" s="8">
        <f t="shared" si="1"/>
        <v>14.281500433553282</v>
      </c>
      <c r="V4" s="8">
        <f>4/3*3.14*((R4/2)^3)</f>
        <v>685.94114386452998</v>
      </c>
      <c r="W4" s="8">
        <f>(S4*265)/1000</f>
        <v>0.22349116948339032</v>
      </c>
      <c r="X4" s="8">
        <f>(10^(-0.665+LOG(T4, 10)*0.959))</f>
        <v>0.17452848887692579</v>
      </c>
      <c r="Y4" s="8">
        <f>(10^(-0.665+LOG(U4, 10)*0.959))</f>
        <v>2.7696705301856399</v>
      </c>
      <c r="Z4" s="8">
        <f>(10^(-0.665+LOG(V4, 10)*0.959))</f>
        <v>113.50084435480828</v>
      </c>
      <c r="AA4" s="8">
        <f>W4*C4</f>
        <v>1917.1072518285221</v>
      </c>
      <c r="AB4" s="8">
        <f>X4*D4</f>
        <v>864.43960540741341</v>
      </c>
      <c r="AC4" s="8">
        <f t="shared" ref="AC4:AD9" si="2">Y4*E4</f>
        <v>6145.8989064819352</v>
      </c>
      <c r="AD4" s="8">
        <f>Z4*F4</f>
        <v>170591.76906527684</v>
      </c>
      <c r="AE4" s="8">
        <f>AA4/(AA4+AB4+AC4+AD4)</f>
        <v>1.0679120080013206E-2</v>
      </c>
      <c r="AF4" s="8">
        <f>AB4/(AA4+AB4+AC4+AD4)</f>
        <v>4.8153040677615258E-3</v>
      </c>
      <c r="AG4" s="8">
        <f>AC4/(AA4+AB4+AC4+AD4)</f>
        <v>3.4235326353985879E-2</v>
      </c>
      <c r="AH4" s="8">
        <f>AD4/(AA4+AB4+AC4+AD4)</f>
        <v>0.95027024949823935</v>
      </c>
      <c r="AI4" s="8">
        <f>LN((AVERAGE(G14:G16))/G4)/1.125</f>
        <v>9.3401064856618615E-2</v>
      </c>
      <c r="AJ4" s="8">
        <f>LN((AVERAGE(H14:H16))/H4)/1.125</f>
        <v>0.18654683288767601</v>
      </c>
      <c r="AK4" s="8">
        <f>LN((AVERAGE(I14:I16))/I4)/1.125</f>
        <v>0.27114690761025667</v>
      </c>
      <c r="AL4" s="8">
        <f>LN((AVERAGE(J14:J16))/J4)/1.125</f>
        <v>-6.8539226576458329E-3</v>
      </c>
      <c r="AM4" s="15">
        <f>(AI4*AE4)+(AJ4*AF4)+(AG4*AK4)+(AH4*AL4)</f>
        <v>4.6654449884254408E-3</v>
      </c>
      <c r="AN4" s="10">
        <v>5</v>
      </c>
      <c r="AO4" s="50">
        <f>H4/L4</f>
        <v>0.44596307406312052</v>
      </c>
      <c r="AP4" s="50">
        <f>I4/M4</f>
        <v>0.26451214491560315</v>
      </c>
      <c r="AQ4" s="50">
        <f>LN((AVERAGE(AO14:AO16))/AO4)/1.125</f>
        <v>-2.9378171649659477E-2</v>
      </c>
      <c r="AR4" s="50">
        <f>LN((AVERAGE(AP14:AP16))/AP4)/1.125</f>
        <v>-2.4803461979008876E-2</v>
      </c>
      <c r="AS4" s="8">
        <f>AB4/(AB4+AC4)</f>
        <v>0.12330925303269547</v>
      </c>
      <c r="AT4" s="8">
        <f>AC4/(AC4+AB4)</f>
        <v>0.87669074696730453</v>
      </c>
      <c r="AU4" s="50">
        <f>(AQ4*AS4)+(AR4*AT4)</f>
        <v>-2.5367566011338251E-2</v>
      </c>
      <c r="AV4" s="46">
        <f>H4</f>
        <v>21111</v>
      </c>
      <c r="AW4" s="46">
        <f t="shared" ref="AW4:AW11" si="3">I4</f>
        <v>128500</v>
      </c>
      <c r="AX4" s="48">
        <f>LN((AVERAGE(AV14:AV16))/AV4)/1.125</f>
        <v>0.18654683288767601</v>
      </c>
      <c r="AY4" s="48">
        <f>LN((AVERAGE(AW14:AW16))/AW4)/1.125</f>
        <v>0.27114690761025667</v>
      </c>
      <c r="AZ4" s="48">
        <f t="shared" ref="AZ4:AZ9" si="4">(AX4*AS4)+(AY4*AT4)</f>
        <v>0.26071493558970504</v>
      </c>
    </row>
    <row r="5" spans="1:52" x14ac:dyDescent="0.2">
      <c r="A5" s="5" t="s">
        <v>347</v>
      </c>
      <c r="B5" s="10">
        <v>12</v>
      </c>
      <c r="C5" s="5">
        <v>7989</v>
      </c>
      <c r="D5" s="5">
        <v>5391</v>
      </c>
      <c r="E5" s="5">
        <v>2228</v>
      </c>
      <c r="F5" s="5">
        <v>1589</v>
      </c>
      <c r="G5" s="5">
        <v>4709</v>
      </c>
      <c r="H5" s="5">
        <v>21267</v>
      </c>
      <c r="I5" s="7">
        <v>140200</v>
      </c>
      <c r="J5" s="7">
        <v>294800</v>
      </c>
      <c r="K5" s="5">
        <v>46766</v>
      </c>
      <c r="L5" s="5">
        <v>48220</v>
      </c>
      <c r="M5" s="7">
        <v>541000</v>
      </c>
      <c r="N5" s="7">
        <v>2473000</v>
      </c>
      <c r="O5" s="8">
        <f t="shared" ref="O5:P9" si="5">(224333+K5)/235871</f>
        <v>1.1493528242132351</v>
      </c>
      <c r="P5" s="8">
        <f t="shared" si="5"/>
        <v>1.1555172106787184</v>
      </c>
      <c r="Q5" s="8">
        <f t="shared" si="0"/>
        <v>3.244710032178606</v>
      </c>
      <c r="R5" s="8">
        <f t="shared" si="0"/>
        <v>11.435627949175609</v>
      </c>
      <c r="S5" s="8">
        <f t="shared" ref="S5:S9" si="6">4/3*3.14*((O5/2)^3)</f>
        <v>0.79458159213532253</v>
      </c>
      <c r="T5" s="8">
        <f t="shared" si="1"/>
        <v>0.80743515240783237</v>
      </c>
      <c r="U5" s="8">
        <f t="shared" si="1"/>
        <v>17.877470595367587</v>
      </c>
      <c r="V5" s="8">
        <f t="shared" si="1"/>
        <v>782.63352949889759</v>
      </c>
      <c r="W5" s="8">
        <f t="shared" ref="W5:W9" si="7">(S5*265)/1000</f>
        <v>0.21056412191586049</v>
      </c>
      <c r="X5" s="8">
        <f t="shared" ref="X5:Z9" si="8">(10^(-0.665+LOG(T5, 10)*0.959))</f>
        <v>0.17616362529096957</v>
      </c>
      <c r="Y5" s="8">
        <f t="shared" si="8"/>
        <v>3.435275115285529</v>
      </c>
      <c r="Z5" s="8">
        <f t="shared" si="8"/>
        <v>128.8019842328614</v>
      </c>
      <c r="AA5" s="8">
        <f t="shared" ref="AA5:AB9" si="9">W5*C5</f>
        <v>1682.1967699858094</v>
      </c>
      <c r="AB5" s="8">
        <f t="shared" si="9"/>
        <v>949.69810394361696</v>
      </c>
      <c r="AC5" s="8">
        <f t="shared" si="2"/>
        <v>7653.7929568561585</v>
      </c>
      <c r="AD5" s="8">
        <f t="shared" si="2"/>
        <v>204666.35294601676</v>
      </c>
      <c r="AE5" s="8">
        <f t="shared" ref="AE5:AE9" si="10">AA5/(AA5+AB5+AC5+AD5)</f>
        <v>7.8259167203373319E-3</v>
      </c>
      <c r="AF5" s="8">
        <f t="shared" ref="AF5:AF9" si="11">AB5/(AA5+AB5+AC5+AD5)</f>
        <v>4.4181860312261269E-3</v>
      </c>
      <c r="AG5" s="8">
        <f t="shared" ref="AG5:AG9" si="12">AC5/(AA5+AB5+AC5+AD5)</f>
        <v>3.560697972066966E-2</v>
      </c>
      <c r="AH5" s="8">
        <f t="shared" ref="AH5:AH9" si="13">AD5/(AA5+AB5+AC5+AD5)</f>
        <v>0.95214891752776687</v>
      </c>
      <c r="AI5" s="8">
        <f>LN((AVERAGE(G17:G19))/G5)/1.125</f>
        <v>0.10860949720250203</v>
      </c>
      <c r="AJ5" s="8">
        <f>LN((AVERAGE(H17:H19))/H5)/1.125</f>
        <v>0.25781520090855242</v>
      </c>
      <c r="AK5" s="8">
        <f>LN((AVERAGE(I17:I19))/I5)/1.125</f>
        <v>0.17461958239550057</v>
      </c>
      <c r="AL5" s="8">
        <f>LN((AVERAGE(J17:J19))/J5)/1.125</f>
        <v>-4.8375024912756326E-3</v>
      </c>
      <c r="AM5" s="15">
        <f t="shared" ref="AM5:AM9" si="14">(AI5*AE5)+(AJ5*AF5)+(AG5*AK5)+(AH5*AL5)</f>
        <v>3.6006975680188394E-3</v>
      </c>
      <c r="AN5" s="10">
        <v>12</v>
      </c>
      <c r="AO5" s="50">
        <f t="shared" ref="AO5:AO11" si="15">H5/L5</f>
        <v>0.44104106180008296</v>
      </c>
      <c r="AP5" s="50">
        <f t="shared" ref="AP5:AP11" si="16">I5/M5</f>
        <v>0.25914972273567466</v>
      </c>
      <c r="AQ5" s="50">
        <f>LN((AVERAGE(AO17:AO19))/AO5)/1.125</f>
        <v>0.17003054802189005</v>
      </c>
      <c r="AR5" s="50">
        <f>LN((AVERAGE(AP17:AP19))/AP5)/1.125</f>
        <v>7.3993716067455265E-2</v>
      </c>
      <c r="AS5" s="8">
        <f t="shared" ref="AS5:AS9" si="17">AB5/(AB5+AC5)</f>
        <v>0.11038520261510373</v>
      </c>
      <c r="AT5" s="8">
        <f t="shared" ref="AT5:AT9" si="18">AC5/(AC5+AB5)</f>
        <v>0.88961479738489624</v>
      </c>
      <c r="AU5" s="50">
        <f t="shared" ref="AU5:AU9" si="19">(AQ5*AS5)+(AR5*AT5)</f>
        <v>8.4594761221258211E-2</v>
      </c>
      <c r="AV5" s="46">
        <f t="shared" ref="AV5:AV11" si="20">H5</f>
        <v>21267</v>
      </c>
      <c r="AW5" s="46">
        <f t="shared" si="3"/>
        <v>140200</v>
      </c>
      <c r="AX5" s="48">
        <f>LN((AVERAGE(AV17:AV19))/AV5)/1.125</f>
        <v>0.25781520090855242</v>
      </c>
      <c r="AY5" s="48">
        <f>LN((AVERAGE(AW17:AW19))/AW5)/1.125</f>
        <v>0.17461958239550057</v>
      </c>
      <c r="AZ5" s="48">
        <f t="shared" si="4"/>
        <v>0.18380314760175268</v>
      </c>
    </row>
    <row r="6" spans="1:52" x14ac:dyDescent="0.2">
      <c r="A6" s="5" t="s">
        <v>348</v>
      </c>
      <c r="B6" s="10">
        <v>20</v>
      </c>
      <c r="C6" s="5">
        <v>9521</v>
      </c>
      <c r="D6" s="5">
        <v>5740</v>
      </c>
      <c r="E6" s="5">
        <v>3998</v>
      </c>
      <c r="F6" s="5">
        <v>1421</v>
      </c>
      <c r="G6" s="5">
        <v>6778</v>
      </c>
      <c r="H6" s="5">
        <v>26399</v>
      </c>
      <c r="I6" s="7">
        <v>167800</v>
      </c>
      <c r="J6" s="7">
        <v>293500</v>
      </c>
      <c r="K6" s="5">
        <v>25997</v>
      </c>
      <c r="L6" s="5">
        <v>46110</v>
      </c>
      <c r="M6" s="7">
        <v>566500</v>
      </c>
      <c r="N6" s="7">
        <v>2025000</v>
      </c>
      <c r="O6" s="8">
        <f t="shared" si="5"/>
        <v>1.0613004566055175</v>
      </c>
      <c r="P6" s="8">
        <f t="shared" si="5"/>
        <v>1.1465716429743376</v>
      </c>
      <c r="Q6" s="8">
        <f t="shared" si="0"/>
        <v>3.3528199736296536</v>
      </c>
      <c r="R6" s="8">
        <f t="shared" si="0"/>
        <v>9.536284664074854</v>
      </c>
      <c r="S6" s="8">
        <f t="shared" si="6"/>
        <v>0.62559526203422744</v>
      </c>
      <c r="T6" s="8">
        <f t="shared" si="1"/>
        <v>0.78882740002635698</v>
      </c>
      <c r="U6" s="8">
        <f t="shared" si="1"/>
        <v>19.724640785140348</v>
      </c>
      <c r="V6" s="8">
        <f t="shared" si="1"/>
        <v>453.85384317521005</v>
      </c>
      <c r="W6" s="8">
        <f t="shared" si="7"/>
        <v>0.16578274443907029</v>
      </c>
      <c r="X6" s="8">
        <f t="shared" si="8"/>
        <v>0.17226844200848526</v>
      </c>
      <c r="Y6" s="8">
        <f t="shared" si="8"/>
        <v>3.7749719556504076</v>
      </c>
      <c r="Z6" s="8">
        <f t="shared" si="8"/>
        <v>76.380493601981399</v>
      </c>
      <c r="AA6" s="8">
        <f t="shared" si="9"/>
        <v>1578.4175098043881</v>
      </c>
      <c r="AB6" s="8">
        <f t="shared" si="9"/>
        <v>988.82085712870537</v>
      </c>
      <c r="AC6" s="8">
        <f t="shared" si="2"/>
        <v>15092.337878690329</v>
      </c>
      <c r="AD6" s="8">
        <f t="shared" si="2"/>
        <v>108536.68140841556</v>
      </c>
      <c r="AE6" s="8">
        <f t="shared" si="10"/>
        <v>1.2507641186409381E-2</v>
      </c>
      <c r="AF6" s="8">
        <f t="shared" si="11"/>
        <v>7.8355798778083456E-3</v>
      </c>
      <c r="AG6" s="8">
        <f t="shared" si="12"/>
        <v>0.11959417940954518</v>
      </c>
      <c r="AH6" s="8">
        <f t="shared" si="13"/>
        <v>0.86006259952623709</v>
      </c>
      <c r="AI6" s="8">
        <f>LN((AVERAGE(G20:G22))/G6)/1.125</f>
        <v>0.3680162731445179</v>
      </c>
      <c r="AJ6" s="8">
        <f>LN((AVERAGE(H20:H22))/H6)/1.125</f>
        <v>0.17175283755850024</v>
      </c>
      <c r="AK6" s="8">
        <f>LN((AVERAGE(I20:I22))/I6)/1.125</f>
        <v>0.10622505033893864</v>
      </c>
      <c r="AL6" s="8">
        <f>LN((AVERAGE(J20:J22))/J6)/1.125</f>
        <v>5.8360584960812489E-3</v>
      </c>
      <c r="AM6" s="15">
        <f t="shared" si="14"/>
        <v>2.3672071942330945E-2</v>
      </c>
      <c r="AN6" s="10">
        <v>20</v>
      </c>
      <c r="AO6" s="50">
        <f t="shared" si="15"/>
        <v>0.57252222945131204</v>
      </c>
      <c r="AP6" s="50">
        <f t="shared" si="16"/>
        <v>0.29620476610767871</v>
      </c>
      <c r="AQ6" s="50">
        <f>LN((AVERAGE(AO20:AO22))/AO6)/1.125</f>
        <v>0.13811662184583401</v>
      </c>
      <c r="AR6" s="50">
        <f>LN((AVERAGE(AP20:AP22))/AP6)/1.125</f>
        <v>7.6517041446581169E-2</v>
      </c>
      <c r="AS6" s="8">
        <f t="shared" si="17"/>
        <v>6.1489403430003732E-2</v>
      </c>
      <c r="AT6" s="8">
        <f t="shared" si="18"/>
        <v>0.93851059656999625</v>
      </c>
      <c r="AU6" s="50">
        <f t="shared" si="19"/>
        <v>8.0304762896869775E-2</v>
      </c>
      <c r="AV6" s="46">
        <f t="shared" si="20"/>
        <v>26399</v>
      </c>
      <c r="AW6" s="46">
        <f t="shared" si="3"/>
        <v>167800</v>
      </c>
      <c r="AX6" s="48">
        <f>LN((AVERAGE(AV20:AV22))/AV6)/1.125</f>
        <v>0.17175283755850024</v>
      </c>
      <c r="AY6" s="48">
        <f>LN((AVERAGE(AW20:AW22))/AW6)/1.125</f>
        <v>0.10622505033893864</v>
      </c>
      <c r="AZ6" s="48">
        <f t="shared" si="4"/>
        <v>0.11025431488315771</v>
      </c>
    </row>
    <row r="7" spans="1:52" x14ac:dyDescent="0.2">
      <c r="A7" s="5" t="s">
        <v>349</v>
      </c>
      <c r="B7" s="10">
        <v>30</v>
      </c>
      <c r="C7" s="5">
        <v>8659</v>
      </c>
      <c r="D7" s="5">
        <v>7842</v>
      </c>
      <c r="E7" s="5">
        <v>1832</v>
      </c>
      <c r="F7" s="5">
        <v>797</v>
      </c>
      <c r="G7" s="5">
        <v>12134</v>
      </c>
      <c r="H7" s="5">
        <v>56917</v>
      </c>
      <c r="I7" s="7">
        <v>234300</v>
      </c>
      <c r="J7" s="7">
        <v>291700</v>
      </c>
      <c r="K7" s="5">
        <v>19955</v>
      </c>
      <c r="L7" s="5">
        <v>66332</v>
      </c>
      <c r="M7" s="7">
        <v>609800</v>
      </c>
      <c r="N7" s="7">
        <v>1670000</v>
      </c>
      <c r="O7" s="8">
        <f t="shared" si="5"/>
        <v>1.0356847598899399</v>
      </c>
      <c r="P7" s="8">
        <f t="shared" si="5"/>
        <v>1.2323049463477918</v>
      </c>
      <c r="Q7" s="8">
        <f t="shared" si="0"/>
        <v>3.5363948938190792</v>
      </c>
      <c r="R7" s="8">
        <f t="shared" si="0"/>
        <v>8.0312246948543908</v>
      </c>
      <c r="S7" s="8">
        <f t="shared" si="6"/>
        <v>0.58138142845432972</v>
      </c>
      <c r="T7" s="8">
        <f t="shared" si="1"/>
        <v>0.97933882664094862</v>
      </c>
      <c r="U7" s="8">
        <f t="shared" si="1"/>
        <v>23.145185303713561</v>
      </c>
      <c r="V7" s="8">
        <f t="shared" si="1"/>
        <v>271.09638570623872</v>
      </c>
      <c r="W7" s="8">
        <f t="shared" si="7"/>
        <v>0.15406607854039736</v>
      </c>
      <c r="X7" s="8">
        <f t="shared" si="8"/>
        <v>0.21198479960189753</v>
      </c>
      <c r="Y7" s="8">
        <f t="shared" si="8"/>
        <v>4.400659586940848</v>
      </c>
      <c r="Z7" s="8">
        <f t="shared" si="8"/>
        <v>46.597825931561559</v>
      </c>
      <c r="AA7" s="8">
        <f t="shared" si="9"/>
        <v>1334.0581740813006</v>
      </c>
      <c r="AB7" s="8">
        <f t="shared" si="9"/>
        <v>1662.3847984780805</v>
      </c>
      <c r="AC7" s="8">
        <f t="shared" si="2"/>
        <v>8062.0083632756332</v>
      </c>
      <c r="AD7" s="8">
        <f t="shared" si="2"/>
        <v>37138.467267454565</v>
      </c>
      <c r="AE7" s="8">
        <f t="shared" si="10"/>
        <v>2.7679325001292662E-2</v>
      </c>
      <c r="AF7" s="8">
        <f t="shared" si="11"/>
        <v>3.4491516193415277E-2</v>
      </c>
      <c r="AG7" s="8">
        <f t="shared" si="12"/>
        <v>0.16727227791540553</v>
      </c>
      <c r="AH7" s="8">
        <f t="shared" si="13"/>
        <v>0.7705568808898865</v>
      </c>
      <c r="AI7" s="8">
        <f>LN((AVERAGE(G23:G25))/G7)/1.125</f>
        <v>0.15184282763964377</v>
      </c>
      <c r="AJ7" s="8">
        <f>LN((AVERAGE(H23:H25))/H7)/1.125</f>
        <v>4.0774518318825864E-2</v>
      </c>
      <c r="AK7" s="8">
        <f>LN((AVERAGE(I23:I25))/I7)/1.125</f>
        <v>3.8847138022849059E-2</v>
      </c>
      <c r="AL7" s="8">
        <f>LN((AVERAGE(J23:J25))/J7)/1.125</f>
        <v>7.6864235416904307E-3</v>
      </c>
      <c r="AM7" s="15">
        <f t="shared" si="14"/>
        <v>1.8030157751285154E-2</v>
      </c>
      <c r="AN7" s="10">
        <v>30</v>
      </c>
      <c r="AO7" s="50">
        <f t="shared" si="15"/>
        <v>0.85806247361756016</v>
      </c>
      <c r="AP7" s="50">
        <f t="shared" si="16"/>
        <v>0.38422433584781895</v>
      </c>
      <c r="AQ7" s="50">
        <f>LN((AVERAGE(AO23:AO25))/AO7)/1.125</f>
        <v>-3.1695044548856903E-2</v>
      </c>
      <c r="AR7" s="50">
        <f>LN((AVERAGE(AP23:AP25))/AP7)/1.125</f>
        <v>-6.1947075206823791E-2</v>
      </c>
      <c r="AS7" s="8">
        <f t="shared" si="17"/>
        <v>0.1709499781452978</v>
      </c>
      <c r="AT7" s="8">
        <f t="shared" si="18"/>
        <v>0.82905002185470233</v>
      </c>
      <c r="AU7" s="50">
        <f t="shared" si="19"/>
        <v>-5.6775491226993477E-2</v>
      </c>
      <c r="AV7" s="46">
        <f t="shared" si="20"/>
        <v>56917</v>
      </c>
      <c r="AW7" s="46">
        <f t="shared" si="3"/>
        <v>234300</v>
      </c>
      <c r="AX7" s="48">
        <f>LN((AVERAGE(AV23:AV25))/AV7)/1.125</f>
        <v>4.0774518318825864E-2</v>
      </c>
      <c r="AY7" s="48">
        <f>LN((AVERAGE(AW23:AW25))/AW7)/1.125</f>
        <v>3.8847138022849059E-2</v>
      </c>
      <c r="AZ7" s="48">
        <f t="shared" si="4"/>
        <v>3.9176623642323979E-2</v>
      </c>
    </row>
    <row r="8" spans="1:52" x14ac:dyDescent="0.2">
      <c r="A8" s="5" t="s">
        <v>350</v>
      </c>
      <c r="B8" s="10">
        <v>40</v>
      </c>
      <c r="C8" s="5">
        <v>7892</v>
      </c>
      <c r="D8" s="5">
        <v>7401</v>
      </c>
      <c r="E8" s="5">
        <v>1274</v>
      </c>
      <c r="F8" s="5">
        <v>602</v>
      </c>
      <c r="G8" s="5">
        <v>14209</v>
      </c>
      <c r="H8" s="5">
        <v>63924</v>
      </c>
      <c r="I8" s="7">
        <v>231500</v>
      </c>
      <c r="J8" s="7">
        <v>293000</v>
      </c>
      <c r="K8" s="5">
        <v>15678</v>
      </c>
      <c r="L8" s="5">
        <v>66583</v>
      </c>
      <c r="M8" s="7">
        <v>562600</v>
      </c>
      <c r="N8" s="7">
        <v>1509000</v>
      </c>
      <c r="O8" s="8">
        <f t="shared" si="5"/>
        <v>1.0175519669649935</v>
      </c>
      <c r="P8" s="8">
        <f t="shared" si="5"/>
        <v>1.233369087340114</v>
      </c>
      <c r="Q8" s="8">
        <f t="shared" si="0"/>
        <v>3.336285511995964</v>
      </c>
      <c r="R8" s="8">
        <f t="shared" si="0"/>
        <v>7.3486482017713071</v>
      </c>
      <c r="S8" s="8">
        <f t="shared" si="6"/>
        <v>0.55137642359320849</v>
      </c>
      <c r="T8" s="8">
        <f t="shared" si="1"/>
        <v>0.98187810425737609</v>
      </c>
      <c r="U8" s="8">
        <f t="shared" si="1"/>
        <v>19.434260789896065</v>
      </c>
      <c r="V8" s="8">
        <f t="shared" si="1"/>
        <v>207.68291412940908</v>
      </c>
      <c r="W8" s="8">
        <f t="shared" si="7"/>
        <v>0.14611475225220025</v>
      </c>
      <c r="X8" s="8">
        <f t="shared" si="8"/>
        <v>0.21251188074069777</v>
      </c>
      <c r="Y8" s="8">
        <f t="shared" si="8"/>
        <v>3.7216603638432155</v>
      </c>
      <c r="Z8" s="8">
        <f t="shared" si="8"/>
        <v>36.090037846577026</v>
      </c>
      <c r="AA8" s="8">
        <f t="shared" si="9"/>
        <v>1153.1376247743644</v>
      </c>
      <c r="AB8" s="8">
        <f t="shared" si="9"/>
        <v>1572.8004293619042</v>
      </c>
      <c r="AC8" s="8">
        <f t="shared" si="2"/>
        <v>4741.3953035362565</v>
      </c>
      <c r="AD8" s="8">
        <f t="shared" si="2"/>
        <v>21726.202783639368</v>
      </c>
      <c r="AE8" s="8">
        <f t="shared" si="10"/>
        <v>3.949975841201897E-2</v>
      </c>
      <c r="AF8" s="8">
        <f t="shared" si="11"/>
        <v>5.3874954433362654E-2</v>
      </c>
      <c r="AG8" s="8">
        <f t="shared" si="12"/>
        <v>0.16241250393872939</v>
      </c>
      <c r="AH8" s="8">
        <f t="shared" si="13"/>
        <v>0.74421278321588891</v>
      </c>
      <c r="AI8" s="8">
        <f>LN((AVERAGE(G26:G28))/G8)/1.125</f>
        <v>0.12767050704028579</v>
      </c>
      <c r="AJ8" s="8">
        <f>LN((AVERAGE(H26:H28))/H8)/1.125</f>
        <v>9.979816150845594E-2</v>
      </c>
      <c r="AK8" s="8">
        <f>LN((AVERAGE(I26:I28))/I8)/1.125</f>
        <v>-2.0455963097498461E-2</v>
      </c>
      <c r="AL8" s="8">
        <f>LN((AVERAGE(J26:J28))/J8)/1.125</f>
        <v>-4.5623139791290688E-3</v>
      </c>
      <c r="AM8" s="15">
        <f t="shared" si="14"/>
        <v>3.7019390167773122E-3</v>
      </c>
      <c r="AN8" s="10">
        <v>40</v>
      </c>
      <c r="AO8" s="50">
        <f t="shared" si="15"/>
        <v>0.96006488142618984</v>
      </c>
      <c r="AP8" s="50">
        <f t="shared" si="16"/>
        <v>0.41148240312833273</v>
      </c>
      <c r="AQ8" s="50">
        <f>LN((AVERAGE(AO26:AO28))/AO8)/1.125</f>
        <v>-2.9137799929638608E-2</v>
      </c>
      <c r="AR8" s="50">
        <f>LN((AVERAGE(AP26:AP28))/AP8)/1.125</f>
        <v>9.2174942202107799E-2</v>
      </c>
      <c r="AS8" s="8">
        <f t="shared" si="17"/>
        <v>0.24908959048692692</v>
      </c>
      <c r="AT8" s="8">
        <f t="shared" si="18"/>
        <v>0.75091040951307308</v>
      </c>
      <c r="AU8" s="50">
        <f t="shared" si="19"/>
        <v>6.1957200943664921E-2</v>
      </c>
      <c r="AV8" s="46">
        <f t="shared" si="20"/>
        <v>63924</v>
      </c>
      <c r="AW8" s="46">
        <f t="shared" si="3"/>
        <v>231500</v>
      </c>
      <c r="AX8" s="48">
        <f>LN((AVERAGE(AV26:AV28))/AV8)/1.125</f>
        <v>9.979816150845594E-2</v>
      </c>
      <c r="AY8" s="48">
        <f>LN((AVERAGE(AW26:AW28))/AW8)/1.125</f>
        <v>-2.0455963097498461E-2</v>
      </c>
      <c r="AZ8" s="48">
        <f t="shared" si="4"/>
        <v>9.4980875549626025E-3</v>
      </c>
    </row>
    <row r="9" spans="1:52" x14ac:dyDescent="0.2">
      <c r="A9" s="5" t="s">
        <v>351</v>
      </c>
      <c r="B9" s="10">
        <v>50</v>
      </c>
      <c r="C9" s="5">
        <v>6471</v>
      </c>
      <c r="D9" s="5">
        <v>7463</v>
      </c>
      <c r="E9" s="5">
        <v>398</v>
      </c>
      <c r="F9" s="5">
        <v>338</v>
      </c>
      <c r="G9" s="5">
        <v>16652</v>
      </c>
      <c r="H9" s="5">
        <v>80476</v>
      </c>
      <c r="I9" s="7">
        <v>297800</v>
      </c>
      <c r="J9" s="7">
        <v>288800</v>
      </c>
      <c r="K9" s="5">
        <v>15132</v>
      </c>
      <c r="L9" s="5">
        <v>86219</v>
      </c>
      <c r="M9" s="7">
        <v>829000</v>
      </c>
      <c r="N9" s="7">
        <v>1482000</v>
      </c>
      <c r="O9" s="8">
        <f t="shared" si="5"/>
        <v>1.0152371423362769</v>
      </c>
      <c r="P9" s="8">
        <f t="shared" si="5"/>
        <v>1.3166179818629675</v>
      </c>
      <c r="Q9" s="8">
        <f t="shared" si="0"/>
        <v>4.4657164297433765</v>
      </c>
      <c r="R9" s="8">
        <f t="shared" si="0"/>
        <v>7.2341788519996095</v>
      </c>
      <c r="S9" s="8">
        <f t="shared" si="6"/>
        <v>0.54762200584849108</v>
      </c>
      <c r="T9" s="8">
        <f t="shared" si="1"/>
        <v>1.1944218633723924</v>
      </c>
      <c r="U9" s="8">
        <f t="shared" si="1"/>
        <v>46.607072445495405</v>
      </c>
      <c r="V9" s="8">
        <f t="shared" si="1"/>
        <v>198.12812190914877</v>
      </c>
      <c r="W9" s="8">
        <f t="shared" si="7"/>
        <v>0.14511983154985014</v>
      </c>
      <c r="X9" s="8">
        <f t="shared" si="8"/>
        <v>0.25644502418226317</v>
      </c>
      <c r="Y9" s="8">
        <f t="shared" si="8"/>
        <v>8.6108356350181978</v>
      </c>
      <c r="Z9" s="8">
        <f t="shared" si="8"/>
        <v>34.496205930595913</v>
      </c>
      <c r="AA9" s="8">
        <f t="shared" si="9"/>
        <v>939.07042995908023</v>
      </c>
      <c r="AB9" s="8">
        <f t="shared" si="9"/>
        <v>1913.8492154722301</v>
      </c>
      <c r="AC9" s="8">
        <f t="shared" si="2"/>
        <v>3427.1125827372425</v>
      </c>
      <c r="AD9" s="8">
        <f t="shared" si="2"/>
        <v>11659.717604541418</v>
      </c>
      <c r="AE9" s="8">
        <f t="shared" si="10"/>
        <v>5.2345792930002341E-2</v>
      </c>
      <c r="AF9" s="8">
        <f t="shared" si="11"/>
        <v>0.1066820459214355</v>
      </c>
      <c r="AG9" s="8">
        <f t="shared" si="12"/>
        <v>0.19103458045376456</v>
      </c>
      <c r="AH9" s="8">
        <f t="shared" si="13"/>
        <v>0.64993758069479757</v>
      </c>
      <c r="AI9" s="8">
        <f>LN((AVERAGE(G29:G31))/G9)/1.125</f>
        <v>9.4747414977263619E-2</v>
      </c>
      <c r="AJ9" s="8">
        <f>LN((AVERAGE(H29:H31))/H9)/1.125</f>
        <v>3.0895659692782303E-2</v>
      </c>
      <c r="AK9" s="8">
        <f>LN((AVERAGE(I29:I31))/I9)/1.125</f>
        <v>-9.9550787523629367E-4</v>
      </c>
      <c r="AL9" s="8">
        <f>LN((AVERAGE(J29:J31))/J9)/1.125</f>
        <v>-2.2599752790648732E-3</v>
      </c>
      <c r="AM9" s="15">
        <f t="shared" si="14"/>
        <v>6.5966214565816314E-3</v>
      </c>
      <c r="AN9" s="10">
        <v>50</v>
      </c>
      <c r="AO9" s="50">
        <f t="shared" si="15"/>
        <v>0.93339055196650389</v>
      </c>
      <c r="AP9" s="50">
        <f t="shared" si="16"/>
        <v>0.35922798552472857</v>
      </c>
      <c r="AQ9" s="50">
        <f>LN((AVERAGE(AO29:AO31))/AO9)/1.125</f>
        <v>4.4441730493209625E-2</v>
      </c>
      <c r="AR9" s="50">
        <f>LN((AVERAGE(AP29:AP31))/AP9)/1.125</f>
        <v>8.0889273014415841E-2</v>
      </c>
      <c r="AS9" s="8">
        <f t="shared" si="17"/>
        <v>0.35833418919300963</v>
      </c>
      <c r="AT9" s="8">
        <f t="shared" si="18"/>
        <v>0.64166581080699037</v>
      </c>
      <c r="AU9" s="50">
        <f t="shared" si="19"/>
        <v>6.7828872417001668E-2</v>
      </c>
      <c r="AV9" s="46">
        <f t="shared" si="20"/>
        <v>80476</v>
      </c>
      <c r="AW9" s="46">
        <f t="shared" si="3"/>
        <v>297800</v>
      </c>
      <c r="AX9" s="48">
        <f>LN((AVERAGE(AV29:AV31))/AV9)/1.125</f>
        <v>3.0895659692782303E-2</v>
      </c>
      <c r="AY9" s="48">
        <f>LN((AVERAGE(AW29:AW31))/AW9)/1.125</f>
        <v>-9.9550787523629367E-4</v>
      </c>
      <c r="AZ9" s="48">
        <f t="shared" si="4"/>
        <v>1.0432187797668056E-2</v>
      </c>
    </row>
    <row r="10" spans="1:52" x14ac:dyDescent="0.2">
      <c r="A10" s="5" t="s">
        <v>352</v>
      </c>
      <c r="B10" s="10">
        <v>70</v>
      </c>
      <c r="C10" s="5">
        <v>2168</v>
      </c>
      <c r="D10" s="5">
        <v>2832</v>
      </c>
      <c r="E10" s="5">
        <v>142</v>
      </c>
      <c r="F10" s="5">
        <v>128</v>
      </c>
      <c r="G10" s="5">
        <v>21490</v>
      </c>
      <c r="H10" s="5">
        <v>91811</v>
      </c>
      <c r="I10" s="7">
        <v>273500</v>
      </c>
      <c r="J10" s="7">
        <v>282600</v>
      </c>
      <c r="K10" s="5">
        <v>17629</v>
      </c>
      <c r="L10" s="5">
        <v>81271</v>
      </c>
      <c r="M10" s="7">
        <v>447400</v>
      </c>
      <c r="N10" s="7">
        <v>1166000</v>
      </c>
      <c r="O10" s="8">
        <f t="shared" ref="O10:O11" si="21">(224333+K10)/235871</f>
        <v>1.0258234373873856</v>
      </c>
      <c r="P10" s="8">
        <f t="shared" ref="P10:P11" si="22">(224333+L10)/235871</f>
        <v>1.2956404136159172</v>
      </c>
      <c r="Q10" s="8">
        <f t="shared" ref="Q10:Q11" si="23">(224333+M10)/235871</f>
        <v>2.8478829529700556</v>
      </c>
      <c r="R10" s="8">
        <f t="shared" ref="R10:R11" si="24">(224333+N10)/235871</f>
        <v>5.8944634991160418</v>
      </c>
      <c r="S10" s="8">
        <f t="shared" ref="S10:S11" si="25">4/3*3.14*((O10/2)^3)</f>
        <v>0.56493209639046538</v>
      </c>
      <c r="T10" s="8">
        <f t="shared" ref="T10:T11" si="26">4/3*3.14*((P10/2)^3)</f>
        <v>1.1382347906505632</v>
      </c>
      <c r="U10" s="8">
        <f t="shared" ref="U10:U11" si="27">4/3*3.14*((Q10/2)^3)</f>
        <v>12.087731527476709</v>
      </c>
      <c r="V10" s="8">
        <f t="shared" ref="V10:V11" si="28">4/3*3.14*((R10/2)^3)</f>
        <v>107.17938132976801</v>
      </c>
      <c r="W10" s="8">
        <f t="shared" ref="W10:W11" si="29">(S10*265)/1000</f>
        <v>0.14970700554347333</v>
      </c>
      <c r="X10" s="8">
        <f t="shared" ref="X10:X11" si="30">(10^(-0.665+LOG(T10, 10)*0.959))</f>
        <v>0.24486479505103551</v>
      </c>
      <c r="Y10" s="8">
        <f t="shared" ref="Y10:Y11" si="31">(10^(-0.665+LOG(U10, 10)*0.959))</f>
        <v>2.3603079467460484</v>
      </c>
      <c r="Z10" s="8">
        <f t="shared" ref="Z10:Z11" si="32">(10^(-0.665+LOG(V10, 10)*0.959))</f>
        <v>19.137124610273254</v>
      </c>
      <c r="AA10" s="8">
        <f t="shared" ref="AA10:AA11" si="33">W10*C10</f>
        <v>324.56478801825017</v>
      </c>
      <c r="AB10" s="8">
        <f t="shared" ref="AB10:AB11" si="34">X10*D10</f>
        <v>693.45709958453256</v>
      </c>
      <c r="AC10" s="8">
        <f t="shared" ref="AC10:AC11" si="35">Y10*E10</f>
        <v>335.16372843793886</v>
      </c>
      <c r="AD10" s="8">
        <f t="shared" ref="AD10:AD11" si="36">Z10*F10</f>
        <v>2449.5519501149765</v>
      </c>
      <c r="AE10" s="8">
        <f t="shared" ref="AE10:AE11" si="37">AA10/(AA10+AB10+AC10+AD10)</f>
        <v>8.535029892855911E-2</v>
      </c>
      <c r="AF10" s="8">
        <f t="shared" ref="AF10:AF11" si="38">AB10/(AA10+AB10+AC10+AD10)</f>
        <v>0.18235733797574921</v>
      </c>
      <c r="AG10" s="8">
        <f t="shared" ref="AG10:AG11" si="39">AC10/(AA10+AB10+AC10+AD10)</f>
        <v>8.8137485852531755E-2</v>
      </c>
      <c r="AH10" s="8">
        <f t="shared" ref="AH10:AH11" si="40">AD10/(AA10+AB10+AC10+AD10)</f>
        <v>0.64415487724316001</v>
      </c>
      <c r="AI10" s="8"/>
      <c r="AN10" s="10">
        <v>70</v>
      </c>
      <c r="AO10" s="50">
        <f t="shared" si="15"/>
        <v>1.1296895571606107</v>
      </c>
      <c r="AP10" s="50">
        <f t="shared" si="16"/>
        <v>0.61130978989718376</v>
      </c>
      <c r="AQ10" s="51"/>
      <c r="AR10" s="51"/>
      <c r="AU10" s="51"/>
      <c r="AV10" s="46">
        <f t="shared" si="20"/>
        <v>91811</v>
      </c>
      <c r="AW10" s="46">
        <f t="shared" si="3"/>
        <v>273500</v>
      </c>
    </row>
    <row r="11" spans="1:52" x14ac:dyDescent="0.2">
      <c r="A11" s="5" t="s">
        <v>353</v>
      </c>
      <c r="B11" s="10">
        <v>100</v>
      </c>
      <c r="C11" s="5">
        <v>308</v>
      </c>
      <c r="D11" s="5">
        <v>610</v>
      </c>
      <c r="E11" s="5">
        <v>30</v>
      </c>
      <c r="F11" s="5">
        <v>40</v>
      </c>
      <c r="G11" s="5">
        <v>19130</v>
      </c>
      <c r="H11" s="5">
        <v>74398</v>
      </c>
      <c r="I11" s="7">
        <v>274100</v>
      </c>
      <c r="J11" s="7">
        <v>261500</v>
      </c>
      <c r="K11" s="5">
        <v>80643</v>
      </c>
      <c r="L11" s="5">
        <v>78160</v>
      </c>
      <c r="M11" s="7">
        <v>517100</v>
      </c>
      <c r="N11" s="7">
        <v>1953000</v>
      </c>
      <c r="O11" s="8">
        <f t="shared" si="21"/>
        <v>1.2929779413323383</v>
      </c>
      <c r="P11" s="8">
        <f t="shared" si="22"/>
        <v>1.2824510007588894</v>
      </c>
      <c r="Q11" s="8">
        <f t="shared" si="23"/>
        <v>3.1433834596029184</v>
      </c>
      <c r="R11" s="8">
        <f t="shared" si="24"/>
        <v>9.2310330646836611</v>
      </c>
      <c r="S11" s="8">
        <f t="shared" si="25"/>
        <v>1.1312321641622562</v>
      </c>
      <c r="T11" s="8">
        <f t="shared" si="26"/>
        <v>1.1038263066929144</v>
      </c>
      <c r="U11" s="8">
        <f t="shared" si="27"/>
        <v>16.254382988828432</v>
      </c>
      <c r="V11" s="8">
        <f t="shared" si="28"/>
        <v>411.65113521124687</v>
      </c>
      <c r="W11" s="8">
        <f t="shared" si="29"/>
        <v>0.29977652350299794</v>
      </c>
      <c r="X11" s="8">
        <f t="shared" si="30"/>
        <v>0.23776165205894029</v>
      </c>
      <c r="Y11" s="8">
        <f t="shared" si="31"/>
        <v>3.1356003080304196</v>
      </c>
      <c r="Z11" s="8">
        <f t="shared" si="32"/>
        <v>69.555842497580258</v>
      </c>
      <c r="AA11" s="8">
        <f t="shared" si="33"/>
        <v>92.331169238923366</v>
      </c>
      <c r="AB11" s="8">
        <f t="shared" si="34"/>
        <v>145.03460775595357</v>
      </c>
      <c r="AC11" s="8">
        <f t="shared" si="35"/>
        <v>94.068009240912588</v>
      </c>
      <c r="AD11" s="8">
        <f t="shared" si="36"/>
        <v>2782.2336999032104</v>
      </c>
      <c r="AE11" s="8">
        <f t="shared" si="37"/>
        <v>2.96535097758353E-2</v>
      </c>
      <c r="AF11" s="8">
        <f t="shared" si="38"/>
        <v>4.6579992372852541E-2</v>
      </c>
      <c r="AG11" s="8">
        <f t="shared" si="39"/>
        <v>3.021132142711825E-2</v>
      </c>
      <c r="AH11" s="8">
        <f t="shared" si="40"/>
        <v>0.8935551764241938</v>
      </c>
      <c r="AI11" s="8"/>
      <c r="AN11" s="10">
        <v>100</v>
      </c>
      <c r="AO11" s="50">
        <f t="shared" si="15"/>
        <v>0.95186796315250766</v>
      </c>
      <c r="AP11" s="50">
        <f t="shared" si="16"/>
        <v>0.53007155289112362</v>
      </c>
      <c r="AQ11" s="51"/>
      <c r="AR11" s="51"/>
      <c r="AU11" s="51"/>
      <c r="AV11" s="46">
        <f t="shared" si="20"/>
        <v>74398</v>
      </c>
      <c r="AW11" s="46">
        <f t="shared" si="3"/>
        <v>274100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354</v>
      </c>
      <c r="B14" s="10">
        <v>5</v>
      </c>
      <c r="C14" s="5">
        <v>3422</v>
      </c>
      <c r="D14" s="5">
        <v>2819</v>
      </c>
      <c r="E14" s="5">
        <v>1568</v>
      </c>
      <c r="F14" s="5">
        <v>848</v>
      </c>
      <c r="G14" s="5">
        <v>5296</v>
      </c>
      <c r="H14" s="5">
        <v>26463</v>
      </c>
      <c r="I14" s="7">
        <v>188500</v>
      </c>
      <c r="J14" s="7">
        <v>293300</v>
      </c>
      <c r="K14" s="5">
        <v>27243</v>
      </c>
      <c r="L14" s="5">
        <v>65986</v>
      </c>
      <c r="M14" s="7">
        <v>752800</v>
      </c>
      <c r="N14" s="7">
        <v>1981000</v>
      </c>
      <c r="O14" s="8">
        <f t="shared" ref="O14:R29" si="41">(224333+K14)/235871</f>
        <v>1.0665830051172038</v>
      </c>
      <c r="P14" s="8">
        <f t="shared" si="41"/>
        <v>1.2308380428284953</v>
      </c>
      <c r="Q14" s="8">
        <f t="shared" si="41"/>
        <v>4.1426584870543648</v>
      </c>
      <c r="R14" s="8">
        <f t="shared" si="41"/>
        <v>9.3497420200024592</v>
      </c>
      <c r="S14" s="8">
        <f t="shared" ref="S14:V29" si="42">4/3*3.14*((O14/2)^3)</f>
        <v>0.63498340567190692</v>
      </c>
      <c r="T14" s="8">
        <f t="shared" si="42"/>
        <v>0.97584565029253789</v>
      </c>
      <c r="U14" s="8">
        <f t="shared" si="42"/>
        <v>37.206240992922289</v>
      </c>
      <c r="V14" s="8">
        <f t="shared" si="42"/>
        <v>427.73745528118644</v>
      </c>
      <c r="W14" s="8">
        <f t="shared" ref="W14:W31" si="43">(S14*265)/1000</f>
        <v>0.16827060250305534</v>
      </c>
      <c r="X14" s="8">
        <f t="shared" ref="X14:Z29" si="44">(10^(-0.665+LOG(T14, 10)*0.959))</f>
        <v>0.21125962487432906</v>
      </c>
      <c r="Y14" s="8">
        <f t="shared" si="44"/>
        <v>6.9377803692685678</v>
      </c>
      <c r="Z14" s="8">
        <f t="shared" si="44"/>
        <v>72.160413444487929</v>
      </c>
      <c r="AA14" s="8">
        <f t="shared" ref="AA14:AA19" si="45">W14*C14</f>
        <v>575.82200176545541</v>
      </c>
      <c r="AB14" s="8">
        <f t="shared" ref="AB14:AB19" si="46">X14*D14</f>
        <v>595.54088252073359</v>
      </c>
      <c r="AC14" s="8">
        <f t="shared" ref="AC14:AC19" si="47">Y14*E14</f>
        <v>10878.439619013114</v>
      </c>
      <c r="AD14" s="8">
        <f t="shared" ref="AD14:AD19" si="48">Z14*F14</f>
        <v>61192.030600925762</v>
      </c>
      <c r="AE14" s="8">
        <f t="shared" ref="AE14:AE19" si="49">AA14/(AA14+AB14+AC14+AD14)</f>
        <v>7.8619277721523641E-3</v>
      </c>
      <c r="AF14" s="8">
        <f t="shared" ref="AF14:AF19" si="50">AB14/(AA14+AB14+AC14+AD14)</f>
        <v>8.1311575267820398E-3</v>
      </c>
      <c r="AG14" s="8">
        <f t="shared" ref="AG14:AG19" si="51">AC14/(AA14+AB14+AC14+AD14)</f>
        <v>0.14852768094338664</v>
      </c>
      <c r="AH14" s="8">
        <f t="shared" ref="AH14:AH19" si="52">AD14/(AA14+AB14+AC14+AD14)</f>
        <v>0.83547923375767896</v>
      </c>
      <c r="AI14" s="8"/>
      <c r="AN14" s="10">
        <v>5</v>
      </c>
      <c r="AO14" s="8">
        <f t="shared" ref="AO14:AO31" si="53">H14/L14</f>
        <v>0.40103961446367409</v>
      </c>
      <c r="AP14" s="8">
        <f t="shared" ref="AP14:AP31" si="54">I14/M14</f>
        <v>0.25039851222104142</v>
      </c>
      <c r="AV14" s="5">
        <f t="shared" ref="AV14:AW29" si="55">H14</f>
        <v>26463</v>
      </c>
      <c r="AW14" s="5">
        <f t="shared" si="55"/>
        <v>188500</v>
      </c>
    </row>
    <row r="15" spans="1:52" x14ac:dyDescent="0.2">
      <c r="A15" s="5" t="s">
        <v>355</v>
      </c>
      <c r="B15" s="10">
        <v>5</v>
      </c>
      <c r="C15" s="5">
        <v>10877</v>
      </c>
      <c r="D15" s="5">
        <v>8125</v>
      </c>
      <c r="E15" s="5">
        <v>4062</v>
      </c>
      <c r="F15" s="5">
        <v>1739</v>
      </c>
      <c r="G15" s="5">
        <v>5628</v>
      </c>
      <c r="H15" s="5">
        <v>26899</v>
      </c>
      <c r="I15" s="7">
        <v>165400</v>
      </c>
      <c r="J15" s="7">
        <v>292200</v>
      </c>
      <c r="K15" s="5">
        <v>19131</v>
      </c>
      <c r="L15" s="5">
        <v>60236</v>
      </c>
      <c r="M15" s="7">
        <v>626800</v>
      </c>
      <c r="N15" s="7">
        <v>2049000</v>
      </c>
      <c r="O15" s="8">
        <f t="shared" si="41"/>
        <v>1.0321913249191295</v>
      </c>
      <c r="P15" s="8">
        <f t="shared" si="41"/>
        <v>1.2064603109326708</v>
      </c>
      <c r="Q15" s="8">
        <f t="shared" si="41"/>
        <v>3.6084681881197773</v>
      </c>
      <c r="R15" s="8">
        <f t="shared" si="41"/>
        <v>9.6380351972052516</v>
      </c>
      <c r="S15" s="8">
        <f t="shared" si="42"/>
        <v>0.57551813327306778</v>
      </c>
      <c r="T15" s="8">
        <f t="shared" si="42"/>
        <v>0.91900424196344754</v>
      </c>
      <c r="U15" s="8">
        <f t="shared" si="42"/>
        <v>24.589349541214901</v>
      </c>
      <c r="V15" s="8">
        <f t="shared" si="42"/>
        <v>468.5370314261649</v>
      </c>
      <c r="W15" s="8">
        <f t="shared" si="43"/>
        <v>0.15251230531736298</v>
      </c>
      <c r="X15" s="8">
        <f t="shared" si="44"/>
        <v>0.19944423980204121</v>
      </c>
      <c r="Y15" s="8">
        <f t="shared" si="44"/>
        <v>4.6636549619742249</v>
      </c>
      <c r="Z15" s="8">
        <f t="shared" si="44"/>
        <v>78.748705026375845</v>
      </c>
      <c r="AA15" s="8">
        <f t="shared" si="45"/>
        <v>1658.8763449369571</v>
      </c>
      <c r="AB15" s="8">
        <f t="shared" si="46"/>
        <v>1620.4844483915847</v>
      </c>
      <c r="AC15" s="8">
        <f t="shared" si="47"/>
        <v>18943.766455539302</v>
      </c>
      <c r="AD15" s="8">
        <f t="shared" si="48"/>
        <v>136943.99804086759</v>
      </c>
      <c r="AE15" s="8">
        <f t="shared" si="49"/>
        <v>1.0422229728138067E-2</v>
      </c>
      <c r="AF15" s="8">
        <f t="shared" si="50"/>
        <v>1.0181024790400537E-2</v>
      </c>
      <c r="AG15" s="8">
        <f t="shared" si="51"/>
        <v>0.11901808505403075</v>
      </c>
      <c r="AH15" s="8">
        <f t="shared" si="52"/>
        <v>0.86037866042743061</v>
      </c>
      <c r="AI15" s="8"/>
      <c r="AN15" s="10">
        <v>5</v>
      </c>
      <c r="AO15" s="8">
        <f t="shared" si="53"/>
        <v>0.44656019656019658</v>
      </c>
      <c r="AP15" s="8">
        <f t="shared" si="54"/>
        <v>0.26388002552648371</v>
      </c>
      <c r="AV15" s="5">
        <f t="shared" si="55"/>
        <v>26899</v>
      </c>
      <c r="AW15" s="5">
        <f t="shared" si="55"/>
        <v>165400</v>
      </c>
    </row>
    <row r="16" spans="1:52" x14ac:dyDescent="0.2">
      <c r="A16" s="5" t="s">
        <v>356</v>
      </c>
      <c r="B16" s="10">
        <v>5</v>
      </c>
      <c r="C16" s="5">
        <v>11557</v>
      </c>
      <c r="D16" s="5">
        <v>6412</v>
      </c>
      <c r="E16" s="5">
        <v>3717</v>
      </c>
      <c r="F16" s="5">
        <v>1926</v>
      </c>
      <c r="G16" s="5">
        <v>4315</v>
      </c>
      <c r="H16" s="5">
        <v>24760</v>
      </c>
      <c r="I16" s="7">
        <v>169100</v>
      </c>
      <c r="J16" s="7">
        <v>293000</v>
      </c>
      <c r="K16" s="5">
        <v>11864</v>
      </c>
      <c r="L16" s="5">
        <v>55417</v>
      </c>
      <c r="M16" s="7">
        <v>656900</v>
      </c>
      <c r="N16" s="7">
        <v>2066000</v>
      </c>
      <c r="O16" s="8">
        <f t="shared" si="41"/>
        <v>1.0013821114083545</v>
      </c>
      <c r="P16" s="8">
        <f t="shared" si="41"/>
        <v>1.1860296518011963</v>
      </c>
      <c r="Q16" s="8">
        <f t="shared" si="41"/>
        <v>3.7360803150874844</v>
      </c>
      <c r="R16" s="8">
        <f t="shared" si="41"/>
        <v>9.7101084915059506</v>
      </c>
      <c r="S16" s="8">
        <f t="shared" si="42"/>
        <v>0.52550624869028395</v>
      </c>
      <c r="T16" s="8">
        <f t="shared" si="42"/>
        <v>0.87310211133526971</v>
      </c>
      <c r="U16" s="8">
        <f t="shared" si="42"/>
        <v>27.291475043122471</v>
      </c>
      <c r="V16" s="8">
        <f t="shared" si="42"/>
        <v>479.12699950377765</v>
      </c>
      <c r="W16" s="8">
        <f t="shared" si="43"/>
        <v>0.13925915590292523</v>
      </c>
      <c r="X16" s="8">
        <f t="shared" si="44"/>
        <v>0.18988093949395046</v>
      </c>
      <c r="Y16" s="8">
        <f t="shared" si="44"/>
        <v>5.1540651218668883</v>
      </c>
      <c r="Z16" s="8">
        <f t="shared" si="44"/>
        <v>80.454838656185117</v>
      </c>
      <c r="AA16" s="8">
        <f t="shared" si="45"/>
        <v>1609.4180647701069</v>
      </c>
      <c r="AB16" s="8">
        <f t="shared" si="46"/>
        <v>1217.5165840352104</v>
      </c>
      <c r="AC16" s="8">
        <f t="shared" si="47"/>
        <v>19157.660057979225</v>
      </c>
      <c r="AD16" s="8">
        <f t="shared" si="48"/>
        <v>154956.01925181254</v>
      </c>
      <c r="AE16" s="8">
        <f t="shared" si="49"/>
        <v>9.0958092026667218E-3</v>
      </c>
      <c r="AF16" s="8">
        <f t="shared" si="50"/>
        <v>6.8809334205209736E-3</v>
      </c>
      <c r="AG16" s="8">
        <f t="shared" si="51"/>
        <v>0.10827169426721889</v>
      </c>
      <c r="AH16" s="8">
        <f t="shared" si="52"/>
        <v>0.87575156310959346</v>
      </c>
      <c r="AI16" s="8"/>
      <c r="AN16" s="10">
        <v>5</v>
      </c>
      <c r="AO16" s="8">
        <f t="shared" si="53"/>
        <v>0.44679430499666167</v>
      </c>
      <c r="AP16" s="8">
        <f t="shared" si="54"/>
        <v>0.25742122088597957</v>
      </c>
      <c r="AV16" s="5">
        <f t="shared" si="55"/>
        <v>24760</v>
      </c>
      <c r="AW16" s="5">
        <f t="shared" si="55"/>
        <v>169100</v>
      </c>
    </row>
    <row r="17" spans="1:49" x14ac:dyDescent="0.2">
      <c r="A17" s="5" t="s">
        <v>357</v>
      </c>
      <c r="B17" s="10">
        <v>12</v>
      </c>
      <c r="C17" s="5">
        <v>3525</v>
      </c>
      <c r="D17" s="5">
        <v>3263</v>
      </c>
      <c r="E17" s="5">
        <v>1250</v>
      </c>
      <c r="F17" s="5">
        <v>681</v>
      </c>
      <c r="G17" s="5">
        <v>5619</v>
      </c>
      <c r="H17" s="5">
        <v>30062</v>
      </c>
      <c r="I17" s="7">
        <v>184700</v>
      </c>
      <c r="J17" s="7">
        <v>293700</v>
      </c>
      <c r="K17" s="5">
        <v>21697</v>
      </c>
      <c r="L17" s="5">
        <v>60006</v>
      </c>
      <c r="M17" s="7">
        <v>684800</v>
      </c>
      <c r="N17" s="7">
        <v>1683000</v>
      </c>
      <c r="O17" s="8">
        <f t="shared" si="41"/>
        <v>1.0430701527529878</v>
      </c>
      <c r="P17" s="8">
        <f t="shared" si="41"/>
        <v>1.2054852016568378</v>
      </c>
      <c r="Q17" s="8">
        <f t="shared" si="41"/>
        <v>3.8543653098515716</v>
      </c>
      <c r="R17" s="8">
        <f t="shared" si="41"/>
        <v>8.0863395669666893</v>
      </c>
      <c r="S17" s="8">
        <f t="shared" si="42"/>
        <v>0.59390769555113387</v>
      </c>
      <c r="T17" s="8">
        <f t="shared" si="42"/>
        <v>0.91677771500615646</v>
      </c>
      <c r="U17" s="8">
        <f t="shared" si="42"/>
        <v>29.966568854717949</v>
      </c>
      <c r="V17" s="8">
        <f t="shared" si="42"/>
        <v>276.71603196488127</v>
      </c>
      <c r="W17" s="8">
        <f t="shared" si="43"/>
        <v>0.15738553932105048</v>
      </c>
      <c r="X17" s="8">
        <f t="shared" si="44"/>
        <v>0.19898082261766745</v>
      </c>
      <c r="Y17" s="8">
        <f t="shared" si="44"/>
        <v>5.6376083491085138</v>
      </c>
      <c r="Z17" s="8">
        <f t="shared" si="44"/>
        <v>47.523773155794387</v>
      </c>
      <c r="AA17" s="8">
        <f t="shared" si="45"/>
        <v>554.78402610670298</v>
      </c>
      <c r="AB17" s="8">
        <f t="shared" si="46"/>
        <v>649.27442420144882</v>
      </c>
      <c r="AC17" s="8">
        <f t="shared" si="47"/>
        <v>7047.0104363856426</v>
      </c>
      <c r="AD17" s="8">
        <f t="shared" si="48"/>
        <v>32363.689519095977</v>
      </c>
      <c r="AE17" s="8">
        <f t="shared" si="49"/>
        <v>1.3659665793496796E-2</v>
      </c>
      <c r="AF17" s="8">
        <f t="shared" si="50"/>
        <v>1.5986169798535416E-2</v>
      </c>
      <c r="AG17" s="8">
        <f t="shared" si="51"/>
        <v>0.17350861393726935</v>
      </c>
      <c r="AH17" s="8">
        <f t="shared" si="52"/>
        <v>0.79684555047069849</v>
      </c>
      <c r="AI17" s="8"/>
      <c r="AN17" s="10">
        <v>12</v>
      </c>
      <c r="AO17" s="8">
        <f t="shared" si="53"/>
        <v>0.50098323500983233</v>
      </c>
      <c r="AP17" s="8">
        <f t="shared" si="54"/>
        <v>0.26971378504672899</v>
      </c>
      <c r="AV17" s="5">
        <f t="shared" si="55"/>
        <v>30062</v>
      </c>
      <c r="AW17" s="5">
        <f t="shared" si="55"/>
        <v>184700</v>
      </c>
    </row>
    <row r="18" spans="1:49" x14ac:dyDescent="0.2">
      <c r="A18" s="5" t="s">
        <v>358</v>
      </c>
      <c r="B18" s="10">
        <v>12</v>
      </c>
      <c r="C18" s="5">
        <v>11769</v>
      </c>
      <c r="D18" s="5">
        <v>8376</v>
      </c>
      <c r="E18" s="5">
        <v>3010</v>
      </c>
      <c r="F18" s="5">
        <v>1454</v>
      </c>
      <c r="G18" s="5">
        <v>5144</v>
      </c>
      <c r="H18" s="5">
        <v>27544</v>
      </c>
      <c r="I18" s="7">
        <v>161500</v>
      </c>
      <c r="J18" s="7">
        <v>293200</v>
      </c>
      <c r="K18" s="5">
        <v>12490</v>
      </c>
      <c r="L18" s="5">
        <v>50175</v>
      </c>
      <c r="M18" s="7">
        <v>565300</v>
      </c>
      <c r="N18" s="7">
        <v>1939000</v>
      </c>
      <c r="O18" s="8">
        <f t="shared" si="41"/>
        <v>1.004036104480839</v>
      </c>
      <c r="P18" s="8">
        <f t="shared" si="41"/>
        <v>1.1638056395232987</v>
      </c>
      <c r="Q18" s="8">
        <f t="shared" si="41"/>
        <v>3.3477324469731338</v>
      </c>
      <c r="R18" s="8">
        <f t="shared" si="41"/>
        <v>9.1716785870242639</v>
      </c>
      <c r="S18" s="8">
        <f t="shared" si="42"/>
        <v>0.5296956272955663</v>
      </c>
      <c r="T18" s="8">
        <f t="shared" si="42"/>
        <v>0.824935075366101</v>
      </c>
      <c r="U18" s="8">
        <f t="shared" si="42"/>
        <v>19.63498720010978</v>
      </c>
      <c r="V18" s="8">
        <f t="shared" si="42"/>
        <v>403.76147504681705</v>
      </c>
      <c r="W18" s="8">
        <f t="shared" si="43"/>
        <v>0.14036934123332506</v>
      </c>
      <c r="X18" s="8">
        <f t="shared" si="44"/>
        <v>0.17982354673226447</v>
      </c>
      <c r="Y18" s="8">
        <f t="shared" si="44"/>
        <v>3.7585156849302632</v>
      </c>
      <c r="Z18" s="8">
        <f t="shared" si="44"/>
        <v>68.276894315703544</v>
      </c>
      <c r="AA18" s="8">
        <f t="shared" si="45"/>
        <v>1652.0067769750026</v>
      </c>
      <c r="AB18" s="8">
        <f t="shared" si="46"/>
        <v>1506.2020274294473</v>
      </c>
      <c r="AC18" s="8">
        <f t="shared" si="47"/>
        <v>11313.132211640092</v>
      </c>
      <c r="AD18" s="8">
        <f t="shared" si="48"/>
        <v>99274.604335032956</v>
      </c>
      <c r="AE18" s="8">
        <f t="shared" si="49"/>
        <v>1.4523654200385554E-2</v>
      </c>
      <c r="AF18" s="8">
        <f t="shared" si="50"/>
        <v>1.324180851265112E-2</v>
      </c>
      <c r="AG18" s="8">
        <f t="shared" si="51"/>
        <v>9.9459652620777342E-2</v>
      </c>
      <c r="AH18" s="8">
        <f t="shared" si="52"/>
        <v>0.87277488466618591</v>
      </c>
      <c r="AI18" s="8"/>
      <c r="AN18" s="10">
        <v>12</v>
      </c>
      <c r="AO18" s="8">
        <f t="shared" si="53"/>
        <v>0.54895864474339806</v>
      </c>
      <c r="AP18" s="8">
        <f t="shared" si="54"/>
        <v>0.28568901468246949</v>
      </c>
      <c r="AV18" s="5">
        <f t="shared" si="55"/>
        <v>27544</v>
      </c>
      <c r="AW18" s="5">
        <f t="shared" si="55"/>
        <v>161500</v>
      </c>
    </row>
    <row r="19" spans="1:49" x14ac:dyDescent="0.2">
      <c r="A19" s="5" t="s">
        <v>359</v>
      </c>
      <c r="B19" s="10">
        <v>12</v>
      </c>
      <c r="C19" s="5">
        <v>12069</v>
      </c>
      <c r="D19" s="5">
        <v>8474</v>
      </c>
      <c r="E19" s="5">
        <v>3571</v>
      </c>
      <c r="F19" s="5">
        <v>1445</v>
      </c>
      <c r="G19" s="5">
        <v>5200</v>
      </c>
      <c r="H19" s="5">
        <v>27663</v>
      </c>
      <c r="I19" s="7">
        <v>165700</v>
      </c>
      <c r="J19" s="7">
        <v>292700</v>
      </c>
      <c r="K19" s="5">
        <v>12629</v>
      </c>
      <c r="L19" s="5">
        <v>50105</v>
      </c>
      <c r="M19" s="7">
        <v>572300</v>
      </c>
      <c r="N19" s="7">
        <v>1796000</v>
      </c>
      <c r="O19" s="8">
        <f t="shared" si="41"/>
        <v>1.0046254096518861</v>
      </c>
      <c r="P19" s="8">
        <f t="shared" si="41"/>
        <v>1.1635088671350018</v>
      </c>
      <c r="Q19" s="8">
        <f t="shared" si="41"/>
        <v>3.3774096858028329</v>
      </c>
      <c r="R19" s="8">
        <f t="shared" si="41"/>
        <v>8.5654149937889787</v>
      </c>
      <c r="S19" s="8">
        <f t="shared" si="42"/>
        <v>0.53062886750546134</v>
      </c>
      <c r="T19" s="8">
        <f t="shared" si="42"/>
        <v>0.82430415679899816</v>
      </c>
      <c r="U19" s="8">
        <f t="shared" si="42"/>
        <v>20.161815270154509</v>
      </c>
      <c r="V19" s="8">
        <f t="shared" si="42"/>
        <v>328.86952098233689</v>
      </c>
      <c r="W19" s="8">
        <f t="shared" si="43"/>
        <v>0.14061664988894726</v>
      </c>
      <c r="X19" s="8">
        <f t="shared" si="44"/>
        <v>0.1796916525876032</v>
      </c>
      <c r="Y19" s="8">
        <f t="shared" si="44"/>
        <v>3.8551733967141417</v>
      </c>
      <c r="Z19" s="8">
        <f t="shared" si="44"/>
        <v>56.082279447219449</v>
      </c>
      <c r="AA19" s="8">
        <f t="shared" si="45"/>
        <v>1697.1023475097045</v>
      </c>
      <c r="AB19" s="8">
        <f t="shared" si="46"/>
        <v>1522.7070640273496</v>
      </c>
      <c r="AC19" s="8">
        <f t="shared" si="47"/>
        <v>13766.8241996662</v>
      </c>
      <c r="AD19" s="8">
        <f t="shared" si="48"/>
        <v>81038.893801232101</v>
      </c>
      <c r="AE19" s="8">
        <f t="shared" si="49"/>
        <v>1.7312861173082686E-2</v>
      </c>
      <c r="AF19" s="8">
        <f t="shared" si="50"/>
        <v>1.5533780885673474E-2</v>
      </c>
      <c r="AG19" s="8">
        <f t="shared" si="51"/>
        <v>0.14044121529429041</v>
      </c>
      <c r="AH19" s="8">
        <f t="shared" si="52"/>
        <v>0.82671214264695336</v>
      </c>
      <c r="AI19" s="8"/>
      <c r="AN19" s="10">
        <v>12</v>
      </c>
      <c r="AO19" s="8">
        <f t="shared" si="53"/>
        <v>0.55210058876359647</v>
      </c>
      <c r="AP19" s="8">
        <f t="shared" si="54"/>
        <v>0.28953346147125636</v>
      </c>
      <c r="AV19" s="5">
        <f t="shared" si="55"/>
        <v>27663</v>
      </c>
      <c r="AW19" s="5">
        <f t="shared" si="55"/>
        <v>165700</v>
      </c>
    </row>
    <row r="20" spans="1:49" x14ac:dyDescent="0.2">
      <c r="A20" s="5" t="s">
        <v>360</v>
      </c>
      <c r="B20" s="10">
        <v>20</v>
      </c>
      <c r="C20" s="5">
        <v>3803</v>
      </c>
      <c r="D20" s="5">
        <v>3003</v>
      </c>
      <c r="E20" s="5">
        <v>2298</v>
      </c>
      <c r="F20" s="5">
        <v>929</v>
      </c>
      <c r="G20" s="5">
        <v>10284</v>
      </c>
      <c r="H20" s="5">
        <v>31851</v>
      </c>
      <c r="I20" s="7">
        <v>202400</v>
      </c>
      <c r="J20" s="7">
        <v>296300</v>
      </c>
      <c r="K20" s="5">
        <v>22371</v>
      </c>
      <c r="L20" s="5">
        <v>49655</v>
      </c>
      <c r="M20" s="7">
        <v>659900</v>
      </c>
      <c r="N20" s="7">
        <v>1630000</v>
      </c>
      <c r="O20" s="8">
        <f t="shared" si="41"/>
        <v>1.0459276468917331</v>
      </c>
      <c r="P20" s="8">
        <f t="shared" si="41"/>
        <v>1.1616010446388068</v>
      </c>
      <c r="Q20" s="8">
        <f t="shared" si="41"/>
        <v>3.7487991317287839</v>
      </c>
      <c r="R20" s="8">
        <f t="shared" si="41"/>
        <v>7.8616404729703948</v>
      </c>
      <c r="S20" s="8">
        <f t="shared" si="42"/>
        <v>0.59880211567479957</v>
      </c>
      <c r="T20" s="8">
        <f t="shared" si="42"/>
        <v>0.82025593127200258</v>
      </c>
      <c r="U20" s="8">
        <f t="shared" si="42"/>
        <v>27.571151819566381</v>
      </c>
      <c r="V20" s="8">
        <f t="shared" si="42"/>
        <v>254.28335584101617</v>
      </c>
      <c r="W20" s="8">
        <f t="shared" si="43"/>
        <v>0.15868256065382189</v>
      </c>
      <c r="X20" s="8">
        <f t="shared" si="44"/>
        <v>0.17884526845055432</v>
      </c>
      <c r="Y20" s="8">
        <f t="shared" si="44"/>
        <v>5.2047066709658507</v>
      </c>
      <c r="Z20" s="8">
        <f t="shared" si="44"/>
        <v>43.822777417201323</v>
      </c>
      <c r="AA20" s="8">
        <f t="shared" ref="AA20:AA31" si="56">W20*C20</f>
        <v>603.46977816648462</v>
      </c>
      <c r="AB20" s="8">
        <f t="shared" ref="AB20:AB31" si="57">X20*D20</f>
        <v>537.07234115701465</v>
      </c>
      <c r="AC20" s="8">
        <f t="shared" ref="AC20:AC31" si="58">Y20*E20</f>
        <v>11960.415929879526</v>
      </c>
      <c r="AD20" s="8">
        <f t="shared" ref="AD20:AD31" si="59">Z20*F20</f>
        <v>40711.360220580027</v>
      </c>
      <c r="AE20" s="8">
        <f t="shared" ref="AE20:AE31" si="60">AA20/(AA20+AB20+AC20+AD20)</f>
        <v>1.1214342692709224E-2</v>
      </c>
      <c r="AF20" s="8">
        <f t="shared" ref="AF20:AF31" si="61">AB20/(AA20+AB20+AC20+AD20)</f>
        <v>9.980472100541227E-3</v>
      </c>
      <c r="AG20" s="8">
        <f t="shared" ref="AG20:AG31" si="62">AC20/(AA20+AB20+AC20+AD20)</f>
        <v>0.22226167380333056</v>
      </c>
      <c r="AH20" s="8">
        <f t="shared" ref="AH20:AH31" si="63">AD20/(AA20+AB20+AC20+AD20)</f>
        <v>0.75654351140341902</v>
      </c>
      <c r="AN20" s="10">
        <v>20</v>
      </c>
      <c r="AO20" s="8">
        <f t="shared" si="53"/>
        <v>0.64144597724297658</v>
      </c>
      <c r="AP20" s="8">
        <f t="shared" si="54"/>
        <v>0.30671313835429609</v>
      </c>
      <c r="AV20" s="5">
        <f t="shared" si="55"/>
        <v>31851</v>
      </c>
      <c r="AW20" s="5">
        <f t="shared" si="55"/>
        <v>202400</v>
      </c>
    </row>
    <row r="21" spans="1:49" x14ac:dyDescent="0.2">
      <c r="A21" s="5" t="s">
        <v>361</v>
      </c>
      <c r="B21" s="10">
        <v>20</v>
      </c>
      <c r="C21" s="5">
        <v>12764</v>
      </c>
      <c r="D21" s="5">
        <v>8770</v>
      </c>
      <c r="E21" s="5">
        <v>5967</v>
      </c>
      <c r="F21" s="5">
        <v>1832</v>
      </c>
      <c r="G21" s="5">
        <v>11071</v>
      </c>
      <c r="H21" s="5">
        <v>34468</v>
      </c>
      <c r="I21" s="7">
        <v>179300</v>
      </c>
      <c r="J21" s="7">
        <v>295000</v>
      </c>
      <c r="K21" s="5">
        <v>13520</v>
      </c>
      <c r="L21" s="5">
        <v>49428</v>
      </c>
      <c r="M21" s="7">
        <v>533000</v>
      </c>
      <c r="N21" s="7">
        <v>1724000</v>
      </c>
      <c r="O21" s="8">
        <f t="shared" si="41"/>
        <v>1.008402898194352</v>
      </c>
      <c r="P21" s="8">
        <f t="shared" si="41"/>
        <v>1.1606386541796152</v>
      </c>
      <c r="Q21" s="8">
        <f t="shared" si="41"/>
        <v>3.2107931878018068</v>
      </c>
      <c r="R21" s="8">
        <f t="shared" si="41"/>
        <v>8.2601633943977859</v>
      </c>
      <c r="S21" s="8">
        <f t="shared" si="42"/>
        <v>0.53663704965735792</v>
      </c>
      <c r="T21" s="8">
        <f t="shared" si="42"/>
        <v>0.81821886534314159</v>
      </c>
      <c r="U21" s="8">
        <f t="shared" si="42"/>
        <v>17.322692506665632</v>
      </c>
      <c r="V21" s="8">
        <f t="shared" si="42"/>
        <v>294.94722349151164</v>
      </c>
      <c r="W21" s="8">
        <f t="shared" si="43"/>
        <v>0.14220881815919983</v>
      </c>
      <c r="X21" s="8">
        <f t="shared" si="44"/>
        <v>0.17841930346994911</v>
      </c>
      <c r="Y21" s="8">
        <f t="shared" si="44"/>
        <v>3.3329758363063386</v>
      </c>
      <c r="Z21" s="8">
        <f t="shared" si="44"/>
        <v>50.522495682914347</v>
      </c>
      <c r="AA21" s="8">
        <f t="shared" si="56"/>
        <v>1815.1533549840267</v>
      </c>
      <c r="AB21" s="8">
        <f t="shared" si="57"/>
        <v>1564.7372914314537</v>
      </c>
      <c r="AC21" s="8">
        <f t="shared" si="58"/>
        <v>19887.866815239922</v>
      </c>
      <c r="AD21" s="8">
        <f t="shared" si="59"/>
        <v>92557.212091099078</v>
      </c>
      <c r="AE21" s="8">
        <f t="shared" si="60"/>
        <v>1.5671520242941085E-2</v>
      </c>
      <c r="AF21" s="8">
        <f t="shared" si="61"/>
        <v>1.3509498836680178E-2</v>
      </c>
      <c r="AG21" s="8">
        <f t="shared" si="62"/>
        <v>0.17170621233085367</v>
      </c>
      <c r="AH21" s="8">
        <f t="shared" si="63"/>
        <v>0.79911276858952507</v>
      </c>
      <c r="AN21" s="10">
        <v>20</v>
      </c>
      <c r="AO21" s="8">
        <f t="shared" si="53"/>
        <v>0.69733754147446791</v>
      </c>
      <c r="AP21" s="8">
        <f t="shared" si="54"/>
        <v>0.33639774859287053</v>
      </c>
      <c r="AV21" s="5">
        <f t="shared" si="55"/>
        <v>34468</v>
      </c>
      <c r="AW21" s="5">
        <f t="shared" si="55"/>
        <v>179300</v>
      </c>
    </row>
    <row r="22" spans="1:49" x14ac:dyDescent="0.2">
      <c r="A22" s="5" t="s">
        <v>362</v>
      </c>
      <c r="B22" s="10">
        <v>20</v>
      </c>
      <c r="C22" s="5">
        <v>15050</v>
      </c>
      <c r="D22" s="5">
        <v>8445</v>
      </c>
      <c r="E22" s="5">
        <v>5709</v>
      </c>
      <c r="F22" s="5">
        <v>2421</v>
      </c>
      <c r="G22" s="5">
        <v>9408</v>
      </c>
      <c r="H22" s="5">
        <v>29759</v>
      </c>
      <c r="I22" s="7">
        <v>185600</v>
      </c>
      <c r="J22" s="7">
        <v>295000</v>
      </c>
      <c r="K22" s="5">
        <v>12661</v>
      </c>
      <c r="L22" s="5">
        <v>44582</v>
      </c>
      <c r="M22" s="7">
        <v>570400</v>
      </c>
      <c r="N22" s="7">
        <v>1661000</v>
      </c>
      <c r="O22" s="8">
        <f t="shared" si="41"/>
        <v>1.0047610770293931</v>
      </c>
      <c r="P22" s="8">
        <f t="shared" si="41"/>
        <v>1.1400935256983691</v>
      </c>
      <c r="Q22" s="8">
        <f t="shared" si="41"/>
        <v>3.3693544352633431</v>
      </c>
      <c r="R22" s="8">
        <f t="shared" si="41"/>
        <v>7.993068244930492</v>
      </c>
      <c r="S22" s="8">
        <f t="shared" si="42"/>
        <v>0.53084386928092719</v>
      </c>
      <c r="T22" s="8">
        <f t="shared" si="42"/>
        <v>0.77553220287214208</v>
      </c>
      <c r="U22" s="8">
        <f t="shared" si="42"/>
        <v>20.017898973967718</v>
      </c>
      <c r="V22" s="8">
        <f t="shared" si="42"/>
        <v>267.25076724128621</v>
      </c>
      <c r="W22" s="8">
        <f t="shared" si="43"/>
        <v>0.14067362535944572</v>
      </c>
      <c r="X22" s="8">
        <f t="shared" si="44"/>
        <v>0.16948303899118289</v>
      </c>
      <c r="Y22" s="8">
        <f t="shared" si="44"/>
        <v>3.8287793142308262</v>
      </c>
      <c r="Z22" s="8">
        <f t="shared" si="44"/>
        <v>45.963731951952028</v>
      </c>
      <c r="AA22" s="8">
        <f t="shared" si="56"/>
        <v>2117.138061659658</v>
      </c>
      <c r="AB22" s="8">
        <f t="shared" si="57"/>
        <v>1431.2842642805394</v>
      </c>
      <c r="AC22" s="8">
        <f t="shared" si="58"/>
        <v>21858.501104943785</v>
      </c>
      <c r="AD22" s="8">
        <f t="shared" si="59"/>
        <v>111278.19505567585</v>
      </c>
      <c r="AE22" s="8">
        <f t="shared" si="60"/>
        <v>1.5489162866459636E-2</v>
      </c>
      <c r="AF22" s="8">
        <f t="shared" si="61"/>
        <v>1.047139791169934E-2</v>
      </c>
      <c r="AG22" s="8">
        <f t="shared" si="62"/>
        <v>0.15991866083865683</v>
      </c>
      <c r="AH22" s="8">
        <f t="shared" si="63"/>
        <v>0.8141207783831842</v>
      </c>
      <c r="AN22" s="10">
        <v>20</v>
      </c>
      <c r="AO22" s="8">
        <f t="shared" si="53"/>
        <v>0.667511551747342</v>
      </c>
      <c r="AP22" s="8">
        <f t="shared" si="54"/>
        <v>0.32538569424964936</v>
      </c>
      <c r="AV22" s="5">
        <f t="shared" si="55"/>
        <v>29759</v>
      </c>
      <c r="AW22" s="5">
        <f t="shared" si="55"/>
        <v>185600</v>
      </c>
    </row>
    <row r="23" spans="1:49" x14ac:dyDescent="0.2">
      <c r="A23" s="5" t="s">
        <v>363</v>
      </c>
      <c r="B23" s="10">
        <v>30</v>
      </c>
      <c r="C23" s="5">
        <v>3004</v>
      </c>
      <c r="D23" s="5">
        <v>3259</v>
      </c>
      <c r="E23" s="5">
        <v>928</v>
      </c>
      <c r="F23" s="5">
        <v>427</v>
      </c>
      <c r="G23" s="5">
        <v>13484</v>
      </c>
      <c r="H23" s="5">
        <v>59327</v>
      </c>
      <c r="I23" s="7">
        <v>255400</v>
      </c>
      <c r="J23" s="7">
        <v>295200</v>
      </c>
      <c r="K23" s="5">
        <v>37471</v>
      </c>
      <c r="L23" s="5">
        <v>77181</v>
      </c>
      <c r="M23" s="7">
        <v>750100</v>
      </c>
      <c r="N23" s="7">
        <v>1488000</v>
      </c>
      <c r="O23" s="8">
        <f t="shared" si="41"/>
        <v>1.1099456906529417</v>
      </c>
      <c r="P23" s="8">
        <f t="shared" si="41"/>
        <v>1.2783004269282785</v>
      </c>
      <c r="Q23" s="8">
        <f t="shared" si="41"/>
        <v>4.131211552077195</v>
      </c>
      <c r="R23" s="8">
        <f t="shared" si="41"/>
        <v>7.2596164852822094</v>
      </c>
      <c r="S23" s="8">
        <f t="shared" si="42"/>
        <v>0.7156218393019973</v>
      </c>
      <c r="T23" s="8">
        <f t="shared" si="42"/>
        <v>1.0931435575072732</v>
      </c>
      <c r="U23" s="8">
        <f t="shared" si="42"/>
        <v>36.898669171860284</v>
      </c>
      <c r="V23" s="8">
        <f t="shared" si="42"/>
        <v>200.22552091612519</v>
      </c>
      <c r="W23" s="8">
        <f t="shared" si="43"/>
        <v>0.18963978741502927</v>
      </c>
      <c r="X23" s="8">
        <f t="shared" si="44"/>
        <v>0.23555451575695369</v>
      </c>
      <c r="Y23" s="8">
        <f t="shared" si="44"/>
        <v>6.8827701079725356</v>
      </c>
      <c r="Z23" s="8">
        <f t="shared" si="44"/>
        <v>34.846337249865556</v>
      </c>
      <c r="AA23" s="8">
        <f t="shared" si="56"/>
        <v>569.67792139474795</v>
      </c>
      <c r="AB23" s="8">
        <f t="shared" si="57"/>
        <v>767.67216685191204</v>
      </c>
      <c r="AC23" s="8">
        <f t="shared" si="58"/>
        <v>6387.2106601985133</v>
      </c>
      <c r="AD23" s="8">
        <f t="shared" si="59"/>
        <v>14879.386005692593</v>
      </c>
      <c r="AE23" s="8">
        <f t="shared" si="60"/>
        <v>2.5202586415156263E-2</v>
      </c>
      <c r="AF23" s="8">
        <f t="shared" si="61"/>
        <v>3.3961864058602319E-2</v>
      </c>
      <c r="AG23" s="8">
        <f t="shared" si="62"/>
        <v>0.28257059396183998</v>
      </c>
      <c r="AH23" s="8">
        <f t="shared" si="63"/>
        <v>0.65826495556440145</v>
      </c>
      <c r="AN23" s="10">
        <v>30</v>
      </c>
      <c r="AO23" s="8">
        <f t="shared" si="53"/>
        <v>0.76867363729415272</v>
      </c>
      <c r="AP23" s="8">
        <f t="shared" si="54"/>
        <v>0.34048793494200774</v>
      </c>
      <c r="AV23" s="5">
        <f t="shared" si="55"/>
        <v>59327</v>
      </c>
      <c r="AW23" s="5">
        <f t="shared" si="55"/>
        <v>255400</v>
      </c>
    </row>
    <row r="24" spans="1:49" x14ac:dyDescent="0.2">
      <c r="A24" s="5" t="s">
        <v>364</v>
      </c>
      <c r="B24" s="10">
        <v>30</v>
      </c>
      <c r="C24" s="5">
        <v>9675</v>
      </c>
      <c r="D24" s="5">
        <v>9839</v>
      </c>
      <c r="E24" s="5">
        <v>2113</v>
      </c>
      <c r="F24" s="5">
        <v>922</v>
      </c>
      <c r="G24" s="5">
        <v>14871</v>
      </c>
      <c r="H24" s="5">
        <v>61659</v>
      </c>
      <c r="I24" s="7">
        <v>243600</v>
      </c>
      <c r="J24" s="7">
        <v>294700</v>
      </c>
      <c r="K24" s="5">
        <v>9482</v>
      </c>
      <c r="L24" s="5">
        <v>73096</v>
      </c>
      <c r="M24" s="7">
        <v>685700</v>
      </c>
      <c r="N24" s="7">
        <v>1486000</v>
      </c>
      <c r="O24" s="8">
        <f t="shared" si="41"/>
        <v>0.99128337099516262</v>
      </c>
      <c r="P24" s="8">
        <f t="shared" si="41"/>
        <v>1.2609816382683756</v>
      </c>
      <c r="Q24" s="8">
        <f t="shared" si="41"/>
        <v>3.8581809548439612</v>
      </c>
      <c r="R24" s="8">
        <f t="shared" si="41"/>
        <v>7.2511372741880091</v>
      </c>
      <c r="S24" s="8">
        <f t="shared" si="42"/>
        <v>0.50976716720460613</v>
      </c>
      <c r="T24" s="8">
        <f t="shared" si="42"/>
        <v>1.0493121115119837</v>
      </c>
      <c r="U24" s="8">
        <f t="shared" si="42"/>
        <v>30.055653575290801</v>
      </c>
      <c r="V24" s="8">
        <f t="shared" si="42"/>
        <v>199.52475155945382</v>
      </c>
      <c r="W24" s="8">
        <f t="shared" si="43"/>
        <v>0.13508829930922062</v>
      </c>
      <c r="X24" s="8">
        <f t="shared" si="44"/>
        <v>0.2264892499491484</v>
      </c>
      <c r="Y24" s="8">
        <f t="shared" si="44"/>
        <v>5.6536797328483166</v>
      </c>
      <c r="Z24" s="8">
        <f t="shared" si="44"/>
        <v>34.729370449565415</v>
      </c>
      <c r="AA24" s="8">
        <f t="shared" si="56"/>
        <v>1306.9792958167095</v>
      </c>
      <c r="AB24" s="8">
        <f t="shared" si="57"/>
        <v>2228.4277302496712</v>
      </c>
      <c r="AC24" s="8">
        <f t="shared" si="58"/>
        <v>11946.225275508494</v>
      </c>
      <c r="AD24" s="8">
        <f t="shared" si="59"/>
        <v>32020.479554499314</v>
      </c>
      <c r="AE24" s="8">
        <f t="shared" si="60"/>
        <v>2.7514130314389033E-2</v>
      </c>
      <c r="AF24" s="8">
        <f t="shared" si="61"/>
        <v>4.6912182283632885E-2</v>
      </c>
      <c r="AG24" s="8">
        <f t="shared" si="62"/>
        <v>0.25148829828248798</v>
      </c>
      <c r="AH24" s="8">
        <f t="shared" si="63"/>
        <v>0.67408538911949012</v>
      </c>
      <c r="AN24" s="10">
        <v>30</v>
      </c>
      <c r="AO24" s="8">
        <f t="shared" si="53"/>
        <v>0.84353452993323852</v>
      </c>
      <c r="AP24" s="8">
        <f t="shared" si="54"/>
        <v>0.35525740119585825</v>
      </c>
      <c r="AV24" s="5">
        <f t="shared" si="55"/>
        <v>61659</v>
      </c>
      <c r="AW24" s="5">
        <f t="shared" si="55"/>
        <v>243600</v>
      </c>
    </row>
    <row r="25" spans="1:49" x14ac:dyDescent="0.2">
      <c r="A25" s="5" t="s">
        <v>365</v>
      </c>
      <c r="B25" s="10">
        <v>30</v>
      </c>
      <c r="C25" s="5">
        <v>10011</v>
      </c>
      <c r="D25" s="5">
        <v>8818</v>
      </c>
      <c r="E25" s="5">
        <v>2376</v>
      </c>
      <c r="F25" s="5">
        <v>995</v>
      </c>
      <c r="G25" s="5">
        <v>14828</v>
      </c>
      <c r="H25" s="5">
        <v>57780</v>
      </c>
      <c r="I25" s="7">
        <v>235300</v>
      </c>
      <c r="J25" s="7">
        <v>292800</v>
      </c>
      <c r="K25" s="5">
        <v>14789</v>
      </c>
      <c r="L25" s="5">
        <v>66276</v>
      </c>
      <c r="M25" s="7">
        <v>620300</v>
      </c>
      <c r="N25" s="7">
        <v>1540000</v>
      </c>
      <c r="O25" s="8">
        <f t="shared" si="41"/>
        <v>1.0137829576336217</v>
      </c>
      <c r="P25" s="8">
        <f t="shared" si="41"/>
        <v>1.2320675284371543</v>
      </c>
      <c r="Q25" s="8">
        <f t="shared" si="41"/>
        <v>3.5809107520636281</v>
      </c>
      <c r="R25" s="8">
        <f t="shared" si="41"/>
        <v>7.4800759737314042</v>
      </c>
      <c r="S25" s="8">
        <f t="shared" si="42"/>
        <v>0.54527219986275322</v>
      </c>
      <c r="T25" s="8">
        <f t="shared" si="42"/>
        <v>0.97877289257081046</v>
      </c>
      <c r="U25" s="8">
        <f t="shared" si="42"/>
        <v>24.030283199358752</v>
      </c>
      <c r="V25" s="8">
        <f t="shared" si="42"/>
        <v>219.02637957535634</v>
      </c>
      <c r="W25" s="8">
        <f t="shared" si="43"/>
        <v>0.14449713296362962</v>
      </c>
      <c r="X25" s="8">
        <f t="shared" si="44"/>
        <v>0.2118673203043461</v>
      </c>
      <c r="Y25" s="8">
        <f t="shared" si="44"/>
        <v>4.5619211510080744</v>
      </c>
      <c r="Z25" s="8">
        <f t="shared" si="44"/>
        <v>37.978348124392738</v>
      </c>
      <c r="AA25" s="8">
        <f t="shared" si="56"/>
        <v>1446.5607980988962</v>
      </c>
      <c r="AB25" s="8">
        <f t="shared" si="57"/>
        <v>1868.2460304437238</v>
      </c>
      <c r="AC25" s="8">
        <f t="shared" si="58"/>
        <v>10839.124654795185</v>
      </c>
      <c r="AD25" s="8">
        <f t="shared" si="59"/>
        <v>37788.456383770776</v>
      </c>
      <c r="AE25" s="8">
        <f t="shared" si="60"/>
        <v>2.7849331875150471E-2</v>
      </c>
      <c r="AF25" s="8">
        <f t="shared" si="61"/>
        <v>3.5967657767746776E-2</v>
      </c>
      <c r="AG25" s="8">
        <f t="shared" si="62"/>
        <v>0.20867590228093519</v>
      </c>
      <c r="AH25" s="8">
        <f t="shared" si="63"/>
        <v>0.72750710807616747</v>
      </c>
      <c r="AN25" s="10">
        <v>30</v>
      </c>
      <c r="AO25" s="8">
        <f t="shared" si="53"/>
        <v>0.87180879956545354</v>
      </c>
      <c r="AP25" s="8">
        <f t="shared" si="54"/>
        <v>0.3793325810091891</v>
      </c>
      <c r="AV25" s="5">
        <f t="shared" si="55"/>
        <v>57780</v>
      </c>
      <c r="AW25" s="5">
        <f t="shared" si="55"/>
        <v>235300</v>
      </c>
    </row>
    <row r="26" spans="1:49" x14ac:dyDescent="0.2">
      <c r="A26" s="5" t="s">
        <v>366</v>
      </c>
      <c r="B26" s="10">
        <v>40</v>
      </c>
      <c r="C26" s="5">
        <v>2440</v>
      </c>
      <c r="D26" s="5">
        <v>2187</v>
      </c>
      <c r="E26" s="5">
        <v>467</v>
      </c>
      <c r="F26" s="5">
        <v>172</v>
      </c>
      <c r="G26" s="5">
        <v>15694</v>
      </c>
      <c r="H26" s="5">
        <v>71252</v>
      </c>
      <c r="I26" s="7">
        <v>229100</v>
      </c>
      <c r="J26" s="7">
        <v>291200</v>
      </c>
      <c r="K26" s="5">
        <v>29837</v>
      </c>
      <c r="L26" s="5">
        <v>80622</v>
      </c>
      <c r="M26" s="7">
        <v>529400</v>
      </c>
      <c r="N26" s="7">
        <v>1539000</v>
      </c>
      <c r="O26" s="8">
        <f t="shared" si="41"/>
        <v>1.0775805419063811</v>
      </c>
      <c r="P26" s="8">
        <f t="shared" si="41"/>
        <v>1.2928889096158493</v>
      </c>
      <c r="Q26" s="8">
        <f t="shared" si="41"/>
        <v>3.1955306078322474</v>
      </c>
      <c r="R26" s="8">
        <f t="shared" si="41"/>
        <v>7.4758363681843045</v>
      </c>
      <c r="S26" s="8">
        <f t="shared" si="42"/>
        <v>0.65482857045809539</v>
      </c>
      <c r="T26" s="8">
        <f t="shared" si="42"/>
        <v>1.1309984975159717</v>
      </c>
      <c r="U26" s="8">
        <f t="shared" si="42"/>
        <v>17.076833452684824</v>
      </c>
      <c r="V26" s="8">
        <f t="shared" si="42"/>
        <v>218.6541670817119</v>
      </c>
      <c r="W26" s="8">
        <f t="shared" si="43"/>
        <v>0.17352957117139528</v>
      </c>
      <c r="X26" s="8">
        <f t="shared" si="44"/>
        <v>0.24337170509225764</v>
      </c>
      <c r="Y26" s="8">
        <f t="shared" si="44"/>
        <v>3.2875975020040813</v>
      </c>
      <c r="Z26" s="8">
        <f t="shared" si="44"/>
        <v>37.91645187428432</v>
      </c>
      <c r="AA26" s="8">
        <f t="shared" si="56"/>
        <v>423.41215365820449</v>
      </c>
      <c r="AB26" s="8">
        <f t="shared" si="57"/>
        <v>532.25391903676746</v>
      </c>
      <c r="AC26" s="8">
        <f t="shared" si="58"/>
        <v>1535.3080334359061</v>
      </c>
      <c r="AD26" s="8">
        <f t="shared" si="59"/>
        <v>6521.6297223769034</v>
      </c>
      <c r="AE26" s="8">
        <f t="shared" si="60"/>
        <v>4.6980002862092841E-2</v>
      </c>
      <c r="AF26" s="8">
        <f t="shared" si="61"/>
        <v>5.905661994741123E-2</v>
      </c>
      <c r="AG26" s="8">
        <f t="shared" si="62"/>
        <v>0.17035121732296396</v>
      </c>
      <c r="AH26" s="8">
        <f t="shared" si="63"/>
        <v>0.72361215986753202</v>
      </c>
      <c r="AN26" s="10">
        <v>40</v>
      </c>
      <c r="AO26" s="8">
        <f t="shared" si="53"/>
        <v>0.88377862122001438</v>
      </c>
      <c r="AP26" s="8">
        <f t="shared" si="54"/>
        <v>0.43275406120136001</v>
      </c>
      <c r="AV26" s="5">
        <f t="shared" si="55"/>
        <v>71252</v>
      </c>
      <c r="AW26" s="5">
        <f t="shared" si="55"/>
        <v>229100</v>
      </c>
    </row>
    <row r="27" spans="1:49" x14ac:dyDescent="0.2">
      <c r="A27" s="5" t="s">
        <v>367</v>
      </c>
      <c r="B27" s="10">
        <v>40</v>
      </c>
      <c r="C27" s="5">
        <v>8133</v>
      </c>
      <c r="D27" s="5">
        <v>7467</v>
      </c>
      <c r="E27" s="5">
        <v>1412</v>
      </c>
      <c r="F27" s="5">
        <v>538</v>
      </c>
      <c r="G27" s="5">
        <v>16751</v>
      </c>
      <c r="H27" s="5">
        <v>72196</v>
      </c>
      <c r="I27" s="7">
        <v>223500</v>
      </c>
      <c r="J27" s="7">
        <v>290300</v>
      </c>
      <c r="K27" s="5">
        <v>21732</v>
      </c>
      <c r="L27" s="5">
        <v>74634</v>
      </c>
      <c r="M27" s="7">
        <v>476900</v>
      </c>
      <c r="N27" s="7">
        <v>1480000</v>
      </c>
      <c r="O27" s="8">
        <f t="shared" si="41"/>
        <v>1.0432185389471365</v>
      </c>
      <c r="P27" s="8">
        <f t="shared" si="41"/>
        <v>1.2675021515998151</v>
      </c>
      <c r="Q27" s="8">
        <f t="shared" si="41"/>
        <v>2.9729513166095027</v>
      </c>
      <c r="R27" s="8">
        <f t="shared" si="41"/>
        <v>7.2256996409054102</v>
      </c>
      <c r="S27" s="8">
        <f t="shared" si="42"/>
        <v>0.5941611978873258</v>
      </c>
      <c r="T27" s="8">
        <f t="shared" si="42"/>
        <v>1.0656743515062872</v>
      </c>
      <c r="U27" s="8">
        <f t="shared" si="42"/>
        <v>13.751237730398724</v>
      </c>
      <c r="V27" s="8">
        <f t="shared" si="42"/>
        <v>197.43225778703851</v>
      </c>
      <c r="W27" s="8">
        <f t="shared" si="43"/>
        <v>0.15745271744014133</v>
      </c>
      <c r="X27" s="8">
        <f t="shared" si="44"/>
        <v>0.22987508790375841</v>
      </c>
      <c r="Y27" s="8">
        <f t="shared" si="44"/>
        <v>2.6709747152028829</v>
      </c>
      <c r="Z27" s="8">
        <f t="shared" si="44"/>
        <v>34.380007685859461</v>
      </c>
      <c r="AA27" s="8">
        <f t="shared" si="56"/>
        <v>1280.5629509406695</v>
      </c>
      <c r="AB27" s="8">
        <f t="shared" si="57"/>
        <v>1716.4772813773641</v>
      </c>
      <c r="AC27" s="8">
        <f t="shared" si="58"/>
        <v>3771.4162978664708</v>
      </c>
      <c r="AD27" s="8">
        <f t="shared" si="59"/>
        <v>18496.444134992391</v>
      </c>
      <c r="AE27" s="8">
        <f t="shared" si="60"/>
        <v>5.0685453622451575E-2</v>
      </c>
      <c r="AF27" s="8">
        <f t="shared" si="61"/>
        <v>6.7939205624632362E-2</v>
      </c>
      <c r="AG27" s="8">
        <f t="shared" si="62"/>
        <v>0.14927493077638287</v>
      </c>
      <c r="AH27" s="8">
        <f t="shared" si="63"/>
        <v>0.73210040997653325</v>
      </c>
      <c r="AN27" s="10">
        <v>40</v>
      </c>
      <c r="AO27" s="8">
        <f t="shared" si="53"/>
        <v>0.96733392287697295</v>
      </c>
      <c r="AP27" s="8">
        <f t="shared" si="54"/>
        <v>0.46865170895365904</v>
      </c>
      <c r="AV27" s="5">
        <f t="shared" si="55"/>
        <v>72196</v>
      </c>
      <c r="AW27" s="5">
        <f t="shared" si="55"/>
        <v>223500</v>
      </c>
    </row>
    <row r="28" spans="1:49" x14ac:dyDescent="0.2">
      <c r="A28" s="5" t="s">
        <v>368</v>
      </c>
      <c r="B28" s="10">
        <v>40</v>
      </c>
      <c r="C28" s="5">
        <v>8367</v>
      </c>
      <c r="D28" s="5">
        <v>7404</v>
      </c>
      <c r="E28" s="5">
        <v>1573</v>
      </c>
      <c r="F28" s="5">
        <v>613</v>
      </c>
      <c r="G28" s="5">
        <v>16766</v>
      </c>
      <c r="H28" s="5">
        <v>71110</v>
      </c>
      <c r="I28" s="7">
        <v>226100</v>
      </c>
      <c r="J28" s="7">
        <v>293000</v>
      </c>
      <c r="K28" s="5">
        <v>17148</v>
      </c>
      <c r="L28" s="5">
        <v>75956</v>
      </c>
      <c r="M28" s="7">
        <v>483200</v>
      </c>
      <c r="N28" s="7">
        <v>1418000</v>
      </c>
      <c r="O28" s="8">
        <f t="shared" si="41"/>
        <v>1.0237841871192304</v>
      </c>
      <c r="P28" s="8">
        <f t="shared" si="41"/>
        <v>1.2731069101330812</v>
      </c>
      <c r="Q28" s="8">
        <f t="shared" si="41"/>
        <v>2.9996608315562319</v>
      </c>
      <c r="R28" s="8">
        <f t="shared" si="41"/>
        <v>6.9628440969852168</v>
      </c>
      <c r="S28" s="8">
        <f t="shared" si="42"/>
        <v>0.56156967772068234</v>
      </c>
      <c r="T28" s="8">
        <f t="shared" si="42"/>
        <v>1.0798738484321899</v>
      </c>
      <c r="U28" s="8">
        <f t="shared" si="42"/>
        <v>14.125208091685087</v>
      </c>
      <c r="V28" s="8">
        <f t="shared" si="42"/>
        <v>176.66007523630776</v>
      </c>
      <c r="W28" s="8">
        <f t="shared" si="43"/>
        <v>0.14881596459598084</v>
      </c>
      <c r="X28" s="8">
        <f t="shared" si="44"/>
        <v>0.23281166130707021</v>
      </c>
      <c r="Y28" s="8">
        <f t="shared" si="44"/>
        <v>2.7405962901494556</v>
      </c>
      <c r="Z28" s="8">
        <f t="shared" si="44"/>
        <v>30.903362497190006</v>
      </c>
      <c r="AA28" s="8">
        <f t="shared" si="56"/>
        <v>1245.1431757745718</v>
      </c>
      <c r="AB28" s="8">
        <f t="shared" si="57"/>
        <v>1723.7375403175479</v>
      </c>
      <c r="AC28" s="8">
        <f t="shared" si="58"/>
        <v>4310.9579644050937</v>
      </c>
      <c r="AD28" s="8">
        <f t="shared" si="59"/>
        <v>18943.761210777473</v>
      </c>
      <c r="AE28" s="8">
        <f t="shared" si="60"/>
        <v>4.7481779043954418E-2</v>
      </c>
      <c r="AF28" s="8">
        <f t="shared" si="61"/>
        <v>6.573230019769645E-2</v>
      </c>
      <c r="AG28" s="8">
        <f t="shared" si="62"/>
        <v>0.1643923024405001</v>
      </c>
      <c r="AH28" s="8">
        <f t="shared" si="63"/>
        <v>0.72239361831784898</v>
      </c>
      <c r="AN28" s="10">
        <v>40</v>
      </c>
      <c r="AO28" s="8">
        <f t="shared" si="53"/>
        <v>0.93619990520827845</v>
      </c>
      <c r="AP28" s="8">
        <f t="shared" si="54"/>
        <v>0.4679221854304636</v>
      </c>
      <c r="AV28" s="5">
        <f t="shared" si="55"/>
        <v>71110</v>
      </c>
      <c r="AW28" s="5">
        <f t="shared" si="55"/>
        <v>226100</v>
      </c>
    </row>
    <row r="29" spans="1:49" x14ac:dyDescent="0.2">
      <c r="A29" s="5" t="s">
        <v>369</v>
      </c>
      <c r="B29" s="10">
        <v>50</v>
      </c>
      <c r="C29" s="5">
        <v>2157</v>
      </c>
      <c r="D29" s="5">
        <v>2685</v>
      </c>
      <c r="E29" s="5">
        <v>151</v>
      </c>
      <c r="F29" s="5">
        <v>100</v>
      </c>
      <c r="G29" s="5">
        <v>18009</v>
      </c>
      <c r="H29" s="5">
        <v>83860</v>
      </c>
      <c r="I29" s="7">
        <v>297100</v>
      </c>
      <c r="J29" s="7">
        <v>291100</v>
      </c>
      <c r="K29" s="5">
        <v>26682</v>
      </c>
      <c r="L29" s="5">
        <v>86881</v>
      </c>
      <c r="M29" s="7">
        <v>764600</v>
      </c>
      <c r="N29" s="7">
        <v>1491000</v>
      </c>
      <c r="O29" s="8">
        <f t="shared" si="41"/>
        <v>1.0642045864052809</v>
      </c>
      <c r="P29" s="8">
        <f t="shared" si="41"/>
        <v>1.3194246007351476</v>
      </c>
      <c r="Q29" s="8">
        <f t="shared" si="41"/>
        <v>4.1926858325101435</v>
      </c>
      <c r="R29" s="8">
        <f t="shared" si="41"/>
        <v>7.2723353019235093</v>
      </c>
      <c r="S29" s="8">
        <f t="shared" si="42"/>
        <v>0.63074494192827057</v>
      </c>
      <c r="T29" s="8">
        <f t="shared" si="42"/>
        <v>1.2020765622232805</v>
      </c>
      <c r="U29" s="8">
        <f t="shared" si="42"/>
        <v>38.570508148950516</v>
      </c>
      <c r="V29" s="8">
        <f t="shared" si="42"/>
        <v>201.27974849932568</v>
      </c>
      <c r="W29" s="8">
        <f t="shared" si="43"/>
        <v>0.1671474096109917</v>
      </c>
      <c r="X29" s="8">
        <f t="shared" si="44"/>
        <v>0.25802091568905916</v>
      </c>
      <c r="Y29" s="8">
        <f t="shared" si="44"/>
        <v>7.181561612518629</v>
      </c>
      <c r="Z29" s="8">
        <f t="shared" si="44"/>
        <v>35.022268865970446</v>
      </c>
      <c r="AA29" s="8">
        <f t="shared" si="56"/>
        <v>360.53696253090908</v>
      </c>
      <c r="AB29" s="8">
        <f t="shared" si="57"/>
        <v>692.78615862512379</v>
      </c>
      <c r="AC29" s="8">
        <f t="shared" si="58"/>
        <v>1084.415803490313</v>
      </c>
      <c r="AD29" s="8">
        <f t="shared" si="59"/>
        <v>3502.2268865970445</v>
      </c>
      <c r="AE29" s="8">
        <f t="shared" si="60"/>
        <v>6.3925380861736977E-2</v>
      </c>
      <c r="AF29" s="8">
        <f t="shared" si="61"/>
        <v>0.12283516989483165</v>
      </c>
      <c r="AG29" s="8">
        <f t="shared" si="62"/>
        <v>0.19227347111369139</v>
      </c>
      <c r="AH29" s="8">
        <f t="shared" si="63"/>
        <v>0.62096597812974008</v>
      </c>
      <c r="AN29" s="10">
        <v>50</v>
      </c>
      <c r="AO29" s="8">
        <f t="shared" si="53"/>
        <v>0.96522830077922672</v>
      </c>
      <c r="AP29" s="8">
        <f t="shared" si="54"/>
        <v>0.38856918650274652</v>
      </c>
      <c r="AV29" s="5">
        <f t="shared" si="55"/>
        <v>83860</v>
      </c>
      <c r="AW29" s="5">
        <f t="shared" si="55"/>
        <v>297100</v>
      </c>
    </row>
    <row r="30" spans="1:49" x14ac:dyDescent="0.2">
      <c r="A30" s="5" t="s">
        <v>370</v>
      </c>
      <c r="B30" s="10">
        <v>50</v>
      </c>
      <c r="C30" s="5">
        <v>5890</v>
      </c>
      <c r="D30" s="5">
        <v>7136</v>
      </c>
      <c r="E30" s="5">
        <v>366</v>
      </c>
      <c r="F30" s="5">
        <v>268</v>
      </c>
      <c r="G30" s="5">
        <v>18867</v>
      </c>
      <c r="H30" s="5">
        <v>83747</v>
      </c>
      <c r="I30" s="7">
        <v>297600</v>
      </c>
      <c r="J30" s="7">
        <v>288000</v>
      </c>
      <c r="K30" s="5">
        <v>12247</v>
      </c>
      <c r="L30" s="5">
        <v>84853</v>
      </c>
      <c r="M30" s="7">
        <v>778000</v>
      </c>
      <c r="N30" s="7">
        <v>1546000</v>
      </c>
      <c r="O30" s="8">
        <f t="shared" ref="O30:O31" si="64">(224333+K30)/235871</f>
        <v>1.0030058803328938</v>
      </c>
      <c r="P30" s="8">
        <f t="shared" ref="P30:P31" si="65">(224333+L30)/235871</f>
        <v>1.310826680685629</v>
      </c>
      <c r="Q30" s="8">
        <f t="shared" ref="Q30:Q31" si="66">(224333+M30)/235871</f>
        <v>4.2494965468412822</v>
      </c>
      <c r="R30" s="8">
        <f t="shared" ref="R30:R31" si="67">(224333+N30)/235871</f>
        <v>7.5055136070140032</v>
      </c>
      <c r="S30" s="8">
        <f t="shared" ref="S30:S31" si="68">4/3*3.14*((O30/2)^3)</f>
        <v>0.5280667651162525</v>
      </c>
      <c r="T30" s="8">
        <f t="shared" ref="T30:T31" si="69">4/3*3.14*((P30/2)^3)</f>
        <v>1.1787296692707068</v>
      </c>
      <c r="U30" s="8">
        <f t="shared" ref="U30:U31" si="70">4/3*3.14*((Q30/2)^3)</f>
        <v>40.159735120239084</v>
      </c>
      <c r="V30" s="8">
        <f t="shared" ref="V30:V31" si="71">4/3*3.14*((R30/2)^3)</f>
        <v>221.26852846552021</v>
      </c>
      <c r="W30" s="8">
        <f t="shared" si="43"/>
        <v>0.13993769275580692</v>
      </c>
      <c r="X30" s="8">
        <f t="shared" ref="X30:X31" si="72">(10^(-0.665+LOG(T30, 10)*0.959))</f>
        <v>0.25321313620323094</v>
      </c>
      <c r="Y30" s="8">
        <f t="shared" ref="Y30:Y31" si="73">(10^(-0.665+LOG(U30, 10)*0.959))</f>
        <v>7.4650963129180887</v>
      </c>
      <c r="Z30" s="8">
        <f t="shared" ref="Z30:Z31" si="74">(10^(-0.665+LOG(V30, 10)*0.959))</f>
        <v>38.351110332371221</v>
      </c>
      <c r="AA30" s="8">
        <f t="shared" si="56"/>
        <v>824.23301033170276</v>
      </c>
      <c r="AB30" s="8">
        <f t="shared" si="57"/>
        <v>1806.9289399462559</v>
      </c>
      <c r="AC30" s="8">
        <f t="shared" si="58"/>
        <v>2732.2252505280203</v>
      </c>
      <c r="AD30" s="8">
        <f t="shared" si="59"/>
        <v>10278.097569075488</v>
      </c>
      <c r="AE30" s="8">
        <f t="shared" si="60"/>
        <v>5.2695317769244542E-2</v>
      </c>
      <c r="AF30" s="8">
        <f t="shared" si="61"/>
        <v>0.11552157397650614</v>
      </c>
      <c r="AG30" s="8">
        <f t="shared" si="62"/>
        <v>0.1746781261961185</v>
      </c>
      <c r="AH30" s="8">
        <f t="shared" si="63"/>
        <v>0.65710498205813084</v>
      </c>
      <c r="AN30" s="10">
        <v>50</v>
      </c>
      <c r="AO30" s="8">
        <f t="shared" si="53"/>
        <v>0.98696569361130426</v>
      </c>
      <c r="AP30" s="8">
        <f t="shared" si="54"/>
        <v>0.38251928020565551</v>
      </c>
      <c r="AV30" s="5">
        <f t="shared" ref="AV30:AW31" si="75">H30</f>
        <v>83747</v>
      </c>
      <c r="AW30" s="5">
        <f t="shared" si="75"/>
        <v>297600</v>
      </c>
    </row>
    <row r="31" spans="1:49" x14ac:dyDescent="0.2">
      <c r="A31" s="5" t="s">
        <v>371</v>
      </c>
      <c r="B31" s="10">
        <v>50</v>
      </c>
      <c r="C31" s="5">
        <v>6178</v>
      </c>
      <c r="D31" s="5">
        <v>7335</v>
      </c>
      <c r="E31" s="5">
        <v>355</v>
      </c>
      <c r="F31" s="5">
        <v>259</v>
      </c>
      <c r="G31" s="5">
        <v>18699</v>
      </c>
      <c r="H31" s="5">
        <v>82360</v>
      </c>
      <c r="I31" s="7">
        <v>297700</v>
      </c>
      <c r="J31" s="7">
        <v>285100</v>
      </c>
      <c r="K31" s="5">
        <v>18608</v>
      </c>
      <c r="L31" s="5">
        <v>83063</v>
      </c>
      <c r="M31" s="7">
        <v>727400</v>
      </c>
      <c r="N31" s="7">
        <v>1417000</v>
      </c>
      <c r="O31" s="8">
        <f t="shared" si="64"/>
        <v>1.0299740112179963</v>
      </c>
      <c r="P31" s="8">
        <f t="shared" si="65"/>
        <v>1.3032377867563203</v>
      </c>
      <c r="Q31" s="8">
        <f t="shared" si="66"/>
        <v>4.0349725061580273</v>
      </c>
      <c r="R31" s="8">
        <f t="shared" si="67"/>
        <v>6.9586044914381162</v>
      </c>
      <c r="S31" s="8">
        <f t="shared" si="68"/>
        <v>0.57181717717238101</v>
      </c>
      <c r="T31" s="8">
        <f t="shared" si="69"/>
        <v>1.1583755670371014</v>
      </c>
      <c r="U31" s="8">
        <f t="shared" si="70"/>
        <v>34.379545991557833</v>
      </c>
      <c r="V31" s="8">
        <f t="shared" si="71"/>
        <v>176.3375720706338</v>
      </c>
      <c r="W31" s="8">
        <f t="shared" si="43"/>
        <v>0.15153155195068096</v>
      </c>
      <c r="X31" s="8">
        <f t="shared" si="72"/>
        <v>0.24901847186467224</v>
      </c>
      <c r="Y31" s="8">
        <f t="shared" si="73"/>
        <v>6.4314934484096167</v>
      </c>
      <c r="Z31" s="8">
        <f t="shared" si="74"/>
        <v>30.849257649682912</v>
      </c>
      <c r="AA31" s="8">
        <f t="shared" si="56"/>
        <v>936.16192795130701</v>
      </c>
      <c r="AB31" s="8">
        <f t="shared" si="57"/>
        <v>1826.5504911273708</v>
      </c>
      <c r="AC31" s="8">
        <f t="shared" si="58"/>
        <v>2283.1801741854138</v>
      </c>
      <c r="AD31" s="8">
        <f t="shared" si="59"/>
        <v>7989.9577312678739</v>
      </c>
      <c r="AE31" s="8">
        <f t="shared" si="60"/>
        <v>7.1814412151507925E-2</v>
      </c>
      <c r="AF31" s="8">
        <f t="shared" si="61"/>
        <v>0.14011747953948303</v>
      </c>
      <c r="AG31" s="8">
        <f t="shared" si="62"/>
        <v>0.17514624035600748</v>
      </c>
      <c r="AH31" s="8">
        <f t="shared" si="63"/>
        <v>0.61292186795300152</v>
      </c>
      <c r="AN31" s="10">
        <v>50</v>
      </c>
      <c r="AO31" s="8">
        <f t="shared" si="53"/>
        <v>0.99153654455052187</v>
      </c>
      <c r="AP31" s="8">
        <f t="shared" si="54"/>
        <v>0.40926587847126755</v>
      </c>
      <c r="AV31" s="5">
        <f t="shared" si="75"/>
        <v>82360</v>
      </c>
      <c r="AW31" s="5">
        <f t="shared" si="75"/>
        <v>297700</v>
      </c>
    </row>
    <row r="32" spans="1:49" s="34"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346</v>
      </c>
      <c r="B38" s="10">
        <v>5</v>
      </c>
      <c r="C38" s="31">
        <f>1-0.265-0.025</f>
        <v>0.71</v>
      </c>
      <c r="D38" s="12">
        <f>H38/$C38</f>
        <v>12081.69014084507</v>
      </c>
      <c r="E38" s="12">
        <f t="shared" ref="E38:G45" si="76">I38/$C38</f>
        <v>6976.0563380281692</v>
      </c>
      <c r="F38" s="12">
        <f t="shared" si="76"/>
        <v>3125.3521126760565</v>
      </c>
      <c r="G38" s="12">
        <f>K38/$C38</f>
        <v>2116.9014084507044</v>
      </c>
      <c r="H38" s="5">
        <v>8578</v>
      </c>
      <c r="I38" s="5">
        <v>4953</v>
      </c>
      <c r="J38" s="5">
        <v>2219</v>
      </c>
      <c r="K38" s="5">
        <v>1503</v>
      </c>
      <c r="L38" s="26">
        <f t="shared" ref="L38:O45" si="77">W4*D38*1000/1000000</f>
        <v>2.7001510589134115</v>
      </c>
      <c r="M38" s="26">
        <f t="shared" si="77"/>
        <v>1.217520570996357</v>
      </c>
      <c r="N38" s="26">
        <f t="shared" si="77"/>
        <v>8.6561956429323033</v>
      </c>
      <c r="O38" s="26">
        <f t="shared" si="77"/>
        <v>240.27009727503781</v>
      </c>
      <c r="P38" s="26">
        <f>SUM(L38:O38)</f>
        <v>252.84396454787989</v>
      </c>
      <c r="Q38" s="26">
        <f>SUM(L38:N38)</f>
        <v>12.573867272842072</v>
      </c>
      <c r="R38" s="26">
        <f>(LN(L48/(L38*0.25)))/$B$1</f>
        <v>0.10850442747116078</v>
      </c>
      <c r="S38" s="26">
        <f>(R38-R39)/(1-0.25)</f>
        <v>0.35715549368810739</v>
      </c>
      <c r="T38" s="26">
        <f>S38+R40</f>
        <v>0.17088858149467426</v>
      </c>
      <c r="V38" s="26">
        <f>(LN(L51/(L39*0.25)))/$B$1</f>
        <v>0.25824991709695583</v>
      </c>
      <c r="W38" s="26">
        <f>(V38-V39)/(1-0.25)</f>
        <v>0.34978038592375177</v>
      </c>
      <c r="X38" s="26">
        <f>W38+V40</f>
        <v>0.32252966936976252</v>
      </c>
      <c r="Z38" s="26">
        <f>(LN(L54/(L40*0.25)))/$B$1</f>
        <v>0.37761091090223697</v>
      </c>
      <c r="AA38" s="26">
        <f>(Z38-Z39)/(1-0.25)</f>
        <v>0.32183865765913905</v>
      </c>
      <c r="AB38" s="26">
        <f>AA38+Z40</f>
        <v>0.59486635174849434</v>
      </c>
    </row>
    <row r="39" spans="1:28" x14ac:dyDescent="0.2">
      <c r="A39" s="5" t="s">
        <v>347</v>
      </c>
      <c r="B39" s="10">
        <v>12</v>
      </c>
      <c r="C39" s="31">
        <f>1-0.23-0.025</f>
        <v>0.745</v>
      </c>
      <c r="D39" s="12">
        <f t="shared" ref="D39:D44" si="78">H39/$C39</f>
        <v>10723.489932885906</v>
      </c>
      <c r="E39" s="12">
        <f t="shared" si="76"/>
        <v>7236.2416107382551</v>
      </c>
      <c r="F39" s="12">
        <f t="shared" si="76"/>
        <v>2990.6040268456377</v>
      </c>
      <c r="G39" s="12">
        <f t="shared" si="76"/>
        <v>2132.8859060402683</v>
      </c>
      <c r="H39" s="5">
        <v>7989</v>
      </c>
      <c r="I39" s="5">
        <v>5391</v>
      </c>
      <c r="J39" s="5">
        <v>2228</v>
      </c>
      <c r="K39" s="5">
        <v>1589</v>
      </c>
      <c r="L39" s="26">
        <f t="shared" si="77"/>
        <v>2.2579822415916904</v>
      </c>
      <c r="M39" s="26">
        <f t="shared" si="77"/>
        <v>1.2747625556290161</v>
      </c>
      <c r="N39" s="26">
        <f t="shared" si="77"/>
        <v>10.273547593095515</v>
      </c>
      <c r="O39" s="26">
        <f t="shared" si="77"/>
        <v>274.71993684029098</v>
      </c>
      <c r="P39" s="26">
        <f t="shared" ref="P39:P44" si="79">SUM(L39:O39)</f>
        <v>288.52622923060721</v>
      </c>
      <c r="Q39" s="26">
        <f t="shared" ref="Q39:Q44" si="80">SUM(L39:N39)</f>
        <v>13.806292390316221</v>
      </c>
      <c r="R39" s="26">
        <f>(LN(L49/L38))/$B$1</f>
        <v>-0.15936219279491975</v>
      </c>
      <c r="V39" s="26">
        <f>(LN(L52/L39))/$B$1</f>
        <v>-4.0853723458579815E-3</v>
      </c>
      <c r="Z39" s="26">
        <f>(LN(L55/L40))/$B$1</f>
        <v>0.1362319176578827</v>
      </c>
    </row>
    <row r="40" spans="1:28" x14ac:dyDescent="0.2">
      <c r="A40" s="5" t="s">
        <v>348</v>
      </c>
      <c r="B40" s="10">
        <v>20</v>
      </c>
      <c r="C40" s="31">
        <f>1-0.23-0.025</f>
        <v>0.745</v>
      </c>
      <c r="D40" s="12">
        <f t="shared" si="78"/>
        <v>12779.865771812081</v>
      </c>
      <c r="E40" s="12">
        <f t="shared" si="76"/>
        <v>7704.6979865771809</v>
      </c>
      <c r="F40" s="12">
        <f t="shared" si="76"/>
        <v>5366.4429530201342</v>
      </c>
      <c r="G40" s="12">
        <f t="shared" si="76"/>
        <v>1907.3825503355704</v>
      </c>
      <c r="H40" s="5">
        <v>9521</v>
      </c>
      <c r="I40" s="5">
        <v>5740</v>
      </c>
      <c r="J40" s="5">
        <v>3998</v>
      </c>
      <c r="K40" s="5">
        <v>1421</v>
      </c>
      <c r="L40" s="26">
        <f t="shared" si="77"/>
        <v>2.1186812212139436</v>
      </c>
      <c r="M40" s="26">
        <f t="shared" si="77"/>
        <v>1.3272763182935643</v>
      </c>
      <c r="N40" s="26">
        <f t="shared" si="77"/>
        <v>20.258171649248762</v>
      </c>
      <c r="O40" s="26">
        <f t="shared" si="77"/>
        <v>145.68682068243697</v>
      </c>
      <c r="P40" s="26">
        <f t="shared" si="79"/>
        <v>169.39094987119324</v>
      </c>
      <c r="Q40" s="26">
        <f t="shared" si="80"/>
        <v>23.704129188756269</v>
      </c>
      <c r="R40" s="26">
        <f>LN(L50/L38)/$B$1</f>
        <v>-0.18626691219343314</v>
      </c>
      <c r="V40" s="26">
        <f>LN(L53/L39)/$B$1</f>
        <v>-2.7250716553989276E-2</v>
      </c>
      <c r="Z40" s="26">
        <f>LN(L56/L40)/$B$1</f>
        <v>0.27302769408935529</v>
      </c>
    </row>
    <row r="41" spans="1:28" x14ac:dyDescent="0.2">
      <c r="A41" s="5" t="s">
        <v>349</v>
      </c>
      <c r="B41" s="10">
        <v>30</v>
      </c>
      <c r="C41" s="31">
        <f>1-0.21-0.025</f>
        <v>0.76500000000000001</v>
      </c>
      <c r="D41" s="12">
        <f t="shared" si="78"/>
        <v>11318.954248366013</v>
      </c>
      <c r="E41" s="12">
        <f t="shared" si="76"/>
        <v>10250.980392156862</v>
      </c>
      <c r="F41" s="12">
        <f t="shared" si="76"/>
        <v>2394.7712418300653</v>
      </c>
      <c r="G41" s="12">
        <f t="shared" si="76"/>
        <v>1041.8300653594772</v>
      </c>
      <c r="H41" s="5">
        <v>8659</v>
      </c>
      <c r="I41" s="5">
        <v>7842</v>
      </c>
      <c r="J41" s="5">
        <v>1832</v>
      </c>
      <c r="K41" s="5">
        <v>797</v>
      </c>
      <c r="L41" s="26">
        <f t="shared" si="77"/>
        <v>1.7438668942239226</v>
      </c>
      <c r="M41" s="26">
        <f t="shared" si="77"/>
        <v>2.1730520241543529</v>
      </c>
      <c r="N41" s="26">
        <f t="shared" si="77"/>
        <v>10.538573023889716</v>
      </c>
      <c r="O41" s="26">
        <f t="shared" si="77"/>
        <v>48.547016035888319</v>
      </c>
      <c r="P41" s="26">
        <f t="shared" si="79"/>
        <v>63.002507978156309</v>
      </c>
      <c r="Q41" s="26">
        <f t="shared" si="80"/>
        <v>14.455491942267992</v>
      </c>
      <c r="R41" s="5" t="s">
        <v>535</v>
      </c>
      <c r="V41" s="5" t="s">
        <v>535</v>
      </c>
      <c r="Z41" s="5" t="s">
        <v>535</v>
      </c>
    </row>
    <row r="42" spans="1:28" x14ac:dyDescent="0.2">
      <c r="A42" s="5" t="s">
        <v>350</v>
      </c>
      <c r="B42" s="10">
        <v>40</v>
      </c>
      <c r="C42" s="31">
        <f>1-0.21-0.025</f>
        <v>0.76500000000000001</v>
      </c>
      <c r="D42" s="12">
        <f t="shared" si="78"/>
        <v>10316.339869281046</v>
      </c>
      <c r="E42" s="12">
        <f t="shared" si="76"/>
        <v>9674.5098039215682</v>
      </c>
      <c r="F42" s="12">
        <f t="shared" si="76"/>
        <v>1665.3594771241831</v>
      </c>
      <c r="G42" s="12">
        <f t="shared" si="76"/>
        <v>786.92810457516339</v>
      </c>
      <c r="H42" s="5">
        <v>7892</v>
      </c>
      <c r="I42" s="5">
        <v>7401</v>
      </c>
      <c r="J42" s="5">
        <v>1274</v>
      </c>
      <c r="K42" s="5">
        <v>602</v>
      </c>
      <c r="L42" s="26">
        <f t="shared" si="77"/>
        <v>1.5073694441494958</v>
      </c>
      <c r="M42" s="26">
        <f t="shared" si="77"/>
        <v>2.0559482736756918</v>
      </c>
      <c r="N42" s="26">
        <f t="shared" si="77"/>
        <v>6.1979023575637342</v>
      </c>
      <c r="O42" s="26">
        <f t="shared" si="77"/>
        <v>28.400265076652769</v>
      </c>
      <c r="P42" s="26">
        <f t="shared" si="79"/>
        <v>38.161485152041692</v>
      </c>
      <c r="Q42" s="26">
        <f t="shared" si="80"/>
        <v>9.7612200753889216</v>
      </c>
      <c r="R42" s="6" t="s">
        <v>539</v>
      </c>
      <c r="S42" s="6" t="s">
        <v>540</v>
      </c>
      <c r="T42" s="6" t="s">
        <v>541</v>
      </c>
      <c r="V42" s="6" t="s">
        <v>539</v>
      </c>
      <c r="W42" s="6" t="s">
        <v>540</v>
      </c>
      <c r="X42" s="6" t="s">
        <v>541</v>
      </c>
      <c r="Z42" s="6" t="s">
        <v>539</v>
      </c>
      <c r="AA42" s="6" t="s">
        <v>540</v>
      </c>
      <c r="AB42" s="6" t="s">
        <v>541</v>
      </c>
    </row>
    <row r="43" spans="1:28" x14ac:dyDescent="0.2">
      <c r="A43" s="5" t="s">
        <v>351</v>
      </c>
      <c r="B43" s="10">
        <v>50</v>
      </c>
      <c r="C43" s="31">
        <f>1-0.22-0.025</f>
        <v>0.755</v>
      </c>
      <c r="D43" s="12">
        <f t="shared" si="78"/>
        <v>8570.8609271523183</v>
      </c>
      <c r="E43" s="12">
        <f t="shared" si="76"/>
        <v>9884.7682119205292</v>
      </c>
      <c r="F43" s="12">
        <f t="shared" si="76"/>
        <v>527.15231788079473</v>
      </c>
      <c r="G43" s="12">
        <f t="shared" si="76"/>
        <v>447.68211920529802</v>
      </c>
      <c r="H43" s="5">
        <v>6471</v>
      </c>
      <c r="I43" s="5">
        <v>7463</v>
      </c>
      <c r="J43" s="5">
        <v>398</v>
      </c>
      <c r="K43" s="5">
        <v>338</v>
      </c>
      <c r="L43" s="26">
        <f t="shared" si="77"/>
        <v>1.2438018939855369</v>
      </c>
      <c r="M43" s="26">
        <f t="shared" si="77"/>
        <v>2.5348996231420262</v>
      </c>
      <c r="N43" s="26">
        <f t="shared" si="77"/>
        <v>4.5392219638903875</v>
      </c>
      <c r="O43" s="26">
        <f t="shared" si="77"/>
        <v>15.443334575551548</v>
      </c>
      <c r="P43" s="26">
        <f t="shared" si="79"/>
        <v>23.761258056569496</v>
      </c>
      <c r="Q43" s="26">
        <f t="shared" si="80"/>
        <v>8.3179234810179494</v>
      </c>
      <c r="R43" s="26">
        <f>(LN(M48/(M38*0.25)))/$B$1</f>
        <v>0.84642682560895488</v>
      </c>
      <c r="S43" s="26">
        <f>(R43-R44)/(1-0.25)</f>
        <v>0.42481389536131103</v>
      </c>
      <c r="T43" s="26">
        <f>S43+R45</f>
        <v>0.69848634434606993</v>
      </c>
      <c r="V43" s="26">
        <f>(LN(M51/(M39*0.25)))/$B$1</f>
        <v>0.90623946707151992</v>
      </c>
      <c r="W43" s="26">
        <f>(V43-V44)/(1-0.25)</f>
        <v>0.64569277906261391</v>
      </c>
      <c r="X43" s="26">
        <f>W43+V45</f>
        <v>1.0302456974984735</v>
      </c>
      <c r="Z43" s="26">
        <f>(LN(M54/(M40*0.25)))/$B$1</f>
        <v>0.68970131574598614</v>
      </c>
      <c r="AA43" s="26">
        <f>(Z43-Z44)/(1-0.25)</f>
        <v>0.35963284968253739</v>
      </c>
      <c r="AB43" s="26">
        <f>AA43+Z45</f>
        <v>0.70036880207002405</v>
      </c>
    </row>
    <row r="44" spans="1:28" x14ac:dyDescent="0.2">
      <c r="A44" s="5" t="s">
        <v>352</v>
      </c>
      <c r="B44" s="10">
        <v>70</v>
      </c>
      <c r="C44" s="31">
        <f>1-0.22-0.025</f>
        <v>0.755</v>
      </c>
      <c r="D44" s="12">
        <f t="shared" si="78"/>
        <v>2871.5231788079468</v>
      </c>
      <c r="E44" s="12">
        <f t="shared" si="76"/>
        <v>3750.9933774834435</v>
      </c>
      <c r="F44" s="12">
        <f t="shared" si="76"/>
        <v>188.07947019867549</v>
      </c>
      <c r="G44" s="12">
        <f t="shared" si="76"/>
        <v>169.53642384105962</v>
      </c>
      <c r="H44" s="5">
        <v>2168</v>
      </c>
      <c r="I44" s="5">
        <v>2832</v>
      </c>
      <c r="J44" s="5">
        <v>142</v>
      </c>
      <c r="K44" s="5">
        <v>128</v>
      </c>
      <c r="L44" s="26">
        <f t="shared" si="77"/>
        <v>0.42988713644801341</v>
      </c>
      <c r="M44" s="26">
        <f t="shared" si="77"/>
        <v>0.91848622461527485</v>
      </c>
      <c r="N44" s="26">
        <f t="shared" si="77"/>
        <v>0.44392546812972039</v>
      </c>
      <c r="O44" s="26">
        <f t="shared" si="77"/>
        <v>3.2444396690264594</v>
      </c>
      <c r="P44" s="26">
        <f t="shared" si="79"/>
        <v>5.0367384982194681</v>
      </c>
      <c r="Q44" s="26">
        <f t="shared" si="80"/>
        <v>1.7922988291930086</v>
      </c>
      <c r="R44" s="26">
        <f>(LN(M49/M38))/$B$1</f>
        <v>0.52781640408797159</v>
      </c>
      <c r="V44" s="26">
        <f>(LN(M52/M39))/$B$1</f>
        <v>0.42196988277455949</v>
      </c>
      <c r="Z44" s="26">
        <f>(LN(M55/M40))/$B$1</f>
        <v>0.4199766784840831</v>
      </c>
    </row>
    <row r="45" spans="1:28" x14ac:dyDescent="0.2">
      <c r="A45" s="5" t="s">
        <v>353</v>
      </c>
      <c r="B45" s="10">
        <v>100</v>
      </c>
      <c r="C45" s="31">
        <f>1-0.22-0.025</f>
        <v>0.755</v>
      </c>
      <c r="D45" s="12">
        <f>H45/$C45</f>
        <v>407.94701986754967</v>
      </c>
      <c r="E45" s="12">
        <f t="shared" si="76"/>
        <v>807.94701986754967</v>
      </c>
      <c r="F45" s="12">
        <f t="shared" si="76"/>
        <v>39.735099337748345</v>
      </c>
      <c r="G45" s="12">
        <f t="shared" si="76"/>
        <v>52.980132450331126</v>
      </c>
      <c r="H45" s="5">
        <v>308</v>
      </c>
      <c r="I45" s="5">
        <v>610</v>
      </c>
      <c r="J45" s="5">
        <v>30</v>
      </c>
      <c r="K45" s="5">
        <v>40</v>
      </c>
      <c r="L45" s="26">
        <f t="shared" si="77"/>
        <v>0.12229293938930247</v>
      </c>
      <c r="M45" s="26">
        <f t="shared" si="77"/>
        <v>0.19209881821980604</v>
      </c>
      <c r="N45" s="26">
        <f t="shared" si="77"/>
        <v>0.12459338972306302</v>
      </c>
      <c r="O45" s="26">
        <f t="shared" si="77"/>
        <v>3.6850777482161727</v>
      </c>
      <c r="P45" s="26">
        <f>SUM(L45:O45)</f>
        <v>4.1240628955483443</v>
      </c>
      <c r="Q45" s="26">
        <f>SUM(L45:N45)</f>
        <v>0.43898514733217153</v>
      </c>
      <c r="R45" s="26">
        <f>LN(M50/M38)/$B$1</f>
        <v>0.2736724489847589</v>
      </c>
      <c r="V45" s="26">
        <f>LN(M53/M39)/$B$1</f>
        <v>0.3845529184358597</v>
      </c>
      <c r="Z45" s="26">
        <f>LN(M56/M40)/$B$1</f>
        <v>0.34073595238748666</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354</v>
      </c>
      <c r="B48" s="10">
        <v>5</v>
      </c>
      <c r="C48" s="31">
        <f>1-0.22-0.025</f>
        <v>0.755</v>
      </c>
      <c r="D48" s="12">
        <f t="shared" ref="D48:G65" si="81">H48/$C48</f>
        <v>4532.4503311258277</v>
      </c>
      <c r="E48" s="12">
        <f t="shared" si="81"/>
        <v>3733.7748344370862</v>
      </c>
      <c r="F48" s="12">
        <f t="shared" si="81"/>
        <v>2076.8211920529802</v>
      </c>
      <c r="G48" s="12">
        <f>K48/$C48</f>
        <v>1123.1788079470198</v>
      </c>
      <c r="H48" s="5">
        <v>3422</v>
      </c>
      <c r="I48" s="5">
        <v>2819</v>
      </c>
      <c r="J48" s="5">
        <v>1568</v>
      </c>
      <c r="K48" s="5">
        <v>848</v>
      </c>
      <c r="L48" s="26">
        <f>W14*D48*1000/1000000</f>
        <v>0.76267814803371581</v>
      </c>
      <c r="M48" s="26">
        <f>X14*E48*1000/1000000</f>
        <v>0.78879587088838898</v>
      </c>
      <c r="N48" s="26">
        <f>Y14*F48*1000/1000000</f>
        <v>14.408529296706112</v>
      </c>
      <c r="O48" s="26">
        <f>Z14*G48*1000/1000000</f>
        <v>81.049047153544038</v>
      </c>
      <c r="P48" s="26">
        <f>SUM(L48:O48)</f>
        <v>97.009050469172251</v>
      </c>
      <c r="Q48" s="26">
        <f>SUM(L48:N48)</f>
        <v>15.960003315628217</v>
      </c>
      <c r="R48" s="26">
        <f>(LN(N48/(N38*0.25)))/$B$1</f>
        <v>1.6851905606883351</v>
      </c>
      <c r="S48" s="26">
        <f>(R48-R49)/(1-0.25)</f>
        <v>0.9537836970427761</v>
      </c>
      <c r="T48" s="26">
        <f>S48+R50</f>
        <v>1.9336166700140272</v>
      </c>
      <c r="V48" s="26">
        <f>(LN(N51/(N39*0.25)))/$B$1</f>
        <v>1.1708535282494545</v>
      </c>
      <c r="W48" s="26">
        <f>(V48-V49)/(1-0.25)</f>
        <v>1.0819954285700299</v>
      </c>
      <c r="X48" s="26">
        <f>W48+V50</f>
        <v>1.5687345459178439</v>
      </c>
      <c r="Z48" s="26">
        <f>(LN(N54/(N40*0.25)))/$B$1</f>
        <v>1.0255197297765664</v>
      </c>
      <c r="AA48" s="26">
        <f>(Z48-Z49)/(1-0.25)</f>
        <v>1.0243239450199118</v>
      </c>
      <c r="AB48" s="26">
        <f>AA48+Z50</f>
        <v>1.3655830044372783</v>
      </c>
    </row>
    <row r="49" spans="1:28" x14ac:dyDescent="0.2">
      <c r="A49" s="5" t="s">
        <v>355</v>
      </c>
      <c r="B49" s="10">
        <v>5</v>
      </c>
      <c r="C49" s="31">
        <f>1-0.24-0.025</f>
        <v>0.73499999999999999</v>
      </c>
      <c r="D49" s="12">
        <f t="shared" si="81"/>
        <v>14798.639455782313</v>
      </c>
      <c r="E49" s="12">
        <f t="shared" si="81"/>
        <v>11054.421768707483</v>
      </c>
      <c r="F49" s="12">
        <f t="shared" si="81"/>
        <v>5526.5306122448983</v>
      </c>
      <c r="G49" s="12">
        <f t="shared" si="81"/>
        <v>2365.9863945578231</v>
      </c>
      <c r="H49" s="5">
        <v>10877</v>
      </c>
      <c r="I49" s="5">
        <v>8125</v>
      </c>
      <c r="J49" s="5">
        <v>4062</v>
      </c>
      <c r="K49" s="5">
        <v>1739</v>
      </c>
      <c r="L49" s="26">
        <f t="shared" ref="L49:O64" si="82">W15*D49*1000/1000000</f>
        <v>2.2569746189618463</v>
      </c>
      <c r="M49" s="26">
        <f t="shared" si="82"/>
        <v>2.2047407461109993</v>
      </c>
      <c r="N49" s="26">
        <f t="shared" si="82"/>
        <v>25.77383191229837</v>
      </c>
      <c r="O49" s="26">
        <f t="shared" si="82"/>
        <v>186.31836468145252</v>
      </c>
      <c r="P49" s="26">
        <f t="shared" ref="P49:P65" si="83">SUM(L49:O49)</f>
        <v>216.55391195882373</v>
      </c>
      <c r="Q49" s="26">
        <f t="shared" ref="Q49:Q65" si="84">SUM(L49:N49)</f>
        <v>30.235547277371214</v>
      </c>
      <c r="R49" s="26">
        <f>(LN(N49/N38))/$B$1</f>
        <v>0.96985278790625296</v>
      </c>
      <c r="V49" s="26">
        <f>(LN(N52/N39))/$B$1</f>
        <v>0.35935695682193214</v>
      </c>
      <c r="Z49" s="26">
        <f>(LN(N55/N40))/$B$1</f>
        <v>0.2572767710116326</v>
      </c>
    </row>
    <row r="50" spans="1:28" x14ac:dyDescent="0.2">
      <c r="A50" s="5" t="s">
        <v>356</v>
      </c>
      <c r="B50" s="10">
        <v>5</v>
      </c>
      <c r="C50" s="31">
        <f>1-0.24-0.025</f>
        <v>0.73499999999999999</v>
      </c>
      <c r="D50" s="12">
        <f t="shared" si="81"/>
        <v>15723.809523809525</v>
      </c>
      <c r="E50" s="12">
        <f t="shared" si="81"/>
        <v>8723.8095238095248</v>
      </c>
      <c r="F50" s="12">
        <f t="shared" si="81"/>
        <v>5057.1428571428569</v>
      </c>
      <c r="G50" s="12">
        <f t="shared" si="81"/>
        <v>2620.408163265306</v>
      </c>
      <c r="H50" s="5">
        <v>11557</v>
      </c>
      <c r="I50" s="5">
        <v>6412</v>
      </c>
      <c r="J50" s="5">
        <v>3717</v>
      </c>
      <c r="K50" s="5">
        <v>1926</v>
      </c>
      <c r="L50" s="26">
        <f t="shared" si="82"/>
        <v>2.1896844418640913</v>
      </c>
      <c r="M50" s="26">
        <f t="shared" si="82"/>
        <v>1.6564851483472254</v>
      </c>
      <c r="N50" s="26">
        <f t="shared" si="82"/>
        <v>26.064843616298262</v>
      </c>
      <c r="O50" s="26">
        <f t="shared" si="82"/>
        <v>210.82451598886061</v>
      </c>
      <c r="P50" s="26">
        <f t="shared" si="83"/>
        <v>240.73552919537019</v>
      </c>
      <c r="Q50" s="26">
        <f t="shared" si="84"/>
        <v>29.91101320650958</v>
      </c>
      <c r="R50" s="26">
        <f>LN(N50/N38)/$B$1</f>
        <v>0.97983297297125105</v>
      </c>
      <c r="V50" s="26">
        <f>LN(N53/N39)/$B$1</f>
        <v>0.48673911734781394</v>
      </c>
      <c r="Z50" s="26">
        <f>LN(N56/N40)/$B$1</f>
        <v>0.34125905941736651</v>
      </c>
    </row>
    <row r="51" spans="1:28" x14ac:dyDescent="0.2">
      <c r="A51" s="5" t="s">
        <v>357</v>
      </c>
      <c r="B51" s="10">
        <v>12</v>
      </c>
      <c r="C51" s="31">
        <f>1-0.24-0.025</f>
        <v>0.73499999999999999</v>
      </c>
      <c r="D51" s="12">
        <f>H51/$C51</f>
        <v>4795.9183673469388</v>
      </c>
      <c r="E51" s="12">
        <f t="shared" si="81"/>
        <v>4439.4557823129253</v>
      </c>
      <c r="F51" s="12">
        <f t="shared" si="81"/>
        <v>1700.6802721088436</v>
      </c>
      <c r="G51" s="12">
        <f t="shared" si="81"/>
        <v>926.53061224489795</v>
      </c>
      <c r="H51" s="5">
        <v>3525</v>
      </c>
      <c r="I51" s="5">
        <v>3263</v>
      </c>
      <c r="J51" s="5">
        <v>1250</v>
      </c>
      <c r="K51" s="5">
        <v>681</v>
      </c>
      <c r="L51" s="26">
        <f t="shared" si="82"/>
        <v>0.7548081987846299</v>
      </c>
      <c r="M51" s="26">
        <f t="shared" si="82"/>
        <v>0.88336656353938625</v>
      </c>
      <c r="N51" s="26">
        <f t="shared" si="82"/>
        <v>9.5877693012049576</v>
      </c>
      <c r="O51" s="26">
        <f t="shared" si="82"/>
        <v>44.032230638225819</v>
      </c>
      <c r="P51" s="26">
        <f t="shared" si="83"/>
        <v>55.258174701754797</v>
      </c>
      <c r="Q51" s="26">
        <f t="shared" si="84"/>
        <v>11.225944063528974</v>
      </c>
    </row>
    <row r="52" spans="1:28" x14ac:dyDescent="0.2">
      <c r="A52" s="5" t="s">
        <v>358</v>
      </c>
      <c r="B52" s="10">
        <v>12</v>
      </c>
      <c r="C52" s="31">
        <f>1-0.24-0.025</f>
        <v>0.73499999999999999</v>
      </c>
      <c r="D52" s="12">
        <f t="shared" si="81"/>
        <v>16012.244897959185</v>
      </c>
      <c r="E52" s="12">
        <f t="shared" si="81"/>
        <v>11395.91836734694</v>
      </c>
      <c r="F52" s="12">
        <f t="shared" si="81"/>
        <v>4095.2380952380954</v>
      </c>
      <c r="G52" s="12">
        <f t="shared" si="81"/>
        <v>1978.2312925170068</v>
      </c>
      <c r="H52" s="5">
        <v>11769</v>
      </c>
      <c r="I52" s="5">
        <v>8376</v>
      </c>
      <c r="J52" s="5">
        <v>3010</v>
      </c>
      <c r="K52" s="5">
        <v>1454</v>
      </c>
      <c r="L52" s="26">
        <f t="shared" si="82"/>
        <v>2.2476282679932011</v>
      </c>
      <c r="M52" s="26">
        <f t="shared" si="82"/>
        <v>2.0492544590876833</v>
      </c>
      <c r="N52" s="26">
        <f t="shared" si="82"/>
        <v>15.392016614476317</v>
      </c>
      <c r="O52" s="26">
        <f t="shared" si="82"/>
        <v>135.06748889120129</v>
      </c>
      <c r="P52" s="26">
        <f t="shared" si="83"/>
        <v>154.7563882327585</v>
      </c>
      <c r="Q52" s="26">
        <f t="shared" si="84"/>
        <v>19.688899341557203</v>
      </c>
      <c r="R52" s="6" t="s">
        <v>545</v>
      </c>
      <c r="S52" s="6" t="s">
        <v>546</v>
      </c>
      <c r="T52" s="6" t="s">
        <v>547</v>
      </c>
      <c r="V52" s="6" t="s">
        <v>545</v>
      </c>
      <c r="W52" s="6" t="s">
        <v>546</v>
      </c>
      <c r="X52" s="6" t="s">
        <v>547</v>
      </c>
      <c r="Z52" s="6" t="s">
        <v>545</v>
      </c>
      <c r="AA52" s="6" t="s">
        <v>546</v>
      </c>
      <c r="AB52" s="6" t="s">
        <v>547</v>
      </c>
    </row>
    <row r="53" spans="1:28" x14ac:dyDescent="0.2">
      <c r="A53" s="5" t="s">
        <v>359</v>
      </c>
      <c r="B53" s="10">
        <v>12</v>
      </c>
      <c r="C53" s="31">
        <f>1-0.2-0.025</f>
        <v>0.77500000000000002</v>
      </c>
      <c r="D53" s="12">
        <f t="shared" si="81"/>
        <v>15572.903225806451</v>
      </c>
      <c r="E53" s="12">
        <f t="shared" si="81"/>
        <v>10934.193548387097</v>
      </c>
      <c r="F53" s="12">
        <f t="shared" si="81"/>
        <v>4607.7419354838712</v>
      </c>
      <c r="G53" s="12">
        <f t="shared" si="81"/>
        <v>1864.516129032258</v>
      </c>
      <c r="H53" s="5">
        <v>12069</v>
      </c>
      <c r="I53" s="5">
        <v>8474</v>
      </c>
      <c r="J53" s="5">
        <v>3571</v>
      </c>
      <c r="K53" s="5">
        <v>1445</v>
      </c>
      <c r="L53" s="26">
        <f t="shared" si="82"/>
        <v>2.1898094806576833</v>
      </c>
      <c r="M53" s="26">
        <f t="shared" si="82"/>
        <v>1.9647833084223865</v>
      </c>
      <c r="N53" s="26">
        <f t="shared" si="82"/>
        <v>17.763644128601552</v>
      </c>
      <c r="O53" s="26">
        <f t="shared" si="82"/>
        <v>104.56631458223498</v>
      </c>
      <c r="P53" s="26">
        <f t="shared" si="83"/>
        <v>126.48455149991661</v>
      </c>
      <c r="Q53" s="26">
        <f t="shared" si="84"/>
        <v>21.918236917681622</v>
      </c>
      <c r="R53" s="26">
        <f>(LN(O48/(O38*0.25)))/$B$1</f>
        <v>0.26629791741522446</v>
      </c>
      <c r="S53" s="26">
        <f>(R53-R54)/(1-0.25)</f>
        <v>0.65646459774870458</v>
      </c>
      <c r="T53" s="26">
        <f>S53+R55</f>
        <v>0.54025341001671012</v>
      </c>
      <c r="V53" s="26">
        <f>(LN(O51/(O39*0.25)))/$B$1</f>
        <v>-0.39514304520702676</v>
      </c>
      <c r="W53" s="26">
        <f>(V53-V54)/(1-0.25)</f>
        <v>0.31459753499457954</v>
      </c>
      <c r="X53" s="26">
        <f>W53+V55</f>
        <v>-0.54400753860673867</v>
      </c>
      <c r="Z53" s="26">
        <f>(LN(O54/(O40*0.25)))/$B$1</f>
        <v>0.36063408193609731</v>
      </c>
      <c r="AA53" s="26">
        <f>(Z53-Z54)/(1-0.25)</f>
        <v>0.65358323429934295</v>
      </c>
      <c r="AB53" s="26">
        <f>AA53+Z55</f>
        <v>0.68776888182245599</v>
      </c>
    </row>
    <row r="54" spans="1:28" x14ac:dyDescent="0.2">
      <c r="A54" s="5" t="s">
        <v>360</v>
      </c>
      <c r="B54" s="10">
        <v>20</v>
      </c>
      <c r="C54" s="31">
        <f>1-0.23-0.025</f>
        <v>0.745</v>
      </c>
      <c r="D54" s="12">
        <f t="shared" si="81"/>
        <v>5104.6979865771809</v>
      </c>
      <c r="E54" s="12">
        <f t="shared" si="81"/>
        <v>4030.8724832214766</v>
      </c>
      <c r="F54" s="12">
        <f t="shared" si="81"/>
        <v>3084.5637583892617</v>
      </c>
      <c r="G54" s="12">
        <f t="shared" si="81"/>
        <v>1246.979865771812</v>
      </c>
      <c r="H54" s="5">
        <v>3803</v>
      </c>
      <c r="I54" s="5">
        <v>3003</v>
      </c>
      <c r="J54" s="5">
        <v>2298</v>
      </c>
      <c r="K54" s="5">
        <v>929</v>
      </c>
      <c r="L54" s="26">
        <f t="shared" si="82"/>
        <v>0.81002654787447603</v>
      </c>
      <c r="M54" s="26">
        <f t="shared" si="82"/>
        <v>0.72090247135169749</v>
      </c>
      <c r="N54" s="26">
        <f t="shared" si="82"/>
        <v>16.054249570308087</v>
      </c>
      <c r="O54" s="26">
        <f t="shared" si="82"/>
        <v>54.646121101449708</v>
      </c>
      <c r="P54" s="26">
        <f t="shared" si="83"/>
        <v>72.231299690983974</v>
      </c>
      <c r="Q54" s="26">
        <f t="shared" si="84"/>
        <v>17.585178589534262</v>
      </c>
      <c r="R54" s="26">
        <f>(LN(O49/O38))/$B$1</f>
        <v>-0.22605053089630398</v>
      </c>
      <c r="V54" s="26">
        <f>(LN(O52/O39))/$B$1</f>
        <v>-0.63109119645296141</v>
      </c>
      <c r="Z54" s="26">
        <f>(LN(O55/O40))/$B$1</f>
        <v>-0.12955334378840994</v>
      </c>
    </row>
    <row r="55" spans="1:28" x14ac:dyDescent="0.2">
      <c r="A55" s="5" t="s">
        <v>361</v>
      </c>
      <c r="B55" s="10">
        <v>20</v>
      </c>
      <c r="C55" s="31">
        <f t="shared" ref="C55:C64" si="85">1-0.24-0.025</f>
        <v>0.73499999999999999</v>
      </c>
      <c r="D55" s="12">
        <f t="shared" si="81"/>
        <v>17365.986394557822</v>
      </c>
      <c r="E55" s="12">
        <f t="shared" si="81"/>
        <v>11931.972789115647</v>
      </c>
      <c r="F55" s="12">
        <f t="shared" si="81"/>
        <v>8118.3673469387759</v>
      </c>
      <c r="G55" s="12">
        <f t="shared" si="81"/>
        <v>2492.517006802721</v>
      </c>
      <c r="H55" s="5">
        <v>12764</v>
      </c>
      <c r="I55" s="5">
        <v>8770</v>
      </c>
      <c r="J55" s="5">
        <v>5967</v>
      </c>
      <c r="K55" s="5">
        <v>1832</v>
      </c>
      <c r="L55" s="26">
        <f t="shared" si="82"/>
        <v>2.4695964013388116</v>
      </c>
      <c r="M55" s="26">
        <f t="shared" si="82"/>
        <v>2.1288942740563996</v>
      </c>
      <c r="N55" s="26">
        <f t="shared" si="82"/>
        <v>27.058322197605339</v>
      </c>
      <c r="O55" s="26">
        <f t="shared" si="82"/>
        <v>125.92817971578106</v>
      </c>
      <c r="P55" s="26">
        <f t="shared" si="83"/>
        <v>157.5849925887816</v>
      </c>
      <c r="Q55" s="26">
        <f t="shared" si="84"/>
        <v>31.65681287300055</v>
      </c>
      <c r="R55" s="26">
        <f>LN(O50/O38)/$B$1</f>
        <v>-0.11621118773199446</v>
      </c>
      <c r="V55" s="26">
        <f>LN(O53/O39)/$B$1</f>
        <v>-0.85860507360131821</v>
      </c>
      <c r="Z55" s="26">
        <f>LN(O56/O40)/$B$1</f>
        <v>3.4185647523113011E-2</v>
      </c>
    </row>
    <row r="56" spans="1:28" x14ac:dyDescent="0.2">
      <c r="A56" s="5" t="s">
        <v>362</v>
      </c>
      <c r="B56" s="10">
        <v>20</v>
      </c>
      <c r="C56" s="31">
        <f t="shared" si="85"/>
        <v>0.73499999999999999</v>
      </c>
      <c r="D56" s="12">
        <f t="shared" si="81"/>
        <v>20476.190476190477</v>
      </c>
      <c r="E56" s="12">
        <f t="shared" si="81"/>
        <v>11489.795918367347</v>
      </c>
      <c r="F56" s="12">
        <f t="shared" si="81"/>
        <v>7767.3469387755104</v>
      </c>
      <c r="G56" s="12">
        <f t="shared" si="81"/>
        <v>3293.8775510204082</v>
      </c>
      <c r="H56" s="5">
        <v>15050</v>
      </c>
      <c r="I56" s="5">
        <v>8445</v>
      </c>
      <c r="J56" s="5">
        <v>5709</v>
      </c>
      <c r="K56" s="5">
        <v>2421</v>
      </c>
      <c r="L56" s="26">
        <f t="shared" si="82"/>
        <v>2.8804599478362696</v>
      </c>
      <c r="M56" s="26">
        <f t="shared" si="82"/>
        <v>1.9473255296333869</v>
      </c>
      <c r="N56" s="26">
        <f t="shared" si="82"/>
        <v>29.739457285637808</v>
      </c>
      <c r="O56" s="26">
        <f t="shared" si="82"/>
        <v>151.39890483765424</v>
      </c>
      <c r="P56" s="26">
        <f t="shared" si="83"/>
        <v>185.9661476007617</v>
      </c>
      <c r="Q56" s="26">
        <f t="shared" si="84"/>
        <v>34.567242763107465</v>
      </c>
    </row>
    <row r="57" spans="1:28" x14ac:dyDescent="0.2">
      <c r="A57" s="5" t="s">
        <v>363</v>
      </c>
      <c r="B57" s="10">
        <v>30</v>
      </c>
      <c r="C57" s="31">
        <f t="shared" si="85"/>
        <v>0.73499999999999999</v>
      </c>
      <c r="D57" s="12">
        <f t="shared" si="81"/>
        <v>4087.074829931973</v>
      </c>
      <c r="E57" s="12">
        <f t="shared" si="81"/>
        <v>4434.0136054421773</v>
      </c>
      <c r="F57" s="12">
        <f t="shared" si="81"/>
        <v>1262.5850340136055</v>
      </c>
      <c r="G57" s="12">
        <f t="shared" si="81"/>
        <v>580.95238095238096</v>
      </c>
      <c r="H57" s="5">
        <v>3004</v>
      </c>
      <c r="I57" s="5">
        <v>3259</v>
      </c>
      <c r="J57" s="5">
        <v>928</v>
      </c>
      <c r="K57" s="5">
        <v>427</v>
      </c>
      <c r="L57" s="26">
        <f t="shared" si="82"/>
        <v>0.77507200189761616</v>
      </c>
      <c r="M57" s="26">
        <f t="shared" si="82"/>
        <v>1.0444519276896764</v>
      </c>
      <c r="N57" s="26">
        <f t="shared" si="82"/>
        <v>8.6900825308823304</v>
      </c>
      <c r="O57" s="26">
        <f t="shared" si="82"/>
        <v>20.244062592779041</v>
      </c>
      <c r="P57" s="26">
        <f t="shared" si="83"/>
        <v>30.753669053248665</v>
      </c>
      <c r="Q57" s="26">
        <f t="shared" si="84"/>
        <v>10.509606460469623</v>
      </c>
      <c r="R57" s="4"/>
      <c r="S57" s="4"/>
      <c r="T57" s="4"/>
      <c r="V57" s="4"/>
      <c r="W57" s="4"/>
      <c r="X57" s="4"/>
      <c r="Z57" s="4"/>
      <c r="AA57" s="4"/>
      <c r="AB57" s="4"/>
    </row>
    <row r="58" spans="1:28" x14ac:dyDescent="0.2">
      <c r="A58" s="5" t="s">
        <v>364</v>
      </c>
      <c r="B58" s="10">
        <v>30</v>
      </c>
      <c r="C58" s="31">
        <f>1-0.27-0.025</f>
        <v>0.70499999999999996</v>
      </c>
      <c r="D58" s="12">
        <f t="shared" si="81"/>
        <v>13723.40425531915</v>
      </c>
      <c r="E58" s="12">
        <f t="shared" si="81"/>
        <v>13956.028368794327</v>
      </c>
      <c r="F58" s="12">
        <f t="shared" si="81"/>
        <v>2997.1631205673762</v>
      </c>
      <c r="G58" s="12">
        <f t="shared" si="81"/>
        <v>1307.8014184397164</v>
      </c>
      <c r="H58" s="5">
        <v>9675</v>
      </c>
      <c r="I58" s="5">
        <v>9839</v>
      </c>
      <c r="J58" s="5">
        <v>2113</v>
      </c>
      <c r="K58" s="5">
        <v>922</v>
      </c>
      <c r="L58" s="26">
        <f t="shared" si="82"/>
        <v>1.8538713415839851</v>
      </c>
      <c r="M58" s="26">
        <f t="shared" si="82"/>
        <v>3.1608903975172638</v>
      </c>
      <c r="N58" s="26">
        <f t="shared" si="82"/>
        <v>16.945000390792188</v>
      </c>
      <c r="O58" s="26">
        <f t="shared" si="82"/>
        <v>45.419119935460017</v>
      </c>
      <c r="P58" s="26">
        <f t="shared" si="83"/>
        <v>67.378882065353451</v>
      </c>
      <c r="Q58" s="26">
        <f t="shared" si="84"/>
        <v>21.959762129893438</v>
      </c>
      <c r="R58" s="6" t="s">
        <v>548</v>
      </c>
      <c r="S58" s="6" t="s">
        <v>549</v>
      </c>
      <c r="T58" s="6" t="s">
        <v>550</v>
      </c>
      <c r="V58" s="6" t="s">
        <v>548</v>
      </c>
      <c r="W58" s="6" t="s">
        <v>549</v>
      </c>
      <c r="X58" s="6" t="s">
        <v>550</v>
      </c>
      <c r="Z58" s="6" t="s">
        <v>548</v>
      </c>
      <c r="AA58" s="6" t="s">
        <v>549</v>
      </c>
      <c r="AB58" s="6" t="s">
        <v>550</v>
      </c>
    </row>
    <row r="59" spans="1:28" x14ac:dyDescent="0.2">
      <c r="A59" s="5" t="s">
        <v>365</v>
      </c>
      <c r="B59" s="10">
        <v>30</v>
      </c>
      <c r="C59" s="31">
        <f>1-0.25-0.025</f>
        <v>0.72499999999999998</v>
      </c>
      <c r="D59" s="12">
        <f t="shared" si="81"/>
        <v>13808.275862068966</v>
      </c>
      <c r="E59" s="12">
        <f t="shared" si="81"/>
        <v>12162.758620689656</v>
      </c>
      <c r="F59" s="12">
        <f t="shared" si="81"/>
        <v>3277.2413793103451</v>
      </c>
      <c r="G59" s="12">
        <f t="shared" si="81"/>
        <v>1372.4137931034484</v>
      </c>
      <c r="H59" s="5">
        <v>10011</v>
      </c>
      <c r="I59" s="5">
        <v>8818</v>
      </c>
      <c r="J59" s="5">
        <v>2376</v>
      </c>
      <c r="K59" s="5">
        <v>995</v>
      </c>
      <c r="L59" s="26">
        <f t="shared" si="82"/>
        <v>1.9952562732398567</v>
      </c>
      <c r="M59" s="26">
        <f t="shared" si="82"/>
        <v>2.5768910764741024</v>
      </c>
      <c r="N59" s="26">
        <f t="shared" si="82"/>
        <v>14.950516765234738</v>
      </c>
      <c r="O59" s="26">
        <f t="shared" si="82"/>
        <v>52.122008805201069</v>
      </c>
      <c r="P59" s="26">
        <f t="shared" si="83"/>
        <v>71.644672920149759</v>
      </c>
      <c r="Q59" s="26">
        <f t="shared" si="84"/>
        <v>19.522664114948697</v>
      </c>
      <c r="R59" s="26">
        <f>(LN(Q48/(Q38*0.25)))/$B$1</f>
        <v>1.4442306903693278</v>
      </c>
      <c r="S59" s="26">
        <f>(R59-R60)/(1-0.25)</f>
        <v>0.88576221219173823</v>
      </c>
      <c r="T59" s="26">
        <f>S59+R61</f>
        <v>1.6560787570999924</v>
      </c>
      <c r="V59" s="26">
        <f>(LN(Q51/(Q39*0.25)))/$B$1</f>
        <v>1.0483532767233619</v>
      </c>
      <c r="W59" s="26">
        <f>(V59-V60)/(1-0.25)</f>
        <v>0.97714595927761205</v>
      </c>
      <c r="X59" s="26">
        <f>W59+V61</f>
        <v>1.3879855750148287</v>
      </c>
      <c r="Z59" s="26">
        <f>(LN(Q54/(Q40*0.25)))/$B$1</f>
        <v>0.96684579772751555</v>
      </c>
      <c r="AA59" s="26">
        <f>(Z59-Z60)/(1-0.25)</f>
        <v>0.94624877120677198</v>
      </c>
      <c r="AB59" s="26">
        <f>AA59+Z61</f>
        <v>1.2815885332794923</v>
      </c>
    </row>
    <row r="60" spans="1:28" x14ac:dyDescent="0.2">
      <c r="A60" s="5" t="s">
        <v>366</v>
      </c>
      <c r="B60" s="10">
        <v>40</v>
      </c>
      <c r="C60" s="31">
        <f>1-0.25-0.025</f>
        <v>0.72499999999999998</v>
      </c>
      <c r="D60" s="12">
        <f t="shared" si="81"/>
        <v>3365.5172413793102</v>
      </c>
      <c r="E60" s="12">
        <f t="shared" si="81"/>
        <v>3016.5517241379312</v>
      </c>
      <c r="F60" s="12">
        <f t="shared" si="81"/>
        <v>644.13793103448279</v>
      </c>
      <c r="G60" s="12">
        <f t="shared" si="81"/>
        <v>237.24137931034483</v>
      </c>
      <c r="H60" s="5">
        <v>2440</v>
      </c>
      <c r="I60" s="5">
        <v>2187</v>
      </c>
      <c r="J60" s="5">
        <v>467</v>
      </c>
      <c r="K60" s="5">
        <v>172</v>
      </c>
      <c r="L60" s="26">
        <f t="shared" si="82"/>
        <v>0.58401676366648891</v>
      </c>
      <c r="M60" s="26">
        <f t="shared" si="82"/>
        <v>0.73414333660243791</v>
      </c>
      <c r="N60" s="26">
        <f t="shared" si="82"/>
        <v>2.117666253015043</v>
      </c>
      <c r="O60" s="26">
        <f t="shared" si="82"/>
        <v>8.9953513412095223</v>
      </c>
      <c r="P60" s="26">
        <f t="shared" si="83"/>
        <v>12.431177694493492</v>
      </c>
      <c r="Q60" s="26">
        <f t="shared" si="84"/>
        <v>3.4358263532839697</v>
      </c>
      <c r="R60" s="26">
        <f>(LN(Q49/Q38))/$B$1</f>
        <v>0.77990903122552413</v>
      </c>
      <c r="S60" s="10"/>
      <c r="T60" s="10"/>
      <c r="V60" s="26">
        <f>(LN(Q52/Q39))/$B$1</f>
        <v>0.31549380726515286</v>
      </c>
      <c r="W60" s="10"/>
      <c r="X60" s="10"/>
      <c r="Z60" s="26">
        <f>(LN(Q55/Q40))/$B$1</f>
        <v>0.25715921932243663</v>
      </c>
      <c r="AA60" s="10"/>
      <c r="AB60" s="10"/>
    </row>
    <row r="61" spans="1:28" x14ac:dyDescent="0.2">
      <c r="A61" s="5" t="s">
        <v>367</v>
      </c>
      <c r="B61" s="10">
        <v>40</v>
      </c>
      <c r="C61" s="31">
        <f>1-0.25-0.025</f>
        <v>0.72499999999999998</v>
      </c>
      <c r="D61" s="12">
        <f t="shared" si="81"/>
        <v>11217.931034482759</v>
      </c>
      <c r="E61" s="12">
        <f t="shared" si="81"/>
        <v>10299.310344827587</v>
      </c>
      <c r="F61" s="12">
        <f t="shared" si="81"/>
        <v>1947.5862068965519</v>
      </c>
      <c r="G61" s="12">
        <f t="shared" si="81"/>
        <v>742.06896551724139</v>
      </c>
      <c r="H61" s="5">
        <v>8133</v>
      </c>
      <c r="I61" s="5">
        <v>7467</v>
      </c>
      <c r="J61" s="5">
        <v>1412</v>
      </c>
      <c r="K61" s="5">
        <v>538</v>
      </c>
      <c r="L61" s="26">
        <f t="shared" si="82"/>
        <v>1.7662937254354063</v>
      </c>
      <c r="M61" s="26">
        <f t="shared" si="82"/>
        <v>2.3675548708653302</v>
      </c>
      <c r="N61" s="26">
        <f t="shared" si="82"/>
        <v>5.2019535142985802</v>
      </c>
      <c r="O61" s="26">
        <f t="shared" si="82"/>
        <v>25.512336737920538</v>
      </c>
      <c r="P61" s="26">
        <f t="shared" si="83"/>
        <v>34.848138848519852</v>
      </c>
      <c r="Q61" s="26">
        <f t="shared" si="84"/>
        <v>9.3358021105993174</v>
      </c>
      <c r="R61" s="26">
        <f>LN(Q50/Q38)/$B$1</f>
        <v>0.77031654490825419</v>
      </c>
      <c r="S61" s="10"/>
      <c r="T61" s="10"/>
      <c r="V61" s="26">
        <f>LN(Q53/Q39)/$B$1</f>
        <v>0.4108396157372165</v>
      </c>
      <c r="W61" s="10"/>
      <c r="X61" s="10"/>
      <c r="Z61" s="26">
        <f>LN(Q56/Q40)/$B$1</f>
        <v>0.33533976207272037</v>
      </c>
      <c r="AA61" s="10"/>
      <c r="AB61" s="10"/>
    </row>
    <row r="62" spans="1:28" x14ac:dyDescent="0.2">
      <c r="A62" s="5" t="s">
        <v>368</v>
      </c>
      <c r="B62" s="10">
        <v>40</v>
      </c>
      <c r="C62" s="31">
        <f>1-0.22-0.025</f>
        <v>0.755</v>
      </c>
      <c r="D62" s="12">
        <f t="shared" si="81"/>
        <v>11082.119205298013</v>
      </c>
      <c r="E62" s="12">
        <f t="shared" si="81"/>
        <v>9806.6225165562919</v>
      </c>
      <c r="F62" s="12">
        <f t="shared" si="81"/>
        <v>2083.4437086092717</v>
      </c>
      <c r="G62" s="12">
        <f t="shared" si="81"/>
        <v>811.92052980132451</v>
      </c>
      <c r="H62" s="5">
        <v>8367</v>
      </c>
      <c r="I62" s="5">
        <v>7404</v>
      </c>
      <c r="J62" s="5">
        <v>1573</v>
      </c>
      <c r="K62" s="5">
        <v>613</v>
      </c>
      <c r="L62" s="26">
        <f t="shared" si="82"/>
        <v>1.6491962593040685</v>
      </c>
      <c r="M62" s="26">
        <f t="shared" si="82"/>
        <v>2.2830960798907918</v>
      </c>
      <c r="N62" s="26">
        <f t="shared" si="82"/>
        <v>5.7098780985497939</v>
      </c>
      <c r="O62" s="26">
        <f t="shared" si="82"/>
        <v>25.091074451360893</v>
      </c>
      <c r="P62" s="26">
        <f t="shared" si="83"/>
        <v>34.733244889105549</v>
      </c>
      <c r="Q62" s="26">
        <f t="shared" si="84"/>
        <v>9.6421704377446531</v>
      </c>
    </row>
    <row r="63" spans="1:28" x14ac:dyDescent="0.2">
      <c r="A63" s="5" t="s">
        <v>369</v>
      </c>
      <c r="B63" s="10">
        <v>50</v>
      </c>
      <c r="C63" s="31">
        <f t="shared" si="85"/>
        <v>0.73499999999999999</v>
      </c>
      <c r="D63" s="12">
        <f t="shared" si="81"/>
        <v>2934.6938775510203</v>
      </c>
      <c r="E63" s="12">
        <f t="shared" si="81"/>
        <v>3653.0612244897961</v>
      </c>
      <c r="F63" s="12">
        <f t="shared" si="81"/>
        <v>205.44217687074831</v>
      </c>
      <c r="G63" s="12">
        <f t="shared" si="81"/>
        <v>136.0544217687075</v>
      </c>
      <c r="H63" s="5">
        <v>2157</v>
      </c>
      <c r="I63" s="5">
        <v>2685</v>
      </c>
      <c r="J63" s="5">
        <v>151</v>
      </c>
      <c r="K63" s="5">
        <v>100</v>
      </c>
      <c r="L63" s="26">
        <f t="shared" si="82"/>
        <v>0.4905264796338899</v>
      </c>
      <c r="M63" s="26">
        <f t="shared" si="82"/>
        <v>0.94256620221105292</v>
      </c>
      <c r="N63" s="26">
        <f t="shared" si="82"/>
        <v>1.4753956510072288</v>
      </c>
      <c r="O63" s="26">
        <f t="shared" si="82"/>
        <v>4.7649345395878164</v>
      </c>
      <c r="P63" s="26">
        <f t="shared" si="83"/>
        <v>7.6734228724399882</v>
      </c>
      <c r="Q63" s="26">
        <f t="shared" si="84"/>
        <v>2.9084883328521718</v>
      </c>
    </row>
    <row r="64" spans="1:28" x14ac:dyDescent="0.2">
      <c r="A64" s="5" t="s">
        <v>370</v>
      </c>
      <c r="B64" s="10">
        <v>50</v>
      </c>
      <c r="C64" s="31">
        <f t="shared" si="85"/>
        <v>0.73499999999999999</v>
      </c>
      <c r="D64" s="12">
        <f t="shared" si="81"/>
        <v>8013.6054421768713</v>
      </c>
      <c r="E64" s="12">
        <f t="shared" si="81"/>
        <v>9708.8435374149667</v>
      </c>
      <c r="F64" s="12">
        <f t="shared" si="81"/>
        <v>497.9591836734694</v>
      </c>
      <c r="G64" s="12">
        <f t="shared" si="81"/>
        <v>364.62585034013608</v>
      </c>
      <c r="H64" s="5">
        <v>5890</v>
      </c>
      <c r="I64" s="5">
        <v>7136</v>
      </c>
      <c r="J64" s="5">
        <v>366</v>
      </c>
      <c r="K64" s="5">
        <v>268</v>
      </c>
      <c r="L64" s="26">
        <f t="shared" si="82"/>
        <v>1.1214054562336095</v>
      </c>
      <c r="M64" s="26">
        <f t="shared" si="82"/>
        <v>2.4584067210153147</v>
      </c>
      <c r="N64" s="26">
        <f t="shared" si="82"/>
        <v>3.7173132660245178</v>
      </c>
      <c r="O64" s="26">
        <f t="shared" si="82"/>
        <v>13.983806216429235</v>
      </c>
      <c r="P64" s="26">
        <f t="shared" si="83"/>
        <v>21.280931659702677</v>
      </c>
      <c r="Q64" s="26">
        <f t="shared" si="84"/>
        <v>7.2971254432734423</v>
      </c>
      <c r="R64" s="6" t="s">
        <v>555</v>
      </c>
      <c r="S64" s="6" t="s">
        <v>555</v>
      </c>
      <c r="T64" s="6" t="s">
        <v>555</v>
      </c>
      <c r="V64" s="6" t="s">
        <v>556</v>
      </c>
      <c r="W64" s="6" t="s">
        <v>556</v>
      </c>
      <c r="X64" s="6" t="s">
        <v>556</v>
      </c>
      <c r="Z64" s="6" t="s">
        <v>558</v>
      </c>
      <c r="AA64" s="6" t="s">
        <v>557</v>
      </c>
      <c r="AB64" s="6" t="s">
        <v>557</v>
      </c>
    </row>
    <row r="65" spans="1:28" x14ac:dyDescent="0.2">
      <c r="A65" s="5" t="s">
        <v>371</v>
      </c>
      <c r="B65" s="10">
        <v>50</v>
      </c>
      <c r="C65" s="31">
        <f>1-0.25-0.025</f>
        <v>0.72499999999999998</v>
      </c>
      <c r="D65" s="12">
        <f t="shared" si="81"/>
        <v>8521.3793103448279</v>
      </c>
      <c r="E65" s="12">
        <f t="shared" si="81"/>
        <v>10117.241379310346</v>
      </c>
      <c r="F65" s="12">
        <f t="shared" si="81"/>
        <v>489.65517241379314</v>
      </c>
      <c r="G65" s="12">
        <f>K65/$C65</f>
        <v>357.24137931034483</v>
      </c>
      <c r="H65" s="5">
        <v>6178</v>
      </c>
      <c r="I65" s="5">
        <v>7335</v>
      </c>
      <c r="J65" s="5">
        <v>355</v>
      </c>
      <c r="K65" s="5">
        <v>259</v>
      </c>
      <c r="L65" s="26">
        <f>W31*D65*1000/1000000</f>
        <v>1.2912578316569752</v>
      </c>
      <c r="M65" s="26">
        <f t="shared" ref="M65:N65" si="86">X31*E65*1000/1000000</f>
        <v>2.5193799877618916</v>
      </c>
      <c r="N65" s="26">
        <f t="shared" si="86"/>
        <v>3.149214033359192</v>
      </c>
      <c r="O65" s="26">
        <f>Z31*G65*1000/1000000</f>
        <v>11.020631353472931</v>
      </c>
      <c r="P65" s="26">
        <f t="shared" si="83"/>
        <v>17.980483206250987</v>
      </c>
      <c r="Q65" s="26">
        <f t="shared" si="84"/>
        <v>6.9598518527780584</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0.51145778879571813</v>
      </c>
      <c r="S66" s="26">
        <f>(R66-R67)/(1-0.25)</f>
        <v>0.60944467337559427</v>
      </c>
      <c r="T66" s="26">
        <f>S66+R68</f>
        <v>0.72914911728792986</v>
      </c>
      <c r="V66" s="26">
        <f>(LN(L60/(L42*0.25)))/$B$1</f>
        <v>0.38942464693878964</v>
      </c>
      <c r="W66" s="26">
        <f>(V66-V67)/(1-0.25)</f>
        <v>0.33136042508686808</v>
      </c>
      <c r="X66" s="26">
        <f>W66+V68</f>
        <v>0.41129110242342715</v>
      </c>
      <c r="Z66" s="26">
        <f>(LN(L63/(L43*0.25)))/$B$1</f>
        <v>0.40519609976956661</v>
      </c>
      <c r="AA66" s="26">
        <f>(Z66-Z67)/(1-0.25)</f>
        <v>0.66303475486539287</v>
      </c>
      <c r="AB66" s="26">
        <f>AA66+Z68</f>
        <v>0.69631837635909166</v>
      </c>
    </row>
    <row r="67" spans="1:28" x14ac:dyDescent="0.2">
      <c r="M67" s="12"/>
      <c r="N67" s="12"/>
      <c r="R67" s="26">
        <f>(LN(L58/L41))/$B$1</f>
        <v>5.4374283764022452E-2</v>
      </c>
      <c r="V67" s="26">
        <f>(LN(L61/L42))/$B$1</f>
        <v>0.14090432812363857</v>
      </c>
      <c r="Z67" s="26">
        <f>(LN(L64/L43))/$B$1</f>
        <v>-9.2079966379478032E-2</v>
      </c>
    </row>
    <row r="68" spans="1:28" x14ac:dyDescent="0.2">
      <c r="M68" s="12"/>
      <c r="N68" s="12"/>
      <c r="R68" s="26">
        <f>LN(L59/L41)/$B$1</f>
        <v>0.11970444391233553</v>
      </c>
      <c r="V68" s="26">
        <f>LN(L62/L42)/$B$1</f>
        <v>7.9930677336559064E-2</v>
      </c>
      <c r="Z68" s="26">
        <f>LN(L65/L43)/$B$1</f>
        <v>3.3283621493698776E-2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0.58102577394597987</v>
      </c>
      <c r="S71" s="26">
        <f>(R71-R72)/(1-0.25)</f>
        <v>0.33058711534018315</v>
      </c>
      <c r="T71" s="26">
        <f>S71+R73</f>
        <v>0.48209913405458549</v>
      </c>
      <c r="V71" s="26">
        <f>(LN(M60/(M42*0.25)))/$B$1</f>
        <v>0.3168943863143564</v>
      </c>
      <c r="W71" s="26">
        <f>(V71-V72)/(1-0.25)</f>
        <v>0.25527188224077496</v>
      </c>
      <c r="X71" s="26">
        <f>W71+V73</f>
        <v>0.34842322715793234</v>
      </c>
      <c r="Z71" s="26">
        <f>(LN(M63/(M43*0.25)))/$B$1</f>
        <v>0.35288106684476039</v>
      </c>
      <c r="AA71" s="26">
        <f>(Z71-Z72)/(1-0.25)</f>
        <v>0.50682284365899077</v>
      </c>
      <c r="AB71" s="26">
        <f>AA71+Z73</f>
        <v>0.50136399457759273</v>
      </c>
    </row>
    <row r="72" spans="1:28" x14ac:dyDescent="0.2">
      <c r="M72" s="12"/>
      <c r="N72" s="12"/>
      <c r="R72" s="26">
        <f>(LN(M58/M41))/$B$1</f>
        <v>0.33308543744084251</v>
      </c>
      <c r="V72" s="26">
        <f>(LN(M61/M42))/$B$1</f>
        <v>0.12544047463377517</v>
      </c>
      <c r="Z72" s="26">
        <f>(LN(M64/M43))/$B$1</f>
        <v>-2.7236065899482711E-2</v>
      </c>
    </row>
    <row r="73" spans="1:28" x14ac:dyDescent="0.2">
      <c r="M73" s="12"/>
      <c r="N73" s="12"/>
      <c r="R73" s="26">
        <f>LN(M59/M41)/$B$1</f>
        <v>0.15151201871440237</v>
      </c>
      <c r="V73" s="26">
        <f>LN(M62/M42)/$B$1</f>
        <v>9.3151344917157389E-2</v>
      </c>
      <c r="Z73" s="26">
        <f>LN(M65/M43)/$B$1</f>
        <v>-5.4588490813980914E-3</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1.0608308003172282</v>
      </c>
      <c r="S76" s="26">
        <f>(R76-R77)/(1-0.25)</f>
        <v>0.85156026009523311</v>
      </c>
      <c r="T76" s="26">
        <f>S76+R78</f>
        <v>1.1624080096559968</v>
      </c>
      <c r="V76" s="26">
        <f>(LN(N60/(N42*0.25)))/$B$1</f>
        <v>0.27768721246484307</v>
      </c>
      <c r="W76" s="26">
        <f>(V76-V77)/(1-0.25)</f>
        <v>0.57786641604378186</v>
      </c>
      <c r="X76" s="26">
        <f>W76+V78</f>
        <v>0.5049657665283519</v>
      </c>
      <c r="Z76" s="26">
        <f>(LN(N63/(N43*0.25)))/$B$1</f>
        <v>0.23330215923431552</v>
      </c>
      <c r="AA76" s="26">
        <f>(Z76-Z77)/(1-0.25)</f>
        <v>0.54781556845679968</v>
      </c>
      <c r="AB76" s="26">
        <f>AA76+Z78</f>
        <v>0.22283537708785423</v>
      </c>
    </row>
    <row r="77" spans="1:28" x14ac:dyDescent="0.2">
      <c r="M77" s="12"/>
      <c r="N77" s="12"/>
      <c r="R77" s="26">
        <f>(LN(N58/N41))/$B$1</f>
        <v>0.42216060524580329</v>
      </c>
      <c r="V77" s="26">
        <f>(LN(N61/N42))/$B$1</f>
        <v>-0.15571259956799335</v>
      </c>
      <c r="Z77" s="26">
        <f>(LN(N64/N43))/$B$1</f>
        <v>-0.17755951710828419</v>
      </c>
    </row>
    <row r="78" spans="1:28" x14ac:dyDescent="0.2">
      <c r="M78" s="12"/>
      <c r="N78" s="12"/>
      <c r="R78" s="26">
        <f>LN(N59/N41)/$B$1</f>
        <v>0.31084774956076361</v>
      </c>
      <c r="V78" s="26">
        <f>LN(N62/N42)/$B$1</f>
        <v>-7.2900649515429974E-2</v>
      </c>
      <c r="Z78" s="26">
        <f>LN(N65/N43)/$B$1</f>
        <v>-0.32498019136894546</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0.45477615573928493</v>
      </c>
      <c r="S81" s="26">
        <f>(R81-R82)/(1-0.25)</f>
        <v>0.68530103234436501</v>
      </c>
      <c r="T81" s="26">
        <f>S81+R83</f>
        <v>0.74846064324433226</v>
      </c>
      <c r="V81" s="26">
        <f>(LN(O60/(O42*0.25)))/$B$1</f>
        <v>0.21031449650042264</v>
      </c>
      <c r="W81" s="26">
        <f>(V81-V82)/(1-0.25)</f>
        <v>0.40751426198948087</v>
      </c>
      <c r="X81" s="26">
        <f>W81+V83</f>
        <v>0.29739311047063044</v>
      </c>
      <c r="Z81" s="26">
        <f>(LN(O63/(O43*0.25)))/$B$1</f>
        <v>0.1870228170462663</v>
      </c>
      <c r="AA81" s="26">
        <f>(Z81-Z82)/(1-0.25)</f>
        <v>0.36702601372243565</v>
      </c>
      <c r="AB81" s="26">
        <f>AA81+Z83</f>
        <v>6.7107438157773647E-2</v>
      </c>
    </row>
    <row r="82" spans="13:28" x14ac:dyDescent="0.2">
      <c r="M82" s="12"/>
      <c r="N82" s="12"/>
      <c r="R82" s="26">
        <f>(LN(O58/O41))/$B$1</f>
        <v>-5.9199618518988868E-2</v>
      </c>
      <c r="V82" s="26">
        <f>(LN(O61/O42))/$B$1</f>
        <v>-9.5321199991687991E-2</v>
      </c>
      <c r="Z82" s="26">
        <f>(LN(O64/O43))/$B$1</f>
        <v>-8.8246693245560406E-2</v>
      </c>
    </row>
    <row r="83" spans="13:28" x14ac:dyDescent="0.2">
      <c r="M83" s="12"/>
      <c r="N83" s="12"/>
      <c r="R83" s="26">
        <f>LN(O59/O41)/$B$1</f>
        <v>6.3159610899967272E-2</v>
      </c>
      <c r="V83" s="26">
        <f>LN(O62/O42)/$B$1</f>
        <v>-0.11012115151885042</v>
      </c>
      <c r="Z83" s="26">
        <f>LN(O65/O43)/$B$1</f>
        <v>-0.299918575564662</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0.94889750529141481</v>
      </c>
      <c r="S87" s="26">
        <f>(R87-R88)/(1-0.25)</f>
        <v>0.76962644907028821</v>
      </c>
      <c r="T87" s="26">
        <f>S87+R89</f>
        <v>1.0367390227680753</v>
      </c>
      <c r="V87" s="26">
        <f>(LN(Q60/(Q42*0.25)))/$B$1</f>
        <v>0.30411948992654891</v>
      </c>
      <c r="W87" s="26">
        <f>(V87-V88)/(1-0.25)</f>
        <v>0.45830533703573267</v>
      </c>
      <c r="X87" s="26">
        <f>W87+V89</f>
        <v>0.44739763222450102</v>
      </c>
      <c r="Z87" s="26">
        <f>(LN(Q63/(Q43*0.25)))/$B$1</f>
        <v>0.29823572623077177</v>
      </c>
      <c r="AA87" s="26">
        <f>(Z87-Z88)/(1-0.25)</f>
        <v>0.55282647510878691</v>
      </c>
      <c r="AB87" s="26">
        <f>AA87+Z89</f>
        <v>0.39437807202022657</v>
      </c>
    </row>
    <row r="88" spans="13:28" x14ac:dyDescent="0.2">
      <c r="M88" s="12"/>
      <c r="N88" s="12"/>
      <c r="R88" s="26">
        <f>(LN(Q58/Q41))/$B$1</f>
        <v>0.3716776684886986</v>
      </c>
      <c r="S88" s="10"/>
      <c r="T88" s="10"/>
      <c r="V88" s="26">
        <f>(LN(Q61/Q42))/$B$1</f>
        <v>-3.9609512850250633E-2</v>
      </c>
      <c r="W88" s="10"/>
      <c r="X88" s="10"/>
      <c r="Z88" s="26">
        <f>(LN(Q64/Q43))/$B$1</f>
        <v>-0.11638413010081845</v>
      </c>
      <c r="AA88" s="10"/>
      <c r="AB88" s="10"/>
    </row>
    <row r="89" spans="13:28" x14ac:dyDescent="0.2">
      <c r="M89" s="12"/>
      <c r="N89" s="12"/>
      <c r="R89" s="26">
        <f>LN(Q59/Q41)/$B$1</f>
        <v>0.26711257369778701</v>
      </c>
      <c r="S89" s="10"/>
      <c r="T89" s="10"/>
      <c r="V89" s="26">
        <f>LN(Q62/Q42)/$B$1</f>
        <v>-1.0907704811231643E-2</v>
      </c>
      <c r="W89" s="10"/>
      <c r="X89" s="10"/>
      <c r="Z89" s="26">
        <f>LN(Q65/Q43)/$B$1</f>
        <v>-0.15844840308856031</v>
      </c>
      <c r="AA89" s="10"/>
      <c r="AB89"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Z89"/>
  <sheetViews>
    <sheetView workbookViewId="0">
      <selection activeCell="B3" sqref="B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582</v>
      </c>
      <c r="B1" s="4">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372</v>
      </c>
      <c r="B4" s="10">
        <v>5</v>
      </c>
      <c r="C4" s="5">
        <v>11872</v>
      </c>
      <c r="D4" s="5">
        <v>9509</v>
      </c>
      <c r="E4" s="5">
        <v>829</v>
      </c>
      <c r="F4" s="5">
        <v>1271</v>
      </c>
      <c r="G4" s="5">
        <v>4858</v>
      </c>
      <c r="H4" s="5">
        <v>19967</v>
      </c>
      <c r="I4" s="7">
        <v>180000</v>
      </c>
      <c r="J4" s="7">
        <v>295700</v>
      </c>
      <c r="K4" s="5">
        <v>11927</v>
      </c>
      <c r="L4" s="5">
        <v>56805</v>
      </c>
      <c r="M4" s="7">
        <v>659200</v>
      </c>
      <c r="N4" s="7">
        <v>2473000</v>
      </c>
      <c r="O4" s="8">
        <f>(224333+K4)/235871</f>
        <v>1.001649206557822</v>
      </c>
      <c r="P4" s="8">
        <f>(224333+L4)/235871</f>
        <v>1.1919142243005711</v>
      </c>
      <c r="Q4" s="8">
        <f t="shared" ref="Q4:R9" si="0">(224333+M4)/235871</f>
        <v>3.7458314078458139</v>
      </c>
      <c r="R4" s="8">
        <f t="shared" si="0"/>
        <v>11.435627949175609</v>
      </c>
      <c r="S4" s="8">
        <f>4/3*3.14*((O4/2)^3)</f>
        <v>0.52592686019176726</v>
      </c>
      <c r="T4" s="8">
        <f t="shared" ref="T4:V9" si="1">4/3*3.14*((P4/2)^3)</f>
        <v>0.88616257712474045</v>
      </c>
      <c r="U4" s="8">
        <f t="shared" si="1"/>
        <v>27.505723821469214</v>
      </c>
      <c r="V4" s="8">
        <f>4/3*3.14*((R4/2)^3)</f>
        <v>782.63352949889759</v>
      </c>
      <c r="W4" s="8">
        <f>(S4*265)/1000</f>
        <v>0.13937061795081832</v>
      </c>
      <c r="X4" s="8">
        <f>(10^(-0.665+LOG(T4, 10)*0.959))</f>
        <v>0.19260402384620634</v>
      </c>
      <c r="Y4" s="8">
        <f>(10^(-0.665+LOG(U4, 10)*0.959))</f>
        <v>5.1928614072893433</v>
      </c>
      <c r="Z4" s="8">
        <f>(10^(-0.665+LOG(V4, 10)*0.959))</f>
        <v>128.8019842328614</v>
      </c>
      <c r="AA4" s="8">
        <f>W4*C4</f>
        <v>1654.6079763121149</v>
      </c>
      <c r="AB4" s="8">
        <f>X4*D4</f>
        <v>1831.4716627535761</v>
      </c>
      <c r="AC4" s="8">
        <f t="shared" ref="AC4:AD9" si="2">Y4*E4</f>
        <v>4304.8821066428654</v>
      </c>
      <c r="AD4" s="8">
        <f>Z4*F4</f>
        <v>163707.32195996685</v>
      </c>
      <c r="AE4" s="8">
        <f>AA4/(AA4+AB4+AC4+AD4)</f>
        <v>9.647956472565904E-3</v>
      </c>
      <c r="AF4" s="8">
        <f>AB4/(AA4+AB4+AC4+AD4)</f>
        <v>1.0679241932804059E-2</v>
      </c>
      <c r="AG4" s="8">
        <f>AC4/(AA4+AB4+AC4+AD4)</f>
        <v>2.510160459699343E-2</v>
      </c>
      <c r="AH4" s="8">
        <f>AD4/(AA4+AB4+AC4+AD4)</f>
        <v>0.95457119699763648</v>
      </c>
      <c r="AI4" s="8">
        <f>LN((AVERAGE(G14:G16))/G4)/1.125</f>
        <v>0.15794733460039259</v>
      </c>
      <c r="AJ4" s="8">
        <f>LN((AVERAGE(H14:H16))/H4)/1.125</f>
        <v>0.21916124963995817</v>
      </c>
      <c r="AK4" s="8">
        <f>LN((AVERAGE(I14:I16))/I4)/1.125</f>
        <v>0.1975593485594006</v>
      </c>
      <c r="AL4" s="8">
        <f>LN((AVERAGE(J14:J16))/J4)/1.125</f>
        <v>3.3005194975944622E-3</v>
      </c>
      <c r="AM4" s="15">
        <f>(AI4*AE4)+(AJ4*AF4)+(AG4*AK4)+(AH4*AL4)</f>
        <v>1.1973982515893631E-2</v>
      </c>
      <c r="AN4" s="10">
        <v>5</v>
      </c>
      <c r="AO4" s="50">
        <f>H4/L4</f>
        <v>0.35150074817357629</v>
      </c>
      <c r="AP4" s="50">
        <f>I4/M4</f>
        <v>0.27305825242718446</v>
      </c>
      <c r="AQ4" s="50">
        <f>LN((AVERAGE(AO14:AO16))/AO4)/1.125</f>
        <v>0.19172676889976112</v>
      </c>
      <c r="AR4" s="50">
        <f>LN((AVERAGE(AP14:AP16))/AP4)/1.125</f>
        <v>-5.5358112038082413E-2</v>
      </c>
      <c r="AS4" s="8">
        <f>AB4/(AB4+AC4)</f>
        <v>0.29846252865791267</v>
      </c>
      <c r="AT4" s="8">
        <f>AC4/(AC4+AB4)</f>
        <v>0.70153747134208722</v>
      </c>
      <c r="AU4" s="50">
        <f>(AQ4*AS4)+(AR4*AT4)</f>
        <v>1.8387466319765663E-2</v>
      </c>
      <c r="AV4" s="46">
        <f>H4</f>
        <v>19967</v>
      </c>
      <c r="AW4" s="46">
        <f t="shared" ref="AW4:AW11" si="3">I4</f>
        <v>180000</v>
      </c>
      <c r="AX4" s="48">
        <f>LN((AVERAGE(AV14:AV16))/AV4)/1.125</f>
        <v>0.21916124963995817</v>
      </c>
      <c r="AY4" s="48">
        <f>LN((AVERAGE(AW14:AW16))/AW4)/1.125</f>
        <v>0.1975593485594006</v>
      </c>
      <c r="AZ4" s="48">
        <f t="shared" ref="AZ4:AZ9" si="4">(AX4*AS4)+(AY4*AT4)</f>
        <v>0.20400670657972189</v>
      </c>
    </row>
    <row r="5" spans="1:52" x14ac:dyDescent="0.2">
      <c r="A5" s="5" t="s">
        <v>373</v>
      </c>
      <c r="B5" s="10">
        <v>12</v>
      </c>
      <c r="C5" s="5">
        <v>23356</v>
      </c>
      <c r="D5" s="5">
        <v>11086</v>
      </c>
      <c r="E5" s="5">
        <v>1412</v>
      </c>
      <c r="F5" s="5">
        <v>924</v>
      </c>
      <c r="G5" s="5">
        <v>6515</v>
      </c>
      <c r="H5" s="5">
        <v>23411</v>
      </c>
      <c r="I5" s="7">
        <v>184700</v>
      </c>
      <c r="J5" s="7">
        <v>295900</v>
      </c>
      <c r="K5" s="5">
        <v>8889</v>
      </c>
      <c r="L5" s="5">
        <v>51775</v>
      </c>
      <c r="M5" s="7">
        <v>730500</v>
      </c>
      <c r="N5" s="7">
        <v>2311000</v>
      </c>
      <c r="O5" s="8">
        <f t="shared" ref="O5:P9" si="5">(224333+K5)/235871</f>
        <v>0.98876928490573235</v>
      </c>
      <c r="P5" s="8">
        <f t="shared" si="5"/>
        <v>1.1705890083986585</v>
      </c>
      <c r="Q5" s="8">
        <f t="shared" si="0"/>
        <v>4.0481152833540364</v>
      </c>
      <c r="R5" s="8">
        <f t="shared" si="0"/>
        <v>10.748811850545426</v>
      </c>
      <c r="S5" s="8">
        <f t="shared" ref="S5:S9" si="6">4/3*3.14*((O5/2)^3)</f>
        <v>0.50589839179362028</v>
      </c>
      <c r="T5" s="8">
        <f t="shared" si="1"/>
        <v>0.83944398833146949</v>
      </c>
      <c r="U5" s="8">
        <f t="shared" si="1"/>
        <v>34.716586251172515</v>
      </c>
      <c r="V5" s="8">
        <f t="shared" si="1"/>
        <v>649.9198187398971</v>
      </c>
      <c r="W5" s="8">
        <f t="shared" ref="W5:W9" si="7">(S5*265)/1000</f>
        <v>0.13406307382530938</v>
      </c>
      <c r="X5" s="8">
        <f t="shared" ref="X5:Z9" si="8">(10^(-0.665+LOG(T5, 10)*0.959))</f>
        <v>0.18285551467578473</v>
      </c>
      <c r="Y5" s="8">
        <f t="shared" si="8"/>
        <v>6.4919474548429115</v>
      </c>
      <c r="Z5" s="8">
        <f t="shared" si="8"/>
        <v>107.77859791744729</v>
      </c>
      <c r="AA5" s="8">
        <f t="shared" ref="AA5:AB9" si="9">W5*C5</f>
        <v>3131.177152263926</v>
      </c>
      <c r="AB5" s="8">
        <f t="shared" si="9"/>
        <v>2027.1362356957495</v>
      </c>
      <c r="AC5" s="8">
        <f t="shared" si="2"/>
        <v>9166.6298062381902</v>
      </c>
      <c r="AD5" s="8">
        <f t="shared" si="2"/>
        <v>99587.424475721287</v>
      </c>
      <c r="AE5" s="8">
        <f t="shared" ref="AE5:AE9" si="10">AA5/(AA5+AB5+AC5+AD5)</f>
        <v>2.7487596090856919E-2</v>
      </c>
      <c r="AF5" s="8">
        <f t="shared" ref="AF5:AF9" si="11">AB5/(AA5+AB5+AC5+AD5)</f>
        <v>1.7795576346632775E-2</v>
      </c>
      <c r="AG5" s="8">
        <f t="shared" ref="AG5:AG9" si="12">AC5/(AA5+AB5+AC5+AD5)</f>
        <v>8.0470891736708433E-2</v>
      </c>
      <c r="AH5" s="8">
        <f t="shared" ref="AH5:AH9" si="13">AD5/(AA5+AB5+AC5+AD5)</f>
        <v>0.87424593582580179</v>
      </c>
      <c r="AI5" s="8">
        <f>LN((AVERAGE(G17:G19))/G5)/1.125</f>
        <v>0.14379930342279823</v>
      </c>
      <c r="AJ5" s="8">
        <f>LN((AVERAGE(H17:H19))/H5)/1.125</f>
        <v>0.17543514172407504</v>
      </c>
      <c r="AK5" s="8">
        <f>LN((AVERAGE(I17:I19))/I5)/1.125</f>
        <v>6.8813744051557671E-2</v>
      </c>
      <c r="AL5" s="8">
        <f>LN((AVERAGE(J17:J19))/J5)/1.125</f>
        <v>0</v>
      </c>
      <c r="AM5" s="15">
        <f t="shared" ref="AM5:AM9" si="14">(AI5*AE5)+(AJ5*AF5)+(AG5*AK5)+(AH5*AL5)</f>
        <v>1.2612169976636035E-2</v>
      </c>
      <c r="AN5" s="10">
        <v>12</v>
      </c>
      <c r="AO5" s="50">
        <f t="shared" ref="AO5:AO11" si="15">H5/L5</f>
        <v>0.45216803476581363</v>
      </c>
      <c r="AP5" s="50">
        <f t="shared" ref="AP5:AP11" si="16">I5/M5</f>
        <v>0.25284052019164954</v>
      </c>
      <c r="AQ5" s="50">
        <f>LN((AVERAGE(AO17:AO19))/AO5)/1.125</f>
        <v>0.13567121372913854</v>
      </c>
      <c r="AR5" s="50">
        <f>LN((AVERAGE(AP17:AP19))/AP5)/1.125</f>
        <v>0.12461139271946177</v>
      </c>
      <c r="AS5" s="8">
        <f t="shared" ref="AS5:AS9" si="17">AB5/(AB5+AC5)</f>
        <v>0.18109510490943964</v>
      </c>
      <c r="AT5" s="8">
        <f t="shared" ref="AT5:AT9" si="18">AC5/(AC5+AB5)</f>
        <v>0.81890489509056041</v>
      </c>
      <c r="AU5" s="50">
        <f t="shared" ref="AU5:AU9" si="19">(AQ5*AS5)+(AR5*AT5)</f>
        <v>0.12661427216548882</v>
      </c>
      <c r="AV5" s="46">
        <f t="shared" ref="AV5:AV11" si="20">H5</f>
        <v>23411</v>
      </c>
      <c r="AW5" s="46">
        <f t="shared" si="3"/>
        <v>184700</v>
      </c>
      <c r="AX5" s="48">
        <f>LN((AVERAGE(AV17:AV19))/AV5)/1.125</f>
        <v>0.17543514172407504</v>
      </c>
      <c r="AY5" s="48">
        <f>LN((AVERAGE(AW17:AW19))/AW5)/1.125</f>
        <v>6.8813744051557671E-2</v>
      </c>
      <c r="AZ5" s="48">
        <f t="shared" si="4"/>
        <v>8.8122357248653291E-2</v>
      </c>
    </row>
    <row r="6" spans="1:52" x14ac:dyDescent="0.2">
      <c r="A6" s="5" t="s">
        <v>374</v>
      </c>
      <c r="B6" s="10">
        <v>20</v>
      </c>
      <c r="C6" s="5">
        <v>31959</v>
      </c>
      <c r="D6" s="5">
        <v>13112</v>
      </c>
      <c r="E6" s="5">
        <v>1376</v>
      </c>
      <c r="F6" s="5">
        <v>717</v>
      </c>
      <c r="G6" s="5">
        <v>7571</v>
      </c>
      <c r="H6" s="5">
        <v>27946</v>
      </c>
      <c r="I6" s="7">
        <v>184000</v>
      </c>
      <c r="J6" s="7">
        <v>296100</v>
      </c>
      <c r="K6" s="5">
        <v>6630</v>
      </c>
      <c r="L6" s="5">
        <v>55662</v>
      </c>
      <c r="M6" s="7">
        <v>685900</v>
      </c>
      <c r="N6" s="7">
        <v>2255000</v>
      </c>
      <c r="O6" s="8">
        <f t="shared" si="5"/>
        <v>0.97919201597483374</v>
      </c>
      <c r="P6" s="8">
        <f t="shared" si="5"/>
        <v>1.1870683551602359</v>
      </c>
      <c r="Q6" s="8">
        <f t="shared" si="0"/>
        <v>3.8590288759533813</v>
      </c>
      <c r="R6" s="8">
        <f t="shared" si="0"/>
        <v>10.511393939907832</v>
      </c>
      <c r="S6" s="8">
        <f t="shared" si="6"/>
        <v>0.49133984991075025</v>
      </c>
      <c r="T6" s="8">
        <f t="shared" si="1"/>
        <v>0.87539806211809068</v>
      </c>
      <c r="U6" s="8">
        <f t="shared" si="1"/>
        <v>30.075474126495735</v>
      </c>
      <c r="V6" s="8">
        <f t="shared" si="1"/>
        <v>607.79809643107308</v>
      </c>
      <c r="W6" s="8">
        <f t="shared" si="7"/>
        <v>0.13020506022634881</v>
      </c>
      <c r="X6" s="8">
        <f t="shared" si="8"/>
        <v>0.19035976152392806</v>
      </c>
      <c r="Y6" s="8">
        <f t="shared" si="8"/>
        <v>5.6572552057589185</v>
      </c>
      <c r="Z6" s="8">
        <f t="shared" si="8"/>
        <v>101.07068353450862</v>
      </c>
      <c r="AA6" s="8">
        <f t="shared" si="9"/>
        <v>4161.2235197738819</v>
      </c>
      <c r="AB6" s="8">
        <f t="shared" si="9"/>
        <v>2495.9971931017449</v>
      </c>
      <c r="AC6" s="8">
        <f t="shared" si="2"/>
        <v>7784.383163124272</v>
      </c>
      <c r="AD6" s="8">
        <f t="shared" si="2"/>
        <v>72467.680094242678</v>
      </c>
      <c r="AE6" s="8">
        <f t="shared" si="10"/>
        <v>4.7880080581479308E-2</v>
      </c>
      <c r="AF6" s="8">
        <f t="shared" si="11"/>
        <v>2.871956917694047E-2</v>
      </c>
      <c r="AG6" s="8">
        <f t="shared" si="12"/>
        <v>8.9569063367149787E-2</v>
      </c>
      <c r="AH6" s="8">
        <f t="shared" si="13"/>
        <v>0.83383128687443053</v>
      </c>
      <c r="AI6" s="8">
        <f>LN((AVERAGE(G20:G22))/G6)/1.125</f>
        <v>0.31292168788339586</v>
      </c>
      <c r="AJ6" s="8">
        <f>LN((AVERAGE(H20:H22))/H6)/1.125</f>
        <v>0.16835329760631881</v>
      </c>
      <c r="AK6" s="8">
        <f>LN((AVERAGE(I20:I22))/I6)/1.125</f>
        <v>0.11593263579765549</v>
      </c>
      <c r="AL6" s="8">
        <f>LN((AVERAGE(J20:J22))/J6)/1.125</f>
        <v>-2.0015512106394054E-4</v>
      </c>
      <c r="AM6" s="15">
        <f t="shared" si="14"/>
        <v>3.003483180822988E-2</v>
      </c>
      <c r="AN6" s="10">
        <v>20</v>
      </c>
      <c r="AO6" s="50">
        <f t="shared" si="15"/>
        <v>0.50206604146455391</v>
      </c>
      <c r="AP6" s="50">
        <f t="shared" si="16"/>
        <v>0.26826067939932935</v>
      </c>
      <c r="AQ6" s="50">
        <f>LN((AVERAGE(AO20:AO22))/AO6)/1.125</f>
        <v>0.29787018233599594</v>
      </c>
      <c r="AR6" s="50">
        <f>LN((AVERAGE(AP20:AP22))/AP6)/1.125</f>
        <v>0.18371873549209963</v>
      </c>
      <c r="AS6" s="8">
        <f t="shared" si="17"/>
        <v>0.24279230014968425</v>
      </c>
      <c r="AT6" s="8">
        <f t="shared" si="18"/>
        <v>0.75720769985031577</v>
      </c>
      <c r="AU6" s="50">
        <f t="shared" si="19"/>
        <v>0.21143382783674364</v>
      </c>
      <c r="AV6" s="46">
        <f t="shared" si="20"/>
        <v>27946</v>
      </c>
      <c r="AW6" s="46">
        <f t="shared" si="3"/>
        <v>184000</v>
      </c>
      <c r="AX6" s="48">
        <f>LN((AVERAGE(AV20:AV22))/AV6)/1.125</f>
        <v>0.16835329760631881</v>
      </c>
      <c r="AY6" s="48">
        <f>LN((AVERAGE(AW20:AW22))/AW6)/1.125</f>
        <v>0.11593263579765549</v>
      </c>
      <c r="AZ6" s="48">
        <f t="shared" si="4"/>
        <v>0.12865996885354958</v>
      </c>
    </row>
    <row r="7" spans="1:52" x14ac:dyDescent="0.2">
      <c r="A7" s="5" t="s">
        <v>375</v>
      </c>
      <c r="B7" s="10">
        <v>30</v>
      </c>
      <c r="C7" s="5">
        <v>29283</v>
      </c>
      <c r="D7" s="5">
        <v>13851</v>
      </c>
      <c r="E7" s="5">
        <v>958</v>
      </c>
      <c r="F7" s="5">
        <v>576</v>
      </c>
      <c r="G7" s="5">
        <v>9545</v>
      </c>
      <c r="H7" s="5">
        <v>36628</v>
      </c>
      <c r="I7" s="7">
        <v>197100</v>
      </c>
      <c r="J7" s="7">
        <v>294900</v>
      </c>
      <c r="K7" s="5">
        <v>7451</v>
      </c>
      <c r="L7" s="5">
        <v>49470</v>
      </c>
      <c r="M7" s="7">
        <v>593200</v>
      </c>
      <c r="N7" s="7">
        <v>1871000</v>
      </c>
      <c r="O7" s="8">
        <f t="shared" si="5"/>
        <v>0.98267273212900275</v>
      </c>
      <c r="P7" s="8">
        <f t="shared" si="5"/>
        <v>1.1608167176125934</v>
      </c>
      <c r="Q7" s="8">
        <f t="shared" si="0"/>
        <v>3.4660174417372209</v>
      </c>
      <c r="R7" s="8">
        <f t="shared" si="0"/>
        <v>8.8833854098214697</v>
      </c>
      <c r="S7" s="8">
        <f t="shared" si="6"/>
        <v>0.49659816798363449</v>
      </c>
      <c r="T7" s="8">
        <f t="shared" si="1"/>
        <v>0.8185955128371607</v>
      </c>
      <c r="U7" s="8">
        <f t="shared" si="1"/>
        <v>21.790672281815681</v>
      </c>
      <c r="V7" s="8">
        <f t="shared" si="1"/>
        <v>366.87144598753326</v>
      </c>
      <c r="W7" s="8">
        <f t="shared" si="7"/>
        <v>0.13159851451566315</v>
      </c>
      <c r="X7" s="8">
        <f t="shared" si="8"/>
        <v>0.17849806641429369</v>
      </c>
      <c r="Y7" s="8">
        <f t="shared" si="8"/>
        <v>4.1533787198174625</v>
      </c>
      <c r="Z7" s="8">
        <f t="shared" si="8"/>
        <v>62.282902180908138</v>
      </c>
      <c r="AA7" s="8">
        <f t="shared" si="9"/>
        <v>3853.599300562164</v>
      </c>
      <c r="AB7" s="8">
        <f t="shared" si="9"/>
        <v>2472.3767179043821</v>
      </c>
      <c r="AC7" s="8">
        <f t="shared" si="2"/>
        <v>3978.9368135851291</v>
      </c>
      <c r="AD7" s="8">
        <f t="shared" si="2"/>
        <v>35874.951656203091</v>
      </c>
      <c r="AE7" s="8">
        <f t="shared" si="10"/>
        <v>8.344760954294865E-2</v>
      </c>
      <c r="AF7" s="8">
        <f t="shared" si="11"/>
        <v>5.3537981224115502E-2</v>
      </c>
      <c r="AG7" s="8">
        <f t="shared" si="12"/>
        <v>8.6161725628214406E-2</v>
      </c>
      <c r="AH7" s="8">
        <f t="shared" si="13"/>
        <v>0.77685268360472148</v>
      </c>
      <c r="AI7" s="8">
        <f>LN((AVERAGE(G23:G25))/G7)/1.125</f>
        <v>0.29084437047163475</v>
      </c>
      <c r="AJ7" s="8">
        <f>LN((AVERAGE(H23:H25))/H7)/1.125</f>
        <v>0.21202827083082215</v>
      </c>
      <c r="AK7" s="8">
        <f>LN((AVERAGE(I23:I25))/I7)/1.125</f>
        <v>0.14733539839673052</v>
      </c>
      <c r="AL7" s="8">
        <f>LN((AVERAGE(J23:J25))/J7)/1.125</f>
        <v>1.3051965473249428E-3</v>
      </c>
      <c r="AM7" s="15">
        <f t="shared" si="14"/>
        <v>4.9330450660007664E-2</v>
      </c>
      <c r="AN7" s="10">
        <v>30</v>
      </c>
      <c r="AO7" s="50">
        <f t="shared" si="15"/>
        <v>0.74040832827976555</v>
      </c>
      <c r="AP7" s="50">
        <f t="shared" si="16"/>
        <v>0.33226567768037762</v>
      </c>
      <c r="AQ7" s="50">
        <f>LN((AVERAGE(AO23:AO25))/AO7)/1.125</f>
        <v>0.20815832782067351</v>
      </c>
      <c r="AR7" s="50">
        <f>LN((AVERAGE(AP23:AP25))/AP7)/1.125</f>
        <v>9.5154150199667595E-2</v>
      </c>
      <c r="AS7" s="8">
        <f t="shared" si="17"/>
        <v>0.38323617443741681</v>
      </c>
      <c r="AT7" s="8">
        <f t="shared" si="18"/>
        <v>0.61676382556258313</v>
      </c>
      <c r="AU7" s="50">
        <f t="shared" si="19"/>
        <v>0.13846143892658824</v>
      </c>
      <c r="AV7" s="46">
        <f t="shared" si="20"/>
        <v>36628</v>
      </c>
      <c r="AW7" s="46">
        <f t="shared" si="3"/>
        <v>197100</v>
      </c>
      <c r="AX7" s="48">
        <f>LN((AVERAGE(AV23:AV25))/AV7)/1.125</f>
        <v>0.21202827083082215</v>
      </c>
      <c r="AY7" s="48">
        <f>LN((AVERAGE(AW23:AW25))/AW7)/1.125</f>
        <v>0.14733539839673052</v>
      </c>
      <c r="AZ7" s="48">
        <f t="shared" si="4"/>
        <v>0.17212804734173959</v>
      </c>
    </row>
    <row r="8" spans="1:52" x14ac:dyDescent="0.2">
      <c r="A8" s="5" t="s">
        <v>376</v>
      </c>
      <c r="B8" s="10">
        <v>40</v>
      </c>
      <c r="C8" s="5">
        <v>16749</v>
      </c>
      <c r="D8" s="5">
        <v>14026</v>
      </c>
      <c r="E8" s="5">
        <v>492</v>
      </c>
      <c r="F8" s="5">
        <v>330</v>
      </c>
      <c r="G8" s="5">
        <v>14321</v>
      </c>
      <c r="H8" s="5">
        <v>52106</v>
      </c>
      <c r="I8" s="7">
        <v>220600</v>
      </c>
      <c r="J8" s="7">
        <v>293200</v>
      </c>
      <c r="K8" s="5">
        <v>8393</v>
      </c>
      <c r="L8" s="5">
        <v>45324</v>
      </c>
      <c r="M8" s="7">
        <v>565400</v>
      </c>
      <c r="N8" s="7">
        <v>1686000</v>
      </c>
      <c r="O8" s="8">
        <f t="shared" si="5"/>
        <v>0.9866664405543708</v>
      </c>
      <c r="P8" s="8">
        <f t="shared" si="5"/>
        <v>1.1432393130143172</v>
      </c>
      <c r="Q8" s="8">
        <f t="shared" si="0"/>
        <v>3.3481564075278438</v>
      </c>
      <c r="R8" s="8">
        <f t="shared" si="0"/>
        <v>8.0990583836079892</v>
      </c>
      <c r="S8" s="8">
        <f t="shared" si="6"/>
        <v>0.50267752502451624</v>
      </c>
      <c r="T8" s="8">
        <f t="shared" si="1"/>
        <v>0.78196956199978973</v>
      </c>
      <c r="U8" s="8">
        <f t="shared" si="1"/>
        <v>19.64244793461619</v>
      </c>
      <c r="V8" s="8">
        <f t="shared" si="1"/>
        <v>278.02380753615876</v>
      </c>
      <c r="W8" s="8">
        <f t="shared" si="7"/>
        <v>0.13320954413149683</v>
      </c>
      <c r="X8" s="8">
        <f t="shared" si="8"/>
        <v>0.17083193682600789</v>
      </c>
      <c r="Y8" s="8">
        <f t="shared" si="8"/>
        <v>3.7598852496339727</v>
      </c>
      <c r="Z8" s="8">
        <f t="shared" si="8"/>
        <v>47.73914375244555</v>
      </c>
      <c r="AA8" s="8">
        <f t="shared" si="9"/>
        <v>2231.1266546584402</v>
      </c>
      <c r="AB8" s="8">
        <f t="shared" si="9"/>
        <v>2396.0887459215865</v>
      </c>
      <c r="AC8" s="8">
        <f t="shared" si="2"/>
        <v>1849.8635428199145</v>
      </c>
      <c r="AD8" s="8">
        <f t="shared" si="2"/>
        <v>15753.917438307031</v>
      </c>
      <c r="AE8" s="8">
        <f t="shared" si="10"/>
        <v>0.10036107317683467</v>
      </c>
      <c r="AF8" s="8">
        <f t="shared" si="11"/>
        <v>0.10778143744799649</v>
      </c>
      <c r="AG8" s="8">
        <f t="shared" si="12"/>
        <v>8.3211004628748697E-2</v>
      </c>
      <c r="AH8" s="8">
        <f t="shared" si="13"/>
        <v>0.70864648474642011</v>
      </c>
      <c r="AI8" s="8">
        <f>LN((AVERAGE(G26:G28))/G8)/1.125</f>
        <v>0.15168254192410408</v>
      </c>
      <c r="AJ8" s="8">
        <f>LN((AVERAGE(H26:H28))/H8)/1.125</f>
        <v>8.9207285750040721E-2</v>
      </c>
      <c r="AK8" s="8">
        <f>LN((AVERAGE(I26:I28))/I8)/1.125</f>
        <v>8.4622471677067157E-2</v>
      </c>
      <c r="AL8" s="8">
        <f>LN((AVERAGE(J26:J28))/J8)/1.125</f>
        <v>-8.0881615124536624E-4</v>
      </c>
      <c r="AM8" s="15">
        <f t="shared" si="14"/>
        <v>3.1306268338697298E-2</v>
      </c>
      <c r="AN8" s="10">
        <v>40</v>
      </c>
      <c r="AO8" s="50">
        <f t="shared" si="15"/>
        <v>1.1496337481246139</v>
      </c>
      <c r="AP8" s="50">
        <f t="shared" si="16"/>
        <v>0.39016625397948357</v>
      </c>
      <c r="AQ8" s="50">
        <f>LN((AVERAGE(AO26:AO28))/AO8)/1.125</f>
        <v>5.4714684043397882E-2</v>
      </c>
      <c r="AR8" s="50">
        <f>LN((AVERAGE(AP26:AP28))/AP8)/1.125</f>
        <v>0.13194792462610797</v>
      </c>
      <c r="AS8" s="8">
        <f t="shared" si="17"/>
        <v>0.56432305004345362</v>
      </c>
      <c r="AT8" s="8">
        <f t="shared" si="18"/>
        <v>0.43567694995654643</v>
      </c>
      <c r="AU8" s="50">
        <f t="shared" si="19"/>
        <v>8.8363426735733178E-2</v>
      </c>
      <c r="AV8" s="46">
        <f t="shared" si="20"/>
        <v>52106</v>
      </c>
      <c r="AW8" s="46">
        <f t="shared" si="3"/>
        <v>220600</v>
      </c>
      <c r="AX8" s="48">
        <f>LN((AVERAGE(AV26:AV28))/AV8)/1.125</f>
        <v>8.9207285750040721E-2</v>
      </c>
      <c r="AY8" s="48">
        <f>LN((AVERAGE(AW26:AW28))/AW8)/1.125</f>
        <v>8.4622471677067157E-2</v>
      </c>
      <c r="AZ8" s="48">
        <f t="shared" si="4"/>
        <v>8.7209787938609756E-2</v>
      </c>
    </row>
    <row r="9" spans="1:52" x14ac:dyDescent="0.2">
      <c r="A9" s="5" t="s">
        <v>377</v>
      </c>
      <c r="B9" s="10">
        <v>50</v>
      </c>
      <c r="C9" s="5">
        <v>12422</v>
      </c>
      <c r="D9" s="5">
        <v>12394</v>
      </c>
      <c r="E9" s="5">
        <v>222</v>
      </c>
      <c r="F9" s="5">
        <v>258</v>
      </c>
      <c r="G9" s="5">
        <v>16510</v>
      </c>
      <c r="H9" s="5">
        <v>61851</v>
      </c>
      <c r="I9" s="7">
        <v>250700</v>
      </c>
      <c r="J9" s="7">
        <v>292100</v>
      </c>
      <c r="K9" s="5">
        <v>11710</v>
      </c>
      <c r="L9" s="5">
        <v>50966</v>
      </c>
      <c r="M9" s="7">
        <v>579100</v>
      </c>
      <c r="N9" s="7">
        <v>1491000</v>
      </c>
      <c r="O9" s="8">
        <f t="shared" si="5"/>
        <v>1.0007292121541012</v>
      </c>
      <c r="P9" s="8">
        <f t="shared" si="5"/>
        <v>1.1671591675110549</v>
      </c>
      <c r="Q9" s="8">
        <f t="shared" si="0"/>
        <v>3.4062390035231123</v>
      </c>
      <c r="R9" s="8">
        <f t="shared" si="0"/>
        <v>7.2723353019235093</v>
      </c>
      <c r="S9" s="8">
        <f t="shared" si="6"/>
        <v>0.52447903146627339</v>
      </c>
      <c r="T9" s="8">
        <f t="shared" si="1"/>
        <v>0.83208684190682192</v>
      </c>
      <c r="U9" s="8">
        <f t="shared" si="1"/>
        <v>20.682534165699288</v>
      </c>
      <c r="V9" s="8">
        <f t="shared" si="1"/>
        <v>201.27974849932568</v>
      </c>
      <c r="W9" s="8">
        <f t="shared" si="7"/>
        <v>0.13898694333856243</v>
      </c>
      <c r="X9" s="8">
        <f t="shared" si="8"/>
        <v>0.18131834217550083</v>
      </c>
      <c r="Y9" s="8">
        <f t="shared" si="8"/>
        <v>3.9506085257899231</v>
      </c>
      <c r="Z9" s="8">
        <f t="shared" si="8"/>
        <v>35.022268865970446</v>
      </c>
      <c r="AA9" s="8">
        <f t="shared" si="9"/>
        <v>1726.4958101516224</v>
      </c>
      <c r="AB9" s="8">
        <f t="shared" si="9"/>
        <v>2247.2595329231572</v>
      </c>
      <c r="AC9" s="8">
        <f t="shared" si="2"/>
        <v>877.03509272536292</v>
      </c>
      <c r="AD9" s="8">
        <f t="shared" si="2"/>
        <v>9035.7453674203753</v>
      </c>
      <c r="AE9" s="8">
        <f t="shared" si="10"/>
        <v>0.12432876237939915</v>
      </c>
      <c r="AF9" s="8">
        <f t="shared" si="11"/>
        <v>0.16183010397755071</v>
      </c>
      <c r="AG9" s="8">
        <f t="shared" si="12"/>
        <v>6.315722691054193E-2</v>
      </c>
      <c r="AH9" s="8">
        <f t="shared" si="13"/>
        <v>0.6506839067325082</v>
      </c>
      <c r="AI9" s="8">
        <f>LN((AVERAGE(G29:G31))/G9)/1.125</f>
        <v>4.4539058263901608E-2</v>
      </c>
      <c r="AJ9" s="8">
        <f>LN((AVERAGE(H29:H31))/H9)/1.125</f>
        <v>8.4389724775159828E-3</v>
      </c>
      <c r="AK9" s="8">
        <f>LN((AVERAGE(I29:I31))/I9)/1.125</f>
        <v>-6.4828861769805929E-2</v>
      </c>
      <c r="AL9" s="8">
        <f>LN((AVERAGE(J29:J31))/J9)/1.125</f>
        <v>2.0264203211259688E-3</v>
      </c>
      <c r="AM9" s="15">
        <f t="shared" si="14"/>
        <v>4.1273137430795359E-3</v>
      </c>
      <c r="AN9" s="10">
        <v>50</v>
      </c>
      <c r="AO9" s="50">
        <f t="shared" si="15"/>
        <v>1.213573755052388</v>
      </c>
      <c r="AP9" s="50">
        <f t="shared" si="16"/>
        <v>0.43291314108098772</v>
      </c>
      <c r="AQ9" s="50">
        <f>LN((AVERAGE(AO29:AO31))/AO9)/1.125</f>
        <v>7.393098450187896E-2</v>
      </c>
      <c r="AR9" s="50">
        <f>LN((AVERAGE(AP29:AP31))/AP9)/1.125</f>
        <v>0.13567300667620805</v>
      </c>
      <c r="AS9" s="8">
        <f t="shared" si="17"/>
        <v>0.71928540748831782</v>
      </c>
      <c r="AT9" s="8">
        <f t="shared" si="18"/>
        <v>0.28071459251168218</v>
      </c>
      <c r="AU9" s="50">
        <f t="shared" si="19"/>
        <v>9.1262871097393006E-2</v>
      </c>
      <c r="AV9" s="46">
        <f t="shared" si="20"/>
        <v>61851</v>
      </c>
      <c r="AW9" s="46">
        <f t="shared" si="3"/>
        <v>250700</v>
      </c>
      <c r="AX9" s="48">
        <f>LN((AVERAGE(AV29:AV31))/AV9)/1.125</f>
        <v>8.4389724775159828E-3</v>
      </c>
      <c r="AY9" s="48">
        <f>LN((AVERAGE(AW29:AW31))/AW9)/1.125</f>
        <v>-6.4828861769805929E-2</v>
      </c>
      <c r="AZ9" s="48">
        <f t="shared" si="4"/>
        <v>-1.2128377757434458E-2</v>
      </c>
    </row>
    <row r="10" spans="1:52" x14ac:dyDescent="0.2">
      <c r="A10" s="5" t="s">
        <v>378</v>
      </c>
      <c r="B10" s="10">
        <v>70</v>
      </c>
      <c r="C10" s="5">
        <v>2860</v>
      </c>
      <c r="D10" s="5">
        <v>4391</v>
      </c>
      <c r="E10" s="5">
        <v>90</v>
      </c>
      <c r="F10" s="5">
        <v>86</v>
      </c>
      <c r="G10" s="5">
        <v>22493</v>
      </c>
      <c r="H10" s="5">
        <v>91353</v>
      </c>
      <c r="I10" s="7">
        <v>284800</v>
      </c>
      <c r="J10" s="7">
        <v>286700</v>
      </c>
      <c r="K10" s="5">
        <v>31322</v>
      </c>
      <c r="L10" s="5">
        <v>69828</v>
      </c>
      <c r="M10" s="7">
        <v>575000</v>
      </c>
      <c r="N10" s="7">
        <v>1459000</v>
      </c>
      <c r="O10" s="8">
        <f t="shared" ref="O10:O11" si="21">(224333+K10)/235871</f>
        <v>1.0838763561438243</v>
      </c>
      <c r="P10" s="8">
        <f t="shared" ref="P10:P11" si="22">(224333+L10)/235871</f>
        <v>1.247126607340453</v>
      </c>
      <c r="Q10" s="8">
        <f t="shared" ref="Q10:Q11" si="23">(224333+M10)/235871</f>
        <v>3.3888566207800026</v>
      </c>
      <c r="R10" s="8">
        <f t="shared" ref="R10:R11" si="24">(224333+N10)/235871</f>
        <v>7.1366679244163125</v>
      </c>
      <c r="S10" s="8">
        <f t="shared" ref="S10:S11" si="25">4/3*3.14*((O10/2)^3)</f>
        <v>0.66637335823590249</v>
      </c>
      <c r="T10" s="8">
        <f t="shared" ref="T10:T11" si="26">4/3*3.14*((P10/2)^3)</f>
        <v>1.015102816039541</v>
      </c>
      <c r="U10" s="8">
        <f t="shared" ref="U10:U11" si="27">4/3*3.14*((Q10/2)^3)</f>
        <v>20.367512036661321</v>
      </c>
      <c r="V10" s="8">
        <f t="shared" ref="V10:V11" si="28">4/3*3.14*((R10/2)^3)</f>
        <v>190.22380522772707</v>
      </c>
      <c r="W10" s="8">
        <f t="shared" ref="W10:W11" si="29">(S10*265)/1000</f>
        <v>0.17658893993251418</v>
      </c>
      <c r="X10" s="8">
        <f t="shared" ref="X10:X11" si="30">(10^(-0.665+LOG(T10, 10)*0.959))</f>
        <v>0.21940328272950937</v>
      </c>
      <c r="Y10" s="8">
        <f t="shared" ref="Y10:Y11" si="31">(10^(-0.665+LOG(U10, 10)*0.959))</f>
        <v>3.8928845518997388</v>
      </c>
      <c r="Z10" s="8">
        <f t="shared" ref="Z10:Z11" si="32">(10^(-0.665+LOG(V10, 10)*0.959))</f>
        <v>33.175311209394692</v>
      </c>
      <c r="AA10" s="8">
        <f t="shared" ref="AA10:AA11" si="33">W10*C10</f>
        <v>505.04436820699055</v>
      </c>
      <c r="AB10" s="8">
        <f t="shared" ref="AB10:AB11" si="34">X10*D10</f>
        <v>963.39981446527565</v>
      </c>
      <c r="AC10" s="8">
        <f t="shared" ref="AC10:AC11" si="35">Y10*E10</f>
        <v>350.35960967097651</v>
      </c>
      <c r="AD10" s="8">
        <f t="shared" ref="AD10:AD11" si="36">Z10*F10</f>
        <v>2853.0767640079434</v>
      </c>
      <c r="AE10" s="8">
        <f t="shared" ref="AE10:AE11" si="37">AA10/(AA10+AB10+AC10+AD10)</f>
        <v>0.10810301378968437</v>
      </c>
      <c r="AF10" s="8">
        <f t="shared" ref="AF10:AF11" si="38">AB10/(AA10+AB10+AC10+AD10)</f>
        <v>0.20621242406456264</v>
      </c>
      <c r="AG10" s="8">
        <f t="shared" ref="AG10:AG11" si="39">AC10/(AA10+AB10+AC10+AD10)</f>
        <v>7.4993272076419051E-2</v>
      </c>
      <c r="AH10" s="8">
        <f t="shared" ref="AH10:AH11" si="40">AD10/(AA10+AB10+AC10+AD10)</f>
        <v>0.61069129006933398</v>
      </c>
      <c r="AI10" s="8"/>
      <c r="AN10" s="10">
        <v>70</v>
      </c>
      <c r="AO10" s="50">
        <f t="shared" si="15"/>
        <v>1.3082574325485479</v>
      </c>
      <c r="AP10" s="50">
        <f t="shared" si="16"/>
        <v>0.49530434782608695</v>
      </c>
      <c r="AQ10" s="51"/>
      <c r="AR10" s="51"/>
      <c r="AU10" s="51"/>
      <c r="AV10" s="46">
        <f t="shared" si="20"/>
        <v>91353</v>
      </c>
      <c r="AW10" s="46">
        <f t="shared" si="3"/>
        <v>284800</v>
      </c>
    </row>
    <row r="11" spans="1:52" x14ac:dyDescent="0.2">
      <c r="A11" s="5" t="s">
        <v>379</v>
      </c>
      <c r="B11" s="10">
        <v>100</v>
      </c>
      <c r="C11" s="5">
        <v>362</v>
      </c>
      <c r="D11" s="5">
        <v>743</v>
      </c>
      <c r="E11" s="5">
        <v>41</v>
      </c>
      <c r="F11" s="5">
        <v>37</v>
      </c>
      <c r="G11" s="5">
        <v>20859</v>
      </c>
      <c r="H11" s="5">
        <v>84210</v>
      </c>
      <c r="I11" s="7">
        <v>276100</v>
      </c>
      <c r="J11" s="7">
        <v>281900</v>
      </c>
      <c r="K11" s="7">
        <v>114300</v>
      </c>
      <c r="L11" s="5">
        <v>73502</v>
      </c>
      <c r="M11" s="7">
        <v>421500</v>
      </c>
      <c r="N11" s="7">
        <v>1455000</v>
      </c>
      <c r="O11" s="8">
        <f t="shared" si="21"/>
        <v>1.4356703452310797</v>
      </c>
      <c r="P11" s="8">
        <f t="shared" si="22"/>
        <v>1.2627029181204981</v>
      </c>
      <c r="Q11" s="8">
        <f t="shared" si="23"/>
        <v>2.7380771693001682</v>
      </c>
      <c r="R11" s="8">
        <f t="shared" si="24"/>
        <v>7.1197095022279129</v>
      </c>
      <c r="S11" s="8">
        <f t="shared" si="25"/>
        <v>1.5486118820365342</v>
      </c>
      <c r="T11" s="8">
        <f t="shared" si="26"/>
        <v>1.0536150125099515</v>
      </c>
      <c r="U11" s="8">
        <f t="shared" si="27"/>
        <v>10.742749519856471</v>
      </c>
      <c r="V11" s="8">
        <f t="shared" si="28"/>
        <v>188.87097381855003</v>
      </c>
      <c r="W11" s="8">
        <f t="shared" si="29"/>
        <v>0.41038214873968154</v>
      </c>
      <c r="X11" s="8">
        <f t="shared" si="30"/>
        <v>0.22737985757743845</v>
      </c>
      <c r="Y11" s="8">
        <f t="shared" si="31"/>
        <v>2.107850068810599</v>
      </c>
      <c r="Z11" s="8">
        <f t="shared" si="32"/>
        <v>32.949015721690095</v>
      </c>
      <c r="AA11" s="8">
        <f t="shared" si="33"/>
        <v>148.55833784376472</v>
      </c>
      <c r="AB11" s="8">
        <f t="shared" si="34"/>
        <v>168.94323418003677</v>
      </c>
      <c r="AC11" s="8">
        <f t="shared" si="35"/>
        <v>86.421852821234552</v>
      </c>
      <c r="AD11" s="8">
        <f t="shared" si="36"/>
        <v>1219.1135817025336</v>
      </c>
      <c r="AE11" s="8">
        <f t="shared" si="37"/>
        <v>9.153108477777068E-2</v>
      </c>
      <c r="AF11" s="8">
        <f t="shared" si="38"/>
        <v>0.10409080846493023</v>
      </c>
      <c r="AG11" s="8">
        <f t="shared" si="39"/>
        <v>5.3247000821667105E-2</v>
      </c>
      <c r="AH11" s="8">
        <f t="shared" si="40"/>
        <v>0.75113110593563204</v>
      </c>
      <c r="AI11" s="8"/>
      <c r="AN11" s="10">
        <v>100</v>
      </c>
      <c r="AO11" s="50">
        <f t="shared" si="15"/>
        <v>1.1456831106636554</v>
      </c>
      <c r="AP11" s="50">
        <f t="shared" si="16"/>
        <v>0.65504151838671409</v>
      </c>
      <c r="AQ11" s="51"/>
      <c r="AR11" s="51"/>
      <c r="AU11" s="51"/>
      <c r="AV11" s="46">
        <f t="shared" si="20"/>
        <v>84210</v>
      </c>
      <c r="AW11" s="46">
        <f t="shared" si="3"/>
        <v>276100</v>
      </c>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380</v>
      </c>
      <c r="B14" s="10">
        <v>5</v>
      </c>
      <c r="C14" s="5">
        <v>5006</v>
      </c>
      <c r="D14" s="5">
        <v>4726</v>
      </c>
      <c r="E14" s="5">
        <v>522</v>
      </c>
      <c r="F14" s="5">
        <v>709</v>
      </c>
      <c r="G14" s="5">
        <v>5885</v>
      </c>
      <c r="H14" s="5">
        <v>27164</v>
      </c>
      <c r="I14" s="7">
        <v>242200</v>
      </c>
      <c r="J14" s="7">
        <v>297000</v>
      </c>
      <c r="K14" s="5">
        <v>18560</v>
      </c>
      <c r="L14" s="5">
        <v>61218</v>
      </c>
      <c r="M14" s="7">
        <v>975000</v>
      </c>
      <c r="N14" s="7">
        <v>2004000</v>
      </c>
      <c r="O14" s="8">
        <f t="shared" ref="O14:R29" si="41">(224333+K14)/235871</f>
        <v>1.0297705101517354</v>
      </c>
      <c r="P14" s="8">
        <f t="shared" si="41"/>
        <v>1.2106236035799229</v>
      </c>
      <c r="Q14" s="8">
        <f t="shared" si="41"/>
        <v>5.0846988396199615</v>
      </c>
      <c r="R14" s="8">
        <f t="shared" si="41"/>
        <v>9.4472529475857563</v>
      </c>
      <c r="S14" s="8">
        <f t="shared" ref="S14:V29" si="42">4/3*3.14*((O14/2)^3)</f>
        <v>0.57147830721789694</v>
      </c>
      <c r="T14" s="8">
        <f t="shared" si="42"/>
        <v>0.92855110048043199</v>
      </c>
      <c r="U14" s="8">
        <f t="shared" si="42"/>
        <v>68.797729173234103</v>
      </c>
      <c r="V14" s="8">
        <f t="shared" si="42"/>
        <v>441.26047542207613</v>
      </c>
      <c r="W14" s="8">
        <f t="shared" ref="W14:W31" si="43">(S14*265)/1000</f>
        <v>0.15144175141274269</v>
      </c>
      <c r="X14" s="8">
        <f t="shared" ref="X14:Z29" si="44">(10^(-0.665+LOG(T14, 10)*0.959))</f>
        <v>0.20143075050916098</v>
      </c>
      <c r="Y14" s="8">
        <f t="shared" si="44"/>
        <v>12.509316054536448</v>
      </c>
      <c r="Z14" s="8">
        <f t="shared" si="44"/>
        <v>74.346843111862952</v>
      </c>
      <c r="AA14" s="8">
        <f t="shared" ref="AA14:AA19" si="45">W14*C14</f>
        <v>758.1174075721899</v>
      </c>
      <c r="AB14" s="8">
        <f t="shared" ref="AB14:AB19" si="46">X14*D14</f>
        <v>951.96172690629476</v>
      </c>
      <c r="AC14" s="8">
        <f t="shared" ref="AC14:AC19" si="47">Y14*E14</f>
        <v>6529.8629804680259</v>
      </c>
      <c r="AD14" s="8">
        <f t="shared" ref="AD14:AD19" si="48">Z14*F14</f>
        <v>52711.911766310834</v>
      </c>
      <c r="AE14" s="8">
        <f t="shared" ref="AE14:AE19" si="49">AA14/(AA14+AB14+AC14+AD14)</f>
        <v>1.2437971272360437E-2</v>
      </c>
      <c r="AF14" s="8">
        <f t="shared" ref="AF14:AF19" si="50">AB14/(AA14+AB14+AC14+AD14)</f>
        <v>1.561825713719632E-2</v>
      </c>
      <c r="AG14" s="8">
        <f t="shared" ref="AG14:AG19" si="51">AC14/(AA14+AB14+AC14+AD14)</f>
        <v>0.1071314909172263</v>
      </c>
      <c r="AH14" s="8">
        <f t="shared" ref="AH14:AH19" si="52">AD14/(AA14+AB14+AC14+AD14)</f>
        <v>0.86481228067321692</v>
      </c>
      <c r="AI14" s="8"/>
      <c r="AN14" s="10">
        <v>5</v>
      </c>
      <c r="AO14" s="8">
        <f t="shared" ref="AO14:AO31" si="53">H14/L14</f>
        <v>0.4437257015910353</v>
      </c>
      <c r="AP14" s="8">
        <f t="shared" ref="AP14:AP31" si="54">I14/M14</f>
        <v>0.24841025641025641</v>
      </c>
      <c r="AV14" s="5">
        <f t="shared" ref="AV14:AW29" si="55">H14</f>
        <v>27164</v>
      </c>
      <c r="AW14" s="5">
        <f t="shared" si="55"/>
        <v>242200</v>
      </c>
    </row>
    <row r="15" spans="1:52" x14ac:dyDescent="0.2">
      <c r="A15" s="5" t="s">
        <v>381</v>
      </c>
      <c r="B15" s="10">
        <v>5</v>
      </c>
      <c r="C15" s="5">
        <v>16894</v>
      </c>
      <c r="D15" s="5">
        <v>14340</v>
      </c>
      <c r="E15" s="5">
        <v>1146</v>
      </c>
      <c r="F15" s="5">
        <v>1663</v>
      </c>
      <c r="G15" s="5">
        <v>6096</v>
      </c>
      <c r="H15" s="5">
        <v>25568</v>
      </c>
      <c r="I15" s="7">
        <v>217600</v>
      </c>
      <c r="J15" s="7">
        <v>296200</v>
      </c>
      <c r="K15" s="5">
        <v>10639</v>
      </c>
      <c r="L15" s="5">
        <v>58704</v>
      </c>
      <c r="M15" s="7">
        <v>837400</v>
      </c>
      <c r="N15" s="7">
        <v>2054000</v>
      </c>
      <c r="O15" s="8">
        <f t="shared" si="41"/>
        <v>0.99618859461315723</v>
      </c>
      <c r="P15" s="8">
        <f t="shared" si="41"/>
        <v>1.1999652352345138</v>
      </c>
      <c r="Q15" s="8">
        <f t="shared" si="41"/>
        <v>4.5013291163390159</v>
      </c>
      <c r="R15" s="8">
        <f t="shared" si="41"/>
        <v>9.6592332249407509</v>
      </c>
      <c r="S15" s="8">
        <f t="shared" si="42"/>
        <v>0.51737220499360326</v>
      </c>
      <c r="T15" s="8">
        <f t="shared" si="42"/>
        <v>0.90424140609514836</v>
      </c>
      <c r="U15" s="8">
        <f t="shared" si="42"/>
        <v>47.731018413114391</v>
      </c>
      <c r="V15" s="8">
        <f t="shared" si="42"/>
        <v>471.63535639933156</v>
      </c>
      <c r="W15" s="8">
        <f t="shared" si="43"/>
        <v>0.13710363432330488</v>
      </c>
      <c r="X15" s="8">
        <f t="shared" si="44"/>
        <v>0.19637071884831866</v>
      </c>
      <c r="Y15" s="8">
        <f t="shared" si="44"/>
        <v>8.8098775487541765</v>
      </c>
      <c r="Z15" s="8">
        <f t="shared" si="44"/>
        <v>79.248033498859598</v>
      </c>
      <c r="AA15" s="8">
        <f t="shared" si="45"/>
        <v>2316.2287982579128</v>
      </c>
      <c r="AB15" s="8">
        <f t="shared" si="46"/>
        <v>2815.9561082848895</v>
      </c>
      <c r="AC15" s="8">
        <f t="shared" si="47"/>
        <v>10096.119670872285</v>
      </c>
      <c r="AD15" s="8">
        <f t="shared" si="48"/>
        <v>131789.47970860353</v>
      </c>
      <c r="AE15" s="8">
        <f t="shared" si="49"/>
        <v>1.5754752457374548E-2</v>
      </c>
      <c r="AF15" s="8">
        <f t="shared" si="50"/>
        <v>1.915384674010957E-2</v>
      </c>
      <c r="AG15" s="8">
        <f t="shared" si="51"/>
        <v>6.8672778058133377E-2</v>
      </c>
      <c r="AH15" s="8">
        <f t="shared" si="52"/>
        <v>0.89641862274438255</v>
      </c>
      <c r="AI15" s="8"/>
      <c r="AN15" s="10">
        <v>5</v>
      </c>
      <c r="AO15" s="8">
        <f t="shared" si="53"/>
        <v>0.43554101935132189</v>
      </c>
      <c r="AP15" s="8">
        <f t="shared" si="54"/>
        <v>0.25985192261762596</v>
      </c>
      <c r="AV15" s="5">
        <f t="shared" si="55"/>
        <v>25568</v>
      </c>
      <c r="AW15" s="5">
        <f t="shared" si="55"/>
        <v>217600</v>
      </c>
    </row>
    <row r="16" spans="1:52" x14ac:dyDescent="0.2">
      <c r="A16" s="5" t="s">
        <v>382</v>
      </c>
      <c r="B16" s="10">
        <v>5</v>
      </c>
      <c r="C16" s="5">
        <v>16077</v>
      </c>
      <c r="D16" s="5">
        <v>9914</v>
      </c>
      <c r="E16" s="5">
        <v>991</v>
      </c>
      <c r="F16" s="5">
        <v>1518</v>
      </c>
      <c r="G16" s="5">
        <v>5427</v>
      </c>
      <c r="H16" s="5">
        <v>23918</v>
      </c>
      <c r="I16" s="7">
        <v>214600</v>
      </c>
      <c r="J16" s="7">
        <v>297200</v>
      </c>
      <c r="K16" s="5">
        <v>12604</v>
      </c>
      <c r="L16" s="5">
        <v>55743</v>
      </c>
      <c r="M16" s="7">
        <v>820800</v>
      </c>
      <c r="N16" s="7">
        <v>2126000</v>
      </c>
      <c r="O16" s="8">
        <f t="shared" si="41"/>
        <v>1.0045194195132086</v>
      </c>
      <c r="P16" s="8">
        <f t="shared" si="41"/>
        <v>1.1874117632095509</v>
      </c>
      <c r="Q16" s="8">
        <f t="shared" si="41"/>
        <v>4.4309516642571571</v>
      </c>
      <c r="R16" s="8">
        <f t="shared" si="41"/>
        <v>9.9644848243319437</v>
      </c>
      <c r="S16" s="8">
        <f t="shared" si="42"/>
        <v>0.53046093776767989</v>
      </c>
      <c r="T16" s="8">
        <f t="shared" si="42"/>
        <v>0.87615801595114151</v>
      </c>
      <c r="U16" s="8">
        <f t="shared" si="42"/>
        <v>45.527042112039418</v>
      </c>
      <c r="V16" s="8">
        <f t="shared" si="42"/>
        <v>517.77723015499748</v>
      </c>
      <c r="W16" s="8">
        <f t="shared" si="43"/>
        <v>0.14057214850843516</v>
      </c>
      <c r="X16" s="8">
        <f t="shared" si="44"/>
        <v>0.19051823904216159</v>
      </c>
      <c r="Y16" s="8">
        <f t="shared" si="44"/>
        <v>8.4193853683757247</v>
      </c>
      <c r="Z16" s="8">
        <f t="shared" si="44"/>
        <v>86.668860589693352</v>
      </c>
      <c r="AA16" s="8">
        <f t="shared" si="45"/>
        <v>2259.9784315701122</v>
      </c>
      <c r="AB16" s="8">
        <f t="shared" si="46"/>
        <v>1888.7978218639901</v>
      </c>
      <c r="AC16" s="8">
        <f t="shared" si="47"/>
        <v>8343.6109000603428</v>
      </c>
      <c r="AD16" s="8">
        <f t="shared" si="48"/>
        <v>131563.3303751545</v>
      </c>
      <c r="AE16" s="8">
        <f t="shared" si="49"/>
        <v>1.5688224461626533E-2</v>
      </c>
      <c r="AF16" s="8">
        <f t="shared" si="50"/>
        <v>1.3111578313358907E-2</v>
      </c>
      <c r="AG16" s="8">
        <f t="shared" si="51"/>
        <v>5.7919331791888198E-2</v>
      </c>
      <c r="AH16" s="8">
        <f t="shared" si="52"/>
        <v>0.91328086543312648</v>
      </c>
      <c r="AI16" s="8"/>
      <c r="AN16" s="10">
        <v>5</v>
      </c>
      <c r="AO16" s="8">
        <f t="shared" si="53"/>
        <v>0.42907629657535473</v>
      </c>
      <c r="AP16" s="8">
        <f t="shared" si="54"/>
        <v>0.2614522417153996</v>
      </c>
      <c r="AV16" s="5">
        <f t="shared" si="55"/>
        <v>23918</v>
      </c>
      <c r="AW16" s="5">
        <f t="shared" si="55"/>
        <v>214600</v>
      </c>
    </row>
    <row r="17" spans="1:49" x14ac:dyDescent="0.2">
      <c r="A17" s="5" t="s">
        <v>383</v>
      </c>
      <c r="B17" s="10">
        <v>12</v>
      </c>
      <c r="C17" s="5">
        <v>9727</v>
      </c>
      <c r="D17" s="5">
        <v>4834</v>
      </c>
      <c r="E17" s="5">
        <v>656</v>
      </c>
      <c r="F17" s="5">
        <v>381</v>
      </c>
      <c r="G17" s="5">
        <v>7569</v>
      </c>
      <c r="H17" s="5">
        <v>29574</v>
      </c>
      <c r="I17" s="7">
        <v>195400</v>
      </c>
      <c r="J17" s="7">
        <v>297200</v>
      </c>
      <c r="K17" s="5">
        <v>10602</v>
      </c>
      <c r="L17" s="5">
        <v>56140</v>
      </c>
      <c r="M17" s="7">
        <v>641500</v>
      </c>
      <c r="N17" s="7">
        <v>1896000</v>
      </c>
      <c r="O17" s="8">
        <f t="shared" si="41"/>
        <v>0.9960317292079145</v>
      </c>
      <c r="P17" s="8">
        <f t="shared" si="41"/>
        <v>1.1890948866117497</v>
      </c>
      <c r="Q17" s="8">
        <f t="shared" si="41"/>
        <v>3.6707903896621459</v>
      </c>
      <c r="R17" s="8">
        <f t="shared" si="41"/>
        <v>8.9893755484989679</v>
      </c>
      <c r="S17" s="8">
        <f t="shared" si="42"/>
        <v>0.51712783854889233</v>
      </c>
      <c r="T17" s="8">
        <f t="shared" si="42"/>
        <v>0.87988908906799579</v>
      </c>
      <c r="U17" s="8">
        <f t="shared" si="42"/>
        <v>25.885535619674958</v>
      </c>
      <c r="V17" s="8">
        <f t="shared" si="42"/>
        <v>380.16048285483384</v>
      </c>
      <c r="W17" s="8">
        <f t="shared" si="43"/>
        <v>0.13703887721545646</v>
      </c>
      <c r="X17" s="8">
        <f t="shared" si="44"/>
        <v>0.19129621939279456</v>
      </c>
      <c r="Y17" s="8">
        <f t="shared" si="44"/>
        <v>4.899162134516466</v>
      </c>
      <c r="Z17" s="8">
        <f t="shared" si="44"/>
        <v>64.444865968061094</v>
      </c>
      <c r="AA17" s="8">
        <f t="shared" si="45"/>
        <v>1332.9771586747449</v>
      </c>
      <c r="AB17" s="8">
        <f t="shared" si="46"/>
        <v>924.72592454476887</v>
      </c>
      <c r="AC17" s="8">
        <f t="shared" si="47"/>
        <v>3213.8503602428018</v>
      </c>
      <c r="AD17" s="8">
        <f t="shared" si="48"/>
        <v>24553.493933831276</v>
      </c>
      <c r="AE17" s="8">
        <f t="shared" si="49"/>
        <v>4.4395505589869856E-2</v>
      </c>
      <c r="AF17" s="8">
        <f t="shared" si="50"/>
        <v>3.0798483443662834E-2</v>
      </c>
      <c r="AG17" s="8">
        <f t="shared" si="51"/>
        <v>0.10703897715323082</v>
      </c>
      <c r="AH17" s="8">
        <f t="shared" si="52"/>
        <v>0.81776703381323645</v>
      </c>
      <c r="AI17" s="8"/>
      <c r="AN17" s="10">
        <v>12</v>
      </c>
      <c r="AO17" s="8">
        <f t="shared" si="53"/>
        <v>0.52679016743854645</v>
      </c>
      <c r="AP17" s="8">
        <f t="shared" si="54"/>
        <v>0.30459859703819175</v>
      </c>
      <c r="AV17" s="5">
        <f t="shared" si="55"/>
        <v>29574</v>
      </c>
      <c r="AW17" s="5">
        <f t="shared" si="55"/>
        <v>195400</v>
      </c>
    </row>
    <row r="18" spans="1:49" x14ac:dyDescent="0.2">
      <c r="A18" s="5" t="s">
        <v>384</v>
      </c>
      <c r="B18" s="10">
        <v>12</v>
      </c>
      <c r="C18" s="5">
        <v>31464</v>
      </c>
      <c r="D18" s="5">
        <v>12979</v>
      </c>
      <c r="E18" s="5">
        <v>1947</v>
      </c>
      <c r="F18" s="5">
        <v>1307</v>
      </c>
      <c r="G18" s="5">
        <v>8266</v>
      </c>
      <c r="H18" s="5">
        <v>29927</v>
      </c>
      <c r="I18" s="7">
        <v>209300</v>
      </c>
      <c r="J18" s="7">
        <v>296100</v>
      </c>
      <c r="K18" s="5">
        <v>9601</v>
      </c>
      <c r="L18" s="5">
        <v>53856</v>
      </c>
      <c r="M18" s="7">
        <v>744600</v>
      </c>
      <c r="N18" s="7">
        <v>1793000</v>
      </c>
      <c r="O18" s="8">
        <f t="shared" si="41"/>
        <v>0.99178788405526752</v>
      </c>
      <c r="P18" s="8">
        <f t="shared" si="41"/>
        <v>1.1794116275421735</v>
      </c>
      <c r="Q18" s="8">
        <f t="shared" si="41"/>
        <v>4.1078937215681455</v>
      </c>
      <c r="R18" s="8">
        <f t="shared" si="41"/>
        <v>8.5526961771476788</v>
      </c>
      <c r="S18" s="8">
        <f t="shared" si="42"/>
        <v>0.51054590046173254</v>
      </c>
      <c r="T18" s="8">
        <f t="shared" si="42"/>
        <v>0.85856783236165246</v>
      </c>
      <c r="U18" s="8">
        <f t="shared" si="42"/>
        <v>36.277386750464075</v>
      </c>
      <c r="V18" s="8">
        <f t="shared" si="42"/>
        <v>327.40667658586449</v>
      </c>
      <c r="W18" s="8">
        <f t="shared" si="43"/>
        <v>0.13529466362235912</v>
      </c>
      <c r="X18" s="8">
        <f t="shared" si="44"/>
        <v>0.186848602413796</v>
      </c>
      <c r="Y18" s="8">
        <f t="shared" si="44"/>
        <v>6.7715941202349006</v>
      </c>
      <c r="Z18" s="8">
        <f t="shared" si="44"/>
        <v>55.843025874337776</v>
      </c>
      <c r="AA18" s="8">
        <f t="shared" si="45"/>
        <v>4256.911296213907</v>
      </c>
      <c r="AB18" s="8">
        <f t="shared" si="46"/>
        <v>2425.1080107286584</v>
      </c>
      <c r="AC18" s="8">
        <f t="shared" si="47"/>
        <v>13184.293752097352</v>
      </c>
      <c r="AD18" s="8">
        <f t="shared" si="48"/>
        <v>72986.834817759474</v>
      </c>
      <c r="AE18" s="8">
        <f t="shared" si="49"/>
        <v>4.5845632523542623E-2</v>
      </c>
      <c r="AF18" s="8">
        <f t="shared" si="50"/>
        <v>2.6117671464906837E-2</v>
      </c>
      <c r="AG18" s="8">
        <f t="shared" si="51"/>
        <v>0.14199081079718165</v>
      </c>
      <c r="AH18" s="8">
        <f t="shared" si="52"/>
        <v>0.7860458852143688</v>
      </c>
      <c r="AI18" s="8"/>
      <c r="AN18" s="10">
        <v>12</v>
      </c>
      <c r="AO18" s="8">
        <f t="shared" si="53"/>
        <v>0.55568553178847302</v>
      </c>
      <c r="AP18" s="8">
        <f t="shared" si="54"/>
        <v>0.28109051839914045</v>
      </c>
      <c r="AV18" s="5">
        <f t="shared" si="55"/>
        <v>29927</v>
      </c>
      <c r="AW18" s="5">
        <f t="shared" si="55"/>
        <v>209300</v>
      </c>
    </row>
    <row r="19" spans="1:49" x14ac:dyDescent="0.2">
      <c r="A19" s="5" t="s">
        <v>385</v>
      </c>
      <c r="B19" s="10">
        <v>12</v>
      </c>
      <c r="C19" s="5">
        <v>34069</v>
      </c>
      <c r="D19" s="5">
        <v>12193</v>
      </c>
      <c r="E19" s="5">
        <v>1754</v>
      </c>
      <c r="F19" s="5">
        <v>958</v>
      </c>
      <c r="G19" s="5">
        <v>7142</v>
      </c>
      <c r="H19" s="5">
        <v>26056</v>
      </c>
      <c r="I19" s="7">
        <v>194000</v>
      </c>
      <c r="J19" s="7">
        <v>294400</v>
      </c>
      <c r="K19" s="5">
        <v>10300</v>
      </c>
      <c r="L19" s="5">
        <v>52352</v>
      </c>
      <c r="M19" s="7">
        <v>676000</v>
      </c>
      <c r="N19" s="7">
        <v>1874000</v>
      </c>
      <c r="O19" s="8">
        <f t="shared" si="41"/>
        <v>0.99475136833269029</v>
      </c>
      <c r="P19" s="8">
        <f t="shared" si="41"/>
        <v>1.1730352607993353</v>
      </c>
      <c r="Q19" s="8">
        <f t="shared" si="41"/>
        <v>3.8170567810370923</v>
      </c>
      <c r="R19" s="8">
        <f t="shared" si="41"/>
        <v>8.8961042264627697</v>
      </c>
      <c r="S19" s="8">
        <f t="shared" si="42"/>
        <v>0.51513615651786004</v>
      </c>
      <c r="T19" s="8">
        <f t="shared" si="42"/>
        <v>0.84471770819923941</v>
      </c>
      <c r="U19" s="8">
        <f t="shared" si="42"/>
        <v>29.104775846116038</v>
      </c>
      <c r="V19" s="8">
        <f t="shared" si="42"/>
        <v>368.44951147630593</v>
      </c>
      <c r="W19" s="8">
        <f t="shared" si="43"/>
        <v>0.13651108147723293</v>
      </c>
      <c r="X19" s="8">
        <f t="shared" si="44"/>
        <v>0.18395704431933024</v>
      </c>
      <c r="Y19" s="8">
        <f t="shared" si="44"/>
        <v>5.4820339938150697</v>
      </c>
      <c r="Z19" s="8">
        <f t="shared" si="44"/>
        <v>62.539799941640929</v>
      </c>
      <c r="AA19" s="8">
        <f t="shared" si="45"/>
        <v>4650.7960348478482</v>
      </c>
      <c r="AB19" s="8">
        <f t="shared" si="46"/>
        <v>2242.9882413855935</v>
      </c>
      <c r="AC19" s="8">
        <f t="shared" si="47"/>
        <v>9615.4876251516325</v>
      </c>
      <c r="AD19" s="8">
        <f t="shared" si="48"/>
        <v>59913.128344092009</v>
      </c>
      <c r="AE19" s="8">
        <f t="shared" si="49"/>
        <v>6.0856450725297613E-2</v>
      </c>
      <c r="AF19" s="8">
        <f t="shared" si="50"/>
        <v>2.9349879540303245E-2</v>
      </c>
      <c r="AG19" s="8">
        <f t="shared" si="51"/>
        <v>0.12582027774926774</v>
      </c>
      <c r="AH19" s="8">
        <f t="shared" si="52"/>
        <v>0.78397339198513138</v>
      </c>
      <c r="AI19" s="8"/>
      <c r="AN19" s="10">
        <v>12</v>
      </c>
      <c r="AO19" s="8">
        <f t="shared" si="53"/>
        <v>0.4977078239608802</v>
      </c>
      <c r="AP19" s="8">
        <f t="shared" si="54"/>
        <v>0.28698224852071008</v>
      </c>
      <c r="AV19" s="5">
        <f t="shared" si="55"/>
        <v>26056</v>
      </c>
      <c r="AW19" s="5">
        <f t="shared" si="55"/>
        <v>194000</v>
      </c>
    </row>
    <row r="20" spans="1:49" x14ac:dyDescent="0.2">
      <c r="A20" s="5" t="s">
        <v>386</v>
      </c>
      <c r="B20" s="10">
        <v>20</v>
      </c>
      <c r="C20" s="5">
        <v>13066</v>
      </c>
      <c r="D20" s="5">
        <v>4752</v>
      </c>
      <c r="E20" s="5">
        <v>498</v>
      </c>
      <c r="F20" s="5">
        <v>307</v>
      </c>
      <c r="G20" s="5">
        <v>9625</v>
      </c>
      <c r="H20" s="5">
        <v>32564</v>
      </c>
      <c r="I20" s="7">
        <v>206400</v>
      </c>
      <c r="J20" s="7">
        <v>296700</v>
      </c>
      <c r="K20" s="5">
        <v>12415</v>
      </c>
      <c r="L20" s="5">
        <v>49281</v>
      </c>
      <c r="M20" s="7">
        <v>624000</v>
      </c>
      <c r="N20" s="7">
        <v>1478000</v>
      </c>
      <c r="O20" s="8">
        <f t="shared" si="41"/>
        <v>1.0037181340648067</v>
      </c>
      <c r="P20" s="8">
        <f t="shared" si="41"/>
        <v>1.1600154321641913</v>
      </c>
      <c r="Q20" s="8">
        <f t="shared" si="41"/>
        <v>3.5965972925878975</v>
      </c>
      <c r="R20" s="8">
        <f t="shared" si="41"/>
        <v>7.2172204298112099</v>
      </c>
      <c r="S20" s="8">
        <f t="shared" si="42"/>
        <v>0.5291925352130078</v>
      </c>
      <c r="T20" s="8">
        <f t="shared" si="42"/>
        <v>0.81690150896700375</v>
      </c>
      <c r="U20" s="8">
        <f t="shared" si="42"/>
        <v>24.34746985234322</v>
      </c>
      <c r="V20" s="8">
        <f t="shared" si="42"/>
        <v>196.73802491463871</v>
      </c>
      <c r="W20" s="8">
        <f t="shared" si="43"/>
        <v>0.14023602183144707</v>
      </c>
      <c r="X20" s="8">
        <f t="shared" si="44"/>
        <v>0.17814381173258984</v>
      </c>
      <c r="Y20" s="8">
        <f t="shared" si="44"/>
        <v>4.6196516618620338</v>
      </c>
      <c r="Z20" s="8">
        <f t="shared" si="44"/>
        <v>34.264065100180595</v>
      </c>
      <c r="AA20" s="8">
        <f t="shared" ref="AA20:AA31" si="56">W20*C20</f>
        <v>1832.3238612496873</v>
      </c>
      <c r="AB20" s="8">
        <f t="shared" ref="AB20:AB31" si="57">X20*D20</f>
        <v>846.53939335326686</v>
      </c>
      <c r="AC20" s="8">
        <f t="shared" ref="AC20:AC31" si="58">Y20*E20</f>
        <v>2300.5865276072927</v>
      </c>
      <c r="AD20" s="8">
        <f t="shared" ref="AD20:AD31" si="59">Z20*F20</f>
        <v>10519.067985755442</v>
      </c>
      <c r="AE20" s="8">
        <f t="shared" ref="AE20:AE31" si="60">AA20/(AA20+AB20+AC20+AD20)</f>
        <v>0.11822574833813901</v>
      </c>
      <c r="AF20" s="8">
        <f t="shared" ref="AF20:AF31" si="61">AB20/(AA20+AB20+AC20+AD20)</f>
        <v>5.4620667990780539E-2</v>
      </c>
      <c r="AG20" s="8">
        <f t="shared" ref="AG20:AG31" si="62">AC20/(AA20+AB20+AC20+AD20)</f>
        <v>0.14843913218349422</v>
      </c>
      <c r="AH20" s="8">
        <f t="shared" ref="AH20:AH31" si="63">AD20/(AA20+AB20+AC20+AD20)</f>
        <v>0.67871445148758636</v>
      </c>
      <c r="AN20" s="10">
        <v>20</v>
      </c>
      <c r="AO20" s="8">
        <f t="shared" si="53"/>
        <v>0.66078204581887545</v>
      </c>
      <c r="AP20" s="8">
        <f t="shared" si="54"/>
        <v>0.33076923076923076</v>
      </c>
      <c r="AV20" s="5">
        <f t="shared" si="55"/>
        <v>32564</v>
      </c>
      <c r="AW20" s="5">
        <f t="shared" si="55"/>
        <v>206400</v>
      </c>
    </row>
    <row r="21" spans="1:49" x14ac:dyDescent="0.2">
      <c r="A21" s="5" t="s">
        <v>387</v>
      </c>
      <c r="B21" s="10">
        <v>20</v>
      </c>
      <c r="C21" s="5">
        <v>36893</v>
      </c>
      <c r="D21" s="5">
        <v>12361</v>
      </c>
      <c r="E21" s="5">
        <v>1552</v>
      </c>
      <c r="F21" s="5">
        <v>834</v>
      </c>
      <c r="G21" s="5">
        <v>11874</v>
      </c>
      <c r="H21" s="5">
        <v>36283</v>
      </c>
      <c r="I21" s="7">
        <v>209600</v>
      </c>
      <c r="J21" s="7">
        <v>295300</v>
      </c>
      <c r="K21" s="5">
        <v>8867</v>
      </c>
      <c r="L21" s="5">
        <v>47663</v>
      </c>
      <c r="M21" s="7">
        <v>634600</v>
      </c>
      <c r="N21" s="7">
        <v>1560000</v>
      </c>
      <c r="O21" s="8">
        <f t="shared" si="41"/>
        <v>0.98867601358369617</v>
      </c>
      <c r="P21" s="8">
        <f t="shared" si="41"/>
        <v>1.1531557503889838</v>
      </c>
      <c r="Q21" s="8">
        <f t="shared" si="41"/>
        <v>3.6415371113871564</v>
      </c>
      <c r="R21" s="8">
        <f t="shared" si="41"/>
        <v>7.5648680846734022</v>
      </c>
      <c r="S21" s="8">
        <f t="shared" si="42"/>
        <v>0.5057552400141091</v>
      </c>
      <c r="T21" s="8">
        <f t="shared" si="42"/>
        <v>0.80249494374884089</v>
      </c>
      <c r="U21" s="8">
        <f t="shared" si="42"/>
        <v>25.271592991982523</v>
      </c>
      <c r="V21" s="8">
        <f t="shared" si="42"/>
        <v>226.55960322540207</v>
      </c>
      <c r="W21" s="8">
        <f t="shared" si="43"/>
        <v>0.13402513860373894</v>
      </c>
      <c r="X21" s="8">
        <f t="shared" si="44"/>
        <v>0.17512984780224083</v>
      </c>
      <c r="Y21" s="8">
        <f t="shared" si="44"/>
        <v>4.787675214387888</v>
      </c>
      <c r="Z21" s="8">
        <f t="shared" si="44"/>
        <v>39.230152279922656</v>
      </c>
      <c r="AA21" s="8">
        <f t="shared" si="56"/>
        <v>4944.5894385077409</v>
      </c>
      <c r="AB21" s="8">
        <f t="shared" si="57"/>
        <v>2164.780048683499</v>
      </c>
      <c r="AC21" s="8">
        <f t="shared" si="58"/>
        <v>7430.4719327300018</v>
      </c>
      <c r="AD21" s="8">
        <f t="shared" si="59"/>
        <v>32717.947001455494</v>
      </c>
      <c r="AE21" s="8">
        <f t="shared" si="60"/>
        <v>0.10463014888506905</v>
      </c>
      <c r="AF21" s="8">
        <f t="shared" si="61"/>
        <v>4.5807900051968484E-2</v>
      </c>
      <c r="AG21" s="8">
        <f t="shared" si="62"/>
        <v>0.15723274789069219</v>
      </c>
      <c r="AH21" s="8">
        <f t="shared" si="63"/>
        <v>0.6923292031722702</v>
      </c>
      <c r="AN21" s="10">
        <v>20</v>
      </c>
      <c r="AO21" s="8">
        <f t="shared" si="53"/>
        <v>0.76124037513375153</v>
      </c>
      <c r="AP21" s="8">
        <f t="shared" si="54"/>
        <v>0.33028679483138984</v>
      </c>
      <c r="AV21" s="5">
        <f t="shared" si="55"/>
        <v>36283</v>
      </c>
      <c r="AW21" s="5">
        <f t="shared" si="55"/>
        <v>209600</v>
      </c>
    </row>
    <row r="22" spans="1:49" x14ac:dyDescent="0.2">
      <c r="A22" s="5" t="s">
        <v>388</v>
      </c>
      <c r="B22" s="10">
        <v>20</v>
      </c>
      <c r="C22" s="5">
        <v>39964</v>
      </c>
      <c r="D22" s="5">
        <v>11882</v>
      </c>
      <c r="E22" s="5">
        <v>1677</v>
      </c>
      <c r="F22" s="5">
        <v>877</v>
      </c>
      <c r="G22" s="5">
        <v>10798</v>
      </c>
      <c r="H22" s="5">
        <v>32473</v>
      </c>
      <c r="I22" s="7">
        <v>212900</v>
      </c>
      <c r="J22" s="7">
        <v>296100</v>
      </c>
      <c r="K22" s="5">
        <v>5673</v>
      </c>
      <c r="L22" s="5">
        <v>47491</v>
      </c>
      <c r="M22" s="7">
        <v>648100</v>
      </c>
      <c r="N22" s="7">
        <v>1646000</v>
      </c>
      <c r="O22" s="8">
        <f t="shared" si="41"/>
        <v>0.97513471346625913</v>
      </c>
      <c r="P22" s="8">
        <f t="shared" si="41"/>
        <v>1.1524265382348826</v>
      </c>
      <c r="Q22" s="8">
        <f t="shared" si="41"/>
        <v>3.6987717862730052</v>
      </c>
      <c r="R22" s="8">
        <f t="shared" si="41"/>
        <v>7.9294741617239932</v>
      </c>
      <c r="S22" s="8">
        <f t="shared" si="42"/>
        <v>0.48525749135341295</v>
      </c>
      <c r="T22" s="8">
        <f t="shared" si="42"/>
        <v>0.80097350375362264</v>
      </c>
      <c r="U22" s="8">
        <f t="shared" si="42"/>
        <v>26.482013729193838</v>
      </c>
      <c r="V22" s="8">
        <f t="shared" si="42"/>
        <v>260.92251896456071</v>
      </c>
      <c r="W22" s="8">
        <f t="shared" si="43"/>
        <v>0.12859323520865443</v>
      </c>
      <c r="X22" s="8">
        <f t="shared" si="44"/>
        <v>0.17481142204423888</v>
      </c>
      <c r="Y22" s="8">
        <f t="shared" si="44"/>
        <v>5.0073738284334866</v>
      </c>
      <c r="Z22" s="8">
        <f t="shared" si="44"/>
        <v>44.919466389122903</v>
      </c>
      <c r="AA22" s="8">
        <f t="shared" si="56"/>
        <v>5139.1000518786659</v>
      </c>
      <c r="AB22" s="8">
        <f t="shared" si="57"/>
        <v>2077.1093167296463</v>
      </c>
      <c r="AC22" s="8">
        <f t="shared" si="58"/>
        <v>8397.365910282957</v>
      </c>
      <c r="AD22" s="8">
        <f t="shared" si="59"/>
        <v>39394.372023260788</v>
      </c>
      <c r="AE22" s="8">
        <f t="shared" si="60"/>
        <v>9.3424683230774019E-2</v>
      </c>
      <c r="AF22" s="8">
        <f t="shared" si="61"/>
        <v>3.7760167732133941E-2</v>
      </c>
      <c r="AG22" s="8">
        <f t="shared" si="62"/>
        <v>0.15265732175311386</v>
      </c>
      <c r="AH22" s="8">
        <f t="shared" si="63"/>
        <v>0.71615782728397825</v>
      </c>
      <c r="AN22" s="10">
        <v>20</v>
      </c>
      <c r="AO22" s="8">
        <f t="shared" si="53"/>
        <v>0.68377166199911565</v>
      </c>
      <c r="AP22" s="8">
        <f t="shared" si="54"/>
        <v>0.32849868847400093</v>
      </c>
      <c r="AV22" s="5">
        <f t="shared" si="55"/>
        <v>32473</v>
      </c>
      <c r="AW22" s="5">
        <f t="shared" si="55"/>
        <v>212900</v>
      </c>
    </row>
    <row r="23" spans="1:49" x14ac:dyDescent="0.2">
      <c r="A23" s="5" t="s">
        <v>389</v>
      </c>
      <c r="B23" s="10">
        <v>30</v>
      </c>
      <c r="C23" s="5">
        <v>8528</v>
      </c>
      <c r="D23" s="5">
        <v>3402</v>
      </c>
      <c r="E23" s="5">
        <v>350</v>
      </c>
      <c r="F23" s="5">
        <v>243</v>
      </c>
      <c r="G23" s="5">
        <v>12529</v>
      </c>
      <c r="H23" s="5">
        <v>45176</v>
      </c>
      <c r="I23" s="7">
        <v>241200</v>
      </c>
      <c r="J23" s="7">
        <v>296500</v>
      </c>
      <c r="K23" s="5">
        <v>10007</v>
      </c>
      <c r="L23" s="5">
        <v>49664</v>
      </c>
      <c r="M23" s="7">
        <v>680200</v>
      </c>
      <c r="N23" s="7">
        <v>1303000</v>
      </c>
      <c r="O23" s="8">
        <f t="shared" si="41"/>
        <v>0.99350916390739008</v>
      </c>
      <c r="P23" s="8">
        <f t="shared" si="41"/>
        <v>1.1616392010887306</v>
      </c>
      <c r="Q23" s="8">
        <f t="shared" si="41"/>
        <v>3.8348631243349121</v>
      </c>
      <c r="R23" s="8">
        <f t="shared" si="41"/>
        <v>6.475289459068728</v>
      </c>
      <c r="S23" s="8">
        <f t="shared" si="42"/>
        <v>0.51320872315102173</v>
      </c>
      <c r="T23" s="8">
        <f t="shared" si="42"/>
        <v>0.82033676560648972</v>
      </c>
      <c r="U23" s="8">
        <f t="shared" si="42"/>
        <v>29.513995061294718</v>
      </c>
      <c r="V23" s="8">
        <f t="shared" si="42"/>
        <v>142.08752809756746</v>
      </c>
      <c r="W23" s="8">
        <f t="shared" si="43"/>
        <v>0.13600031163502074</v>
      </c>
      <c r="X23" s="8">
        <f t="shared" si="44"/>
        <v>0.17886217058968773</v>
      </c>
      <c r="Y23" s="8">
        <f t="shared" si="44"/>
        <v>5.5559311117263981</v>
      </c>
      <c r="Z23" s="8">
        <f t="shared" si="44"/>
        <v>25.078477348688434</v>
      </c>
      <c r="AA23" s="8">
        <f t="shared" si="56"/>
        <v>1159.8106576234568</v>
      </c>
      <c r="AB23" s="8">
        <f t="shared" si="57"/>
        <v>608.48910434611764</v>
      </c>
      <c r="AC23" s="8">
        <f t="shared" si="58"/>
        <v>1944.5758891042394</v>
      </c>
      <c r="AD23" s="8">
        <f t="shared" si="59"/>
        <v>6094.0699957312891</v>
      </c>
      <c r="AE23" s="8">
        <f t="shared" si="60"/>
        <v>0.11826420777617939</v>
      </c>
      <c r="AF23" s="8">
        <f t="shared" si="61"/>
        <v>6.204674995260636E-2</v>
      </c>
      <c r="AG23" s="8">
        <f t="shared" si="62"/>
        <v>0.19828557831741847</v>
      </c>
      <c r="AH23" s="8">
        <f t="shared" si="63"/>
        <v>0.62140346395379575</v>
      </c>
      <c r="AN23" s="10">
        <v>30</v>
      </c>
      <c r="AO23" s="8">
        <f t="shared" si="53"/>
        <v>0.90963273195876293</v>
      </c>
      <c r="AP23" s="8">
        <f t="shared" si="54"/>
        <v>0.35460158776830342</v>
      </c>
      <c r="AV23" s="5">
        <f t="shared" si="55"/>
        <v>45176</v>
      </c>
      <c r="AW23" s="5">
        <f t="shared" si="55"/>
        <v>241200</v>
      </c>
    </row>
    <row r="24" spans="1:49" x14ac:dyDescent="0.2">
      <c r="A24" s="5" t="s">
        <v>390</v>
      </c>
      <c r="B24" s="10">
        <v>30</v>
      </c>
      <c r="C24" s="5">
        <v>28612</v>
      </c>
      <c r="D24" s="5">
        <v>9830</v>
      </c>
      <c r="E24" s="5">
        <v>805</v>
      </c>
      <c r="F24" s="5">
        <v>641</v>
      </c>
      <c r="G24" s="5">
        <v>13720</v>
      </c>
      <c r="H24" s="5">
        <v>48239</v>
      </c>
      <c r="I24" s="7">
        <v>235400</v>
      </c>
      <c r="J24" s="7">
        <v>295300</v>
      </c>
      <c r="K24" s="5">
        <v>11565</v>
      </c>
      <c r="L24" s="5">
        <v>49710</v>
      </c>
      <c r="M24" s="7">
        <v>666500</v>
      </c>
      <c r="N24" s="7">
        <v>1378000</v>
      </c>
      <c r="O24" s="8">
        <f t="shared" si="41"/>
        <v>1.0001144693497717</v>
      </c>
      <c r="P24" s="8">
        <f t="shared" si="41"/>
        <v>1.1618342229438974</v>
      </c>
      <c r="Q24" s="8">
        <f t="shared" si="41"/>
        <v>3.7767805283396432</v>
      </c>
      <c r="R24" s="8">
        <f t="shared" si="41"/>
        <v>6.7932598751012208</v>
      </c>
      <c r="S24" s="8">
        <f t="shared" si="42"/>
        <v>0.52351307078533416</v>
      </c>
      <c r="T24" s="8">
        <f t="shared" si="42"/>
        <v>0.82075000181123592</v>
      </c>
      <c r="U24" s="8">
        <f t="shared" si="42"/>
        <v>28.193152649423446</v>
      </c>
      <c r="V24" s="8">
        <f t="shared" si="42"/>
        <v>164.06392001020305</v>
      </c>
      <c r="W24" s="8">
        <f t="shared" si="43"/>
        <v>0.13873096375811356</v>
      </c>
      <c r="X24" s="8">
        <f t="shared" si="44"/>
        <v>0.17894857557647684</v>
      </c>
      <c r="Y24" s="8">
        <f t="shared" si="44"/>
        <v>5.3172582461956059</v>
      </c>
      <c r="Z24" s="8">
        <f t="shared" si="44"/>
        <v>28.787075549604442</v>
      </c>
      <c r="AA24" s="8">
        <f t="shared" si="56"/>
        <v>3969.3703350471451</v>
      </c>
      <c r="AB24" s="8">
        <f t="shared" si="57"/>
        <v>1759.0644979167673</v>
      </c>
      <c r="AC24" s="8">
        <f t="shared" si="58"/>
        <v>4280.3928881874626</v>
      </c>
      <c r="AD24" s="8">
        <f t="shared" si="59"/>
        <v>18452.515427296446</v>
      </c>
      <c r="AE24" s="8">
        <f t="shared" si="60"/>
        <v>0.13946532018337371</v>
      </c>
      <c r="AF24" s="8">
        <f t="shared" si="61"/>
        <v>6.1805392976076054E-2</v>
      </c>
      <c r="AG24" s="8">
        <f t="shared" si="62"/>
        <v>0.15039321460908986</v>
      </c>
      <c r="AH24" s="8">
        <f t="shared" si="63"/>
        <v>0.64833607223146039</v>
      </c>
      <c r="AN24" s="10">
        <v>30</v>
      </c>
      <c r="AO24" s="8">
        <f t="shared" si="53"/>
        <v>0.97040836853751755</v>
      </c>
      <c r="AP24" s="8">
        <f t="shared" si="54"/>
        <v>0.35318829707426858</v>
      </c>
      <c r="AV24" s="5">
        <f t="shared" si="55"/>
        <v>48239</v>
      </c>
      <c r="AW24" s="5">
        <f t="shared" si="55"/>
        <v>235400</v>
      </c>
    </row>
    <row r="25" spans="1:49" x14ac:dyDescent="0.2">
      <c r="A25" s="5" t="s">
        <v>391</v>
      </c>
      <c r="B25" s="10">
        <v>30</v>
      </c>
      <c r="C25" s="5">
        <v>29703</v>
      </c>
      <c r="D25" s="5">
        <v>9922</v>
      </c>
      <c r="E25" s="5">
        <v>688</v>
      </c>
      <c r="F25" s="5">
        <v>454</v>
      </c>
      <c r="G25" s="5">
        <v>13470</v>
      </c>
      <c r="H25" s="5">
        <v>46070</v>
      </c>
      <c r="I25" s="7">
        <v>221300</v>
      </c>
      <c r="J25" s="7">
        <v>294200</v>
      </c>
      <c r="K25" s="5">
        <v>10079</v>
      </c>
      <c r="L25" s="5">
        <v>49682</v>
      </c>
      <c r="M25" s="7">
        <v>551000</v>
      </c>
      <c r="N25" s="7">
        <v>1434000</v>
      </c>
      <c r="O25" s="8">
        <f t="shared" si="41"/>
        <v>0.99381441550678129</v>
      </c>
      <c r="P25" s="8">
        <f t="shared" si="41"/>
        <v>1.1617155139885784</v>
      </c>
      <c r="Q25" s="8">
        <f t="shared" si="41"/>
        <v>3.287106087649605</v>
      </c>
      <c r="R25" s="8">
        <f t="shared" si="41"/>
        <v>7.0306777857388152</v>
      </c>
      <c r="S25" s="8">
        <f t="shared" si="42"/>
        <v>0.51368191230713012</v>
      </c>
      <c r="T25" s="8">
        <f t="shared" si="42"/>
        <v>0.82049845020719003</v>
      </c>
      <c r="U25" s="8">
        <f t="shared" si="42"/>
        <v>18.587439147194512</v>
      </c>
      <c r="V25" s="8">
        <f t="shared" si="42"/>
        <v>181.87373348038284</v>
      </c>
      <c r="W25" s="8">
        <f t="shared" si="43"/>
        <v>0.13612570676138949</v>
      </c>
      <c r="X25" s="8">
        <f t="shared" si="44"/>
        <v>0.17889597799433227</v>
      </c>
      <c r="Y25" s="8">
        <f t="shared" si="44"/>
        <v>3.5660017975769689</v>
      </c>
      <c r="Z25" s="8">
        <f t="shared" si="44"/>
        <v>31.777476978767602</v>
      </c>
      <c r="AA25" s="8">
        <f t="shared" si="56"/>
        <v>4043.3418679335523</v>
      </c>
      <c r="AB25" s="8">
        <f t="shared" si="57"/>
        <v>1775.0058936597648</v>
      </c>
      <c r="AC25" s="8">
        <f t="shared" si="58"/>
        <v>2453.4092367329545</v>
      </c>
      <c r="AD25" s="8">
        <f t="shared" si="59"/>
        <v>14426.974548360491</v>
      </c>
      <c r="AE25" s="8">
        <f t="shared" si="60"/>
        <v>0.17813074090141137</v>
      </c>
      <c r="AF25" s="8">
        <f t="shared" si="61"/>
        <v>7.8198461883604894E-2</v>
      </c>
      <c r="AG25" s="8">
        <f t="shared" si="62"/>
        <v>0.10808574178194853</v>
      </c>
      <c r="AH25" s="8">
        <f t="shared" si="63"/>
        <v>0.63558505543303523</v>
      </c>
      <c r="AN25" s="10">
        <v>30</v>
      </c>
      <c r="AO25" s="8">
        <f t="shared" si="53"/>
        <v>0.92729761281751943</v>
      </c>
      <c r="AP25" s="8">
        <f t="shared" si="54"/>
        <v>0.40163339382940111</v>
      </c>
      <c r="AV25" s="5">
        <f t="shared" si="55"/>
        <v>46070</v>
      </c>
      <c r="AW25" s="5">
        <f t="shared" si="55"/>
        <v>221300</v>
      </c>
    </row>
    <row r="26" spans="1:49" x14ac:dyDescent="0.2">
      <c r="A26" s="5" t="s">
        <v>392</v>
      </c>
      <c r="B26" s="10">
        <v>40</v>
      </c>
      <c r="C26" s="5">
        <v>4847</v>
      </c>
      <c r="D26" s="5">
        <v>3482</v>
      </c>
      <c r="E26" s="5">
        <v>134</v>
      </c>
      <c r="F26" s="5">
        <v>100</v>
      </c>
      <c r="G26" s="5">
        <v>15329</v>
      </c>
      <c r="H26" s="5">
        <v>55397</v>
      </c>
      <c r="I26" s="7">
        <v>246400</v>
      </c>
      <c r="J26" s="7">
        <v>290600</v>
      </c>
      <c r="K26" s="5">
        <v>22421</v>
      </c>
      <c r="L26" s="5">
        <v>47397</v>
      </c>
      <c r="M26" s="7">
        <v>571900</v>
      </c>
      <c r="N26" s="7">
        <v>1513000</v>
      </c>
      <c r="O26" s="8">
        <f t="shared" si="41"/>
        <v>1.0461396271690881</v>
      </c>
      <c r="P26" s="8">
        <f t="shared" si="41"/>
        <v>1.1520280153134552</v>
      </c>
      <c r="Q26" s="8">
        <f t="shared" si="41"/>
        <v>3.3757138435839931</v>
      </c>
      <c r="R26" s="8">
        <f t="shared" si="41"/>
        <v>7.3656066239597067</v>
      </c>
      <c r="S26" s="8">
        <f t="shared" si="42"/>
        <v>0.59916627078637819</v>
      </c>
      <c r="T26" s="8">
        <f t="shared" si="42"/>
        <v>0.8001428323377765</v>
      </c>
      <c r="U26" s="8">
        <f t="shared" si="42"/>
        <v>20.131459972119565</v>
      </c>
      <c r="V26" s="8">
        <f t="shared" si="42"/>
        <v>209.1240397606847</v>
      </c>
      <c r="W26" s="8">
        <f t="shared" si="43"/>
        <v>0.15877906175839021</v>
      </c>
      <c r="X26" s="8">
        <f t="shared" si="44"/>
        <v>0.17463755840508083</v>
      </c>
      <c r="Y26" s="8">
        <f t="shared" si="44"/>
        <v>3.8496069147714391</v>
      </c>
      <c r="Z26" s="8">
        <f t="shared" si="44"/>
        <v>36.330167272809327</v>
      </c>
      <c r="AA26" s="8">
        <f t="shared" si="56"/>
        <v>769.60211234291739</v>
      </c>
      <c r="AB26" s="8">
        <f t="shared" si="57"/>
        <v>608.08797836649148</v>
      </c>
      <c r="AC26" s="8">
        <f t="shared" si="58"/>
        <v>515.84732657937286</v>
      </c>
      <c r="AD26" s="8">
        <f t="shared" si="59"/>
        <v>3633.0167272809326</v>
      </c>
      <c r="AE26" s="8">
        <f t="shared" si="60"/>
        <v>0.13925532840370589</v>
      </c>
      <c r="AF26" s="8">
        <f t="shared" si="61"/>
        <v>0.11003022180900679</v>
      </c>
      <c r="AG26" s="8">
        <f t="shared" si="62"/>
        <v>9.3339776121841578E-2</v>
      </c>
      <c r="AH26" s="8">
        <f t="shared" si="63"/>
        <v>0.65737467366544577</v>
      </c>
      <c r="AN26" s="10">
        <v>40</v>
      </c>
      <c r="AO26" s="8">
        <f t="shared" si="53"/>
        <v>1.1687870540329557</v>
      </c>
      <c r="AP26" s="8">
        <f t="shared" si="54"/>
        <v>0.43084455324357407</v>
      </c>
      <c r="AV26" s="5">
        <f t="shared" si="55"/>
        <v>55397</v>
      </c>
      <c r="AW26" s="5">
        <f t="shared" si="55"/>
        <v>246400</v>
      </c>
    </row>
    <row r="27" spans="1:49" x14ac:dyDescent="0.2">
      <c r="A27" s="5" t="s">
        <v>393</v>
      </c>
      <c r="B27" s="10">
        <v>40</v>
      </c>
      <c r="C27" s="5">
        <v>15334</v>
      </c>
      <c r="D27" s="5">
        <v>10963</v>
      </c>
      <c r="E27" s="5">
        <v>346</v>
      </c>
      <c r="F27" s="5">
        <v>250</v>
      </c>
      <c r="G27" s="5">
        <v>17938</v>
      </c>
      <c r="H27" s="5">
        <v>59322</v>
      </c>
      <c r="I27" s="7">
        <v>239000</v>
      </c>
      <c r="J27" s="7">
        <v>295700</v>
      </c>
      <c r="K27" s="5">
        <v>7523</v>
      </c>
      <c r="L27" s="5">
        <v>47591</v>
      </c>
      <c r="M27" s="7">
        <v>539000</v>
      </c>
      <c r="N27" s="7">
        <v>1278000</v>
      </c>
      <c r="O27" s="8">
        <f t="shared" si="41"/>
        <v>0.98297798372839396</v>
      </c>
      <c r="P27" s="8">
        <f t="shared" si="41"/>
        <v>1.1528504987895927</v>
      </c>
      <c r="Q27" s="8">
        <f t="shared" si="41"/>
        <v>3.2362308210844062</v>
      </c>
      <c r="R27" s="8">
        <f t="shared" si="41"/>
        <v>6.3692993203912307</v>
      </c>
      <c r="S27" s="8">
        <f t="shared" si="42"/>
        <v>0.49706109263744236</v>
      </c>
      <c r="T27" s="8">
        <f t="shared" si="42"/>
        <v>0.80185782766112235</v>
      </c>
      <c r="U27" s="8">
        <f t="shared" si="42"/>
        <v>17.737682086510219</v>
      </c>
      <c r="V27" s="8">
        <f t="shared" si="42"/>
        <v>135.22387400503951</v>
      </c>
      <c r="W27" s="8">
        <f t="shared" si="43"/>
        <v>0.1317211895489222</v>
      </c>
      <c r="X27" s="8">
        <f t="shared" si="44"/>
        <v>0.17499650729147304</v>
      </c>
      <c r="Y27" s="8">
        <f t="shared" si="44"/>
        <v>3.409510994317837</v>
      </c>
      <c r="Z27" s="8">
        <f t="shared" si="44"/>
        <v>23.915539670959262</v>
      </c>
      <c r="AA27" s="8">
        <f t="shared" si="56"/>
        <v>2019.8127205431731</v>
      </c>
      <c r="AB27" s="8">
        <f t="shared" si="57"/>
        <v>1918.4867094364188</v>
      </c>
      <c r="AC27" s="8">
        <f t="shared" si="58"/>
        <v>1179.6908040339715</v>
      </c>
      <c r="AD27" s="8">
        <f t="shared" si="59"/>
        <v>5978.8849177398151</v>
      </c>
      <c r="AE27" s="8">
        <f t="shared" si="60"/>
        <v>0.18201635081242035</v>
      </c>
      <c r="AF27" s="8">
        <f t="shared" si="61"/>
        <v>0.17288531079249689</v>
      </c>
      <c r="AG27" s="8">
        <f t="shared" si="62"/>
        <v>0.10630837852109859</v>
      </c>
      <c r="AH27" s="8">
        <f t="shared" si="63"/>
        <v>0.53878995987398426</v>
      </c>
      <c r="AN27" s="10">
        <v>40</v>
      </c>
      <c r="AO27" s="8">
        <f t="shared" si="53"/>
        <v>1.2464961862537034</v>
      </c>
      <c r="AP27" s="8">
        <f t="shared" si="54"/>
        <v>0.44341372912801486</v>
      </c>
      <c r="AV27" s="5">
        <f t="shared" si="55"/>
        <v>59322</v>
      </c>
      <c r="AW27" s="5">
        <f t="shared" si="55"/>
        <v>239000</v>
      </c>
    </row>
    <row r="28" spans="1:49" x14ac:dyDescent="0.2">
      <c r="A28" s="5" t="s">
        <v>394</v>
      </c>
      <c r="B28" s="10">
        <v>40</v>
      </c>
      <c r="C28" s="5">
        <v>15673</v>
      </c>
      <c r="D28" s="5">
        <v>11954</v>
      </c>
      <c r="E28" s="5">
        <v>388</v>
      </c>
      <c r="F28" s="5">
        <v>353</v>
      </c>
      <c r="G28" s="5">
        <v>17690</v>
      </c>
      <c r="H28" s="5">
        <v>58101</v>
      </c>
      <c r="I28" s="7">
        <v>242500</v>
      </c>
      <c r="J28" s="7">
        <v>292500</v>
      </c>
      <c r="K28" s="5">
        <v>12682</v>
      </c>
      <c r="L28" s="5">
        <v>46385</v>
      </c>
      <c r="M28" s="7">
        <v>501500</v>
      </c>
      <c r="N28" s="7">
        <v>1286000</v>
      </c>
      <c r="O28" s="8">
        <f t="shared" si="41"/>
        <v>1.0048501087458823</v>
      </c>
      <c r="P28" s="8">
        <f t="shared" si="41"/>
        <v>1.1477375344997902</v>
      </c>
      <c r="Q28" s="8">
        <f t="shared" si="41"/>
        <v>3.0772456130681602</v>
      </c>
      <c r="R28" s="8">
        <f t="shared" si="41"/>
        <v>6.4032161647680299</v>
      </c>
      <c r="S28" s="8">
        <f t="shared" si="42"/>
        <v>0.53098499575351976</v>
      </c>
      <c r="T28" s="8">
        <f t="shared" si="42"/>
        <v>0.79123620549626628</v>
      </c>
      <c r="U28" s="8">
        <f t="shared" si="42"/>
        <v>15.249825752304202</v>
      </c>
      <c r="V28" s="8">
        <f t="shared" si="42"/>
        <v>137.39561983537027</v>
      </c>
      <c r="W28" s="8">
        <f t="shared" si="43"/>
        <v>0.14071102387468273</v>
      </c>
      <c r="X28" s="8">
        <f t="shared" si="44"/>
        <v>0.17277289060202536</v>
      </c>
      <c r="Y28" s="8">
        <f t="shared" si="44"/>
        <v>2.9495177986769465</v>
      </c>
      <c r="Z28" s="8">
        <f t="shared" si="44"/>
        <v>24.283763759815695</v>
      </c>
      <c r="AA28" s="8">
        <f t="shared" si="56"/>
        <v>2205.3638771879023</v>
      </c>
      <c r="AB28" s="8">
        <f t="shared" si="57"/>
        <v>2065.3271342566113</v>
      </c>
      <c r="AC28" s="8">
        <f t="shared" si="58"/>
        <v>1144.4129058866552</v>
      </c>
      <c r="AD28" s="8">
        <f t="shared" si="59"/>
        <v>8572.1686072149405</v>
      </c>
      <c r="AE28" s="8">
        <f t="shared" si="60"/>
        <v>0.15766932926471072</v>
      </c>
      <c r="AF28" s="8">
        <f t="shared" si="61"/>
        <v>0.14765760305536277</v>
      </c>
      <c r="AG28" s="8">
        <f t="shared" si="62"/>
        <v>8.1818160322417233E-2</v>
      </c>
      <c r="AH28" s="8">
        <f t="shared" si="63"/>
        <v>0.61285490735750925</v>
      </c>
      <c r="AN28" s="10">
        <v>40</v>
      </c>
      <c r="AO28" s="8">
        <f t="shared" si="53"/>
        <v>1.2525816535517948</v>
      </c>
      <c r="AP28" s="8">
        <f t="shared" si="54"/>
        <v>0.48354935194416748</v>
      </c>
      <c r="AV28" s="5">
        <f t="shared" si="55"/>
        <v>58101</v>
      </c>
      <c r="AW28" s="5">
        <f t="shared" si="55"/>
        <v>242500</v>
      </c>
    </row>
    <row r="29" spans="1:49" x14ac:dyDescent="0.2">
      <c r="A29" s="5" t="s">
        <v>395</v>
      </c>
      <c r="B29" s="10">
        <v>50</v>
      </c>
      <c r="C29" s="5">
        <v>3664</v>
      </c>
      <c r="D29" s="5">
        <v>3489</v>
      </c>
      <c r="E29" s="5">
        <v>104</v>
      </c>
      <c r="F29" s="5">
        <v>60</v>
      </c>
      <c r="G29" s="5">
        <v>16738</v>
      </c>
      <c r="H29" s="5">
        <v>61654</v>
      </c>
      <c r="I29" s="7">
        <v>231400</v>
      </c>
      <c r="J29" s="7">
        <v>296200</v>
      </c>
      <c r="K29" s="5">
        <v>23809</v>
      </c>
      <c r="L29" s="5">
        <v>46867</v>
      </c>
      <c r="M29" s="7">
        <v>457500</v>
      </c>
      <c r="N29" s="7">
        <v>1169000</v>
      </c>
      <c r="O29" s="8">
        <f t="shared" si="41"/>
        <v>1.0520241996684629</v>
      </c>
      <c r="P29" s="8">
        <f t="shared" si="41"/>
        <v>1.1497810243734923</v>
      </c>
      <c r="Q29" s="8">
        <f t="shared" si="41"/>
        <v>2.8907029689957646</v>
      </c>
      <c r="R29" s="8">
        <f t="shared" si="41"/>
        <v>5.9071823157573418</v>
      </c>
      <c r="S29" s="8">
        <f t="shared" si="42"/>
        <v>0.60933424668963598</v>
      </c>
      <c r="T29" s="8">
        <f t="shared" si="42"/>
        <v>0.79547000533444145</v>
      </c>
      <c r="U29" s="8">
        <f t="shared" si="42"/>
        <v>12.641214575430595</v>
      </c>
      <c r="V29" s="8">
        <f t="shared" si="42"/>
        <v>107.87468046460475</v>
      </c>
      <c r="W29" s="8">
        <f t="shared" si="43"/>
        <v>0.16147357537275353</v>
      </c>
      <c r="X29" s="8">
        <f t="shared" si="44"/>
        <v>0.17365937444297327</v>
      </c>
      <c r="Y29" s="8">
        <f t="shared" si="44"/>
        <v>2.4638567964501799</v>
      </c>
      <c r="Z29" s="8">
        <f t="shared" si="44"/>
        <v>19.25616603188405</v>
      </c>
      <c r="AA29" s="8">
        <f t="shared" si="56"/>
        <v>591.63918016576895</v>
      </c>
      <c r="AB29" s="8">
        <f t="shared" si="57"/>
        <v>605.89755743153376</v>
      </c>
      <c r="AC29" s="8">
        <f t="shared" si="58"/>
        <v>256.24110683081869</v>
      </c>
      <c r="AD29" s="8">
        <f t="shared" si="59"/>
        <v>1155.369961913043</v>
      </c>
      <c r="AE29" s="8">
        <f t="shared" si="60"/>
        <v>0.22675571645572307</v>
      </c>
      <c r="AF29" s="8">
        <f t="shared" si="61"/>
        <v>0.23222048055651945</v>
      </c>
      <c r="AG29" s="8">
        <f t="shared" si="62"/>
        <v>9.8208735514354897E-2</v>
      </c>
      <c r="AH29" s="8">
        <f t="shared" si="63"/>
        <v>0.44281506747340255</v>
      </c>
      <c r="AN29" s="10">
        <v>50</v>
      </c>
      <c r="AO29" s="8">
        <f t="shared" si="53"/>
        <v>1.3155098470138904</v>
      </c>
      <c r="AP29" s="8">
        <f t="shared" si="54"/>
        <v>0.505792349726776</v>
      </c>
      <c r="AV29" s="5">
        <f t="shared" si="55"/>
        <v>61654</v>
      </c>
      <c r="AW29" s="5">
        <f t="shared" si="55"/>
        <v>231400</v>
      </c>
    </row>
    <row r="30" spans="1:49" x14ac:dyDescent="0.2">
      <c r="A30" s="5" t="s">
        <v>396</v>
      </c>
      <c r="B30" s="10">
        <v>50</v>
      </c>
      <c r="C30" s="5">
        <v>11339</v>
      </c>
      <c r="D30" s="5">
        <v>9270</v>
      </c>
      <c r="E30" s="5">
        <v>308</v>
      </c>
      <c r="F30" s="5">
        <v>161</v>
      </c>
      <c r="G30" s="5">
        <v>17726</v>
      </c>
      <c r="H30" s="5">
        <v>62718</v>
      </c>
      <c r="I30" s="7">
        <v>237600</v>
      </c>
      <c r="J30" s="7">
        <v>289000</v>
      </c>
      <c r="K30" s="5">
        <v>10186</v>
      </c>
      <c r="L30" s="5">
        <v>47474</v>
      </c>
      <c r="M30" s="7">
        <v>497800</v>
      </c>
      <c r="N30" s="7">
        <v>1161000</v>
      </c>
      <c r="O30" s="8">
        <f t="shared" ref="O30:O31" si="64">(224333+K30)/235871</f>
        <v>0.99426805330032098</v>
      </c>
      <c r="P30" s="8">
        <f t="shared" ref="P30:P31" si="65">(224333+L30)/235871</f>
        <v>1.1523544649405819</v>
      </c>
      <c r="Q30" s="8">
        <f t="shared" ref="Q30:Q31" si="66">(224333+M30)/235871</f>
        <v>3.0615590725438904</v>
      </c>
      <c r="R30" s="8">
        <f t="shared" ref="R30:R31" si="67">(224333+N30)/235871</f>
        <v>5.8732654713805426</v>
      </c>
      <c r="S30" s="8">
        <f t="shared" ref="S30:S31" si="68">4/3*3.14*((O30/2)^3)</f>
        <v>0.51438566114279782</v>
      </c>
      <c r="T30" s="8">
        <f t="shared" ref="T30:T31" si="69">4/3*3.14*((P30/2)^3)</f>
        <v>0.80082323338018757</v>
      </c>
      <c r="U30" s="8">
        <f t="shared" ref="U30:U31" si="70">4/3*3.14*((Q30/2)^3)</f>
        <v>15.017800414311761</v>
      </c>
      <c r="V30" s="8">
        <f t="shared" ref="V30:V31" si="71">4/3*3.14*((R30/2)^3)</f>
        <v>106.02719981950189</v>
      </c>
      <c r="W30" s="8">
        <f t="shared" si="43"/>
        <v>0.1363122002028414</v>
      </c>
      <c r="X30" s="8">
        <f t="shared" ref="X30:X31" si="72">(10^(-0.665+LOG(T30, 10)*0.959))</f>
        <v>0.17477997025917577</v>
      </c>
      <c r="Y30" s="8">
        <f t="shared" ref="Y30:Y31" si="73">(10^(-0.665+LOG(U30, 10)*0.959))</f>
        <v>2.9064674850484726</v>
      </c>
      <c r="Z30" s="8">
        <f t="shared" ref="Z30:Z31" si="74">(10^(-0.665+LOG(V30, 10)*0.959))</f>
        <v>18.939791026156655</v>
      </c>
      <c r="AA30" s="8">
        <f t="shared" si="56"/>
        <v>1545.6440381000186</v>
      </c>
      <c r="AB30" s="8">
        <f t="shared" si="57"/>
        <v>1620.2103243025595</v>
      </c>
      <c r="AC30" s="8">
        <f t="shared" si="58"/>
        <v>895.19198539492959</v>
      </c>
      <c r="AD30" s="8">
        <f t="shared" si="59"/>
        <v>3049.3063552112217</v>
      </c>
      <c r="AE30" s="8">
        <f t="shared" si="60"/>
        <v>0.21737937661601273</v>
      </c>
      <c r="AF30" s="8">
        <f t="shared" si="61"/>
        <v>0.22786637906400498</v>
      </c>
      <c r="AG30" s="8">
        <f t="shared" si="62"/>
        <v>0.12589980030331424</v>
      </c>
      <c r="AH30" s="8">
        <f t="shared" si="63"/>
        <v>0.42885444401666811</v>
      </c>
      <c r="AN30" s="10">
        <v>50</v>
      </c>
      <c r="AO30" s="8">
        <f t="shared" si="53"/>
        <v>1.3211020769263175</v>
      </c>
      <c r="AP30" s="8">
        <f t="shared" si="54"/>
        <v>0.47730012053033349</v>
      </c>
      <c r="AV30" s="5">
        <f t="shared" ref="AV30:AW31" si="75">H30</f>
        <v>62718</v>
      </c>
      <c r="AW30" s="5">
        <f t="shared" si="75"/>
        <v>237600</v>
      </c>
    </row>
    <row r="31" spans="1:49" x14ac:dyDescent="0.2">
      <c r="A31" s="5" t="s">
        <v>397</v>
      </c>
      <c r="B31" s="10">
        <v>50</v>
      </c>
      <c r="C31" s="5">
        <v>12110</v>
      </c>
      <c r="D31" s="5">
        <v>11085</v>
      </c>
      <c r="E31" s="5">
        <v>297</v>
      </c>
      <c r="F31" s="5">
        <v>219</v>
      </c>
      <c r="G31" s="5">
        <v>17611</v>
      </c>
      <c r="H31" s="5">
        <v>62951</v>
      </c>
      <c r="I31" s="7">
        <v>230200</v>
      </c>
      <c r="J31" s="7">
        <v>293100</v>
      </c>
      <c r="K31" s="5">
        <v>8047</v>
      </c>
      <c r="L31" s="5">
        <v>47695</v>
      </c>
      <c r="M31" s="7">
        <v>434500</v>
      </c>
      <c r="N31" s="7">
        <v>1210000</v>
      </c>
      <c r="O31" s="8">
        <f t="shared" si="64"/>
        <v>0.98519953703507424</v>
      </c>
      <c r="P31" s="8">
        <f t="shared" si="65"/>
        <v>1.153291417766491</v>
      </c>
      <c r="Q31" s="8">
        <f t="shared" si="66"/>
        <v>2.7931920414124671</v>
      </c>
      <c r="R31" s="8">
        <f t="shared" si="67"/>
        <v>6.0810061431884375</v>
      </c>
      <c r="S31" s="8">
        <f t="shared" si="68"/>
        <v>0.50043882409661378</v>
      </c>
      <c r="T31" s="8">
        <f t="shared" si="69"/>
        <v>0.80277821474753552</v>
      </c>
      <c r="U31" s="8">
        <f t="shared" si="70"/>
        <v>11.404619114667286</v>
      </c>
      <c r="V31" s="8">
        <f t="shared" si="71"/>
        <v>117.68055939219164</v>
      </c>
      <c r="W31" s="8">
        <f t="shared" si="43"/>
        <v>0.13261628838560263</v>
      </c>
      <c r="X31" s="8">
        <f t="shared" si="72"/>
        <v>0.17518913152178597</v>
      </c>
      <c r="Y31" s="8">
        <f t="shared" si="73"/>
        <v>2.2322378783880592</v>
      </c>
      <c r="Z31" s="8">
        <f t="shared" si="74"/>
        <v>20.931764043525522</v>
      </c>
      <c r="AA31" s="8">
        <f t="shared" si="56"/>
        <v>1605.983252349648</v>
      </c>
      <c r="AB31" s="8">
        <f t="shared" si="57"/>
        <v>1941.9715229189976</v>
      </c>
      <c r="AC31" s="8">
        <f t="shared" si="58"/>
        <v>662.97464988125364</v>
      </c>
      <c r="AD31" s="8">
        <f t="shared" si="59"/>
        <v>4584.0563255320894</v>
      </c>
      <c r="AE31" s="8">
        <f t="shared" si="60"/>
        <v>0.18260214375277586</v>
      </c>
      <c r="AF31" s="8">
        <f t="shared" si="61"/>
        <v>0.22080439672894425</v>
      </c>
      <c r="AG31" s="8">
        <f t="shared" si="62"/>
        <v>7.53809805581373E-2</v>
      </c>
      <c r="AH31" s="8">
        <f t="shared" si="63"/>
        <v>0.52121247896014244</v>
      </c>
      <c r="AN31" s="10">
        <v>50</v>
      </c>
      <c r="AO31" s="8">
        <f t="shared" si="53"/>
        <v>1.3198658140266275</v>
      </c>
      <c r="AP31" s="8">
        <f t="shared" si="54"/>
        <v>0.52980437284234749</v>
      </c>
      <c r="AV31" s="5">
        <f t="shared" si="75"/>
        <v>62951</v>
      </c>
      <c r="AW31" s="5">
        <f t="shared" si="75"/>
        <v>230200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372</v>
      </c>
      <c r="B38" s="10">
        <v>5</v>
      </c>
      <c r="C38" s="31">
        <f>1-0.22-0.025</f>
        <v>0.755</v>
      </c>
      <c r="D38" s="12">
        <f>H38/$C38</f>
        <v>15724.503311258279</v>
      </c>
      <c r="E38" s="12">
        <f t="shared" ref="E38:G45" si="76">I38/$C38</f>
        <v>12594.701986754966</v>
      </c>
      <c r="F38" s="12">
        <f t="shared" si="76"/>
        <v>1098.0132450331125</v>
      </c>
      <c r="G38" s="12">
        <f>K38/$C38</f>
        <v>1683.4437086092714</v>
      </c>
      <c r="H38" s="5">
        <v>11872</v>
      </c>
      <c r="I38" s="5">
        <v>9509</v>
      </c>
      <c r="J38" s="5">
        <v>829</v>
      </c>
      <c r="K38" s="5">
        <v>1271</v>
      </c>
      <c r="L38" s="26">
        <f t="shared" ref="L38:O45" si="77">W4*D38*1000/1000000</f>
        <v>2.1915337434597553</v>
      </c>
      <c r="M38" s="26">
        <f t="shared" si="77"/>
        <v>2.4257902817928159</v>
      </c>
      <c r="N38" s="26">
        <f t="shared" si="77"/>
        <v>5.7018306048249876</v>
      </c>
      <c r="O38" s="26">
        <f t="shared" si="77"/>
        <v>216.83089001320113</v>
      </c>
      <c r="P38" s="26">
        <f>SUM(L38:O38)</f>
        <v>227.15004464327868</v>
      </c>
      <c r="Q38" s="26">
        <f>SUM(L38:N38)</f>
        <v>10.319154630077559</v>
      </c>
      <c r="R38" s="26">
        <f>(LN(L48/(L38*0.25)))/$B$1</f>
        <v>0.58688750679602975</v>
      </c>
      <c r="S38" s="26">
        <f>(R38-R39)/(1-0.25)</f>
        <v>0.34393954772410779</v>
      </c>
      <c r="T38" s="26">
        <f>S38+R40</f>
        <v>0.65712821939395039</v>
      </c>
      <c r="V38" s="26">
        <f>(LN(L51/(L39*0.25)))/$B$1</f>
        <v>0.48516796908822751</v>
      </c>
      <c r="W38" s="26">
        <f>(V38-V39)/(1-0.25)</f>
        <v>0.27489790151988752</v>
      </c>
      <c r="X38" s="26">
        <f>W38+V40</f>
        <v>0.62656845654511528</v>
      </c>
      <c r="Z38" s="26">
        <f>(LN(L54/(L40*0.25)))/$B$1</f>
        <v>0.50317355159661092</v>
      </c>
      <c r="AA38" s="26">
        <f>(Z38-Z39)/(1-0.25)</f>
        <v>0.46647165138744079</v>
      </c>
      <c r="AB38" s="26">
        <f>AA38+Z40</f>
        <v>0.65408838969356287</v>
      </c>
    </row>
    <row r="39" spans="1:28" x14ac:dyDescent="0.2">
      <c r="A39" s="5" t="s">
        <v>373</v>
      </c>
      <c r="B39" s="10">
        <v>12</v>
      </c>
      <c r="C39" s="31">
        <f>1-0.23-0.025</f>
        <v>0.745</v>
      </c>
      <c r="D39" s="12">
        <f t="shared" ref="D39:D44" si="78">H39/$C39</f>
        <v>31350.335570469801</v>
      </c>
      <c r="E39" s="12">
        <f t="shared" si="76"/>
        <v>14880.536912751679</v>
      </c>
      <c r="F39" s="12">
        <f t="shared" si="76"/>
        <v>1895.3020134228188</v>
      </c>
      <c r="G39" s="12">
        <f t="shared" si="76"/>
        <v>1240.2684563758389</v>
      </c>
      <c r="H39" s="5">
        <v>23356</v>
      </c>
      <c r="I39" s="5">
        <v>11086</v>
      </c>
      <c r="J39" s="5">
        <v>1412</v>
      </c>
      <c r="K39" s="5">
        <v>924</v>
      </c>
      <c r="L39" s="26">
        <f t="shared" si="77"/>
        <v>4.2029223520321155</v>
      </c>
      <c r="M39" s="26">
        <f t="shared" si="77"/>
        <v>2.7209882358332211</v>
      </c>
      <c r="N39" s="26">
        <f t="shared" si="77"/>
        <v>12.304201082198915</v>
      </c>
      <c r="O39" s="26">
        <f t="shared" si="77"/>
        <v>133.67439526942454</v>
      </c>
      <c r="P39" s="26">
        <f t="shared" ref="P39:P44" si="79">SUM(L39:O39)</f>
        <v>152.90250693948877</v>
      </c>
      <c r="Q39" s="26">
        <f t="shared" ref="Q39:Q44" si="80">SUM(L39:N39)</f>
        <v>19.228111670064251</v>
      </c>
      <c r="R39" s="26">
        <f>(LN(L49/L38))/$B$1</f>
        <v>0.32893284600294892</v>
      </c>
      <c r="V39" s="26">
        <f>(LN(L52/L39))/$B$1</f>
        <v>0.27899454294831189</v>
      </c>
      <c r="Z39" s="26">
        <f>(LN(L55/L40))/$B$1</f>
        <v>0.15331981305603032</v>
      </c>
    </row>
    <row r="40" spans="1:28" x14ac:dyDescent="0.2">
      <c r="A40" s="5" t="s">
        <v>374</v>
      </c>
      <c r="B40" s="10">
        <v>20</v>
      </c>
      <c r="C40" s="31">
        <f>1-0.235-0.025</f>
        <v>0.74</v>
      </c>
      <c r="D40" s="12">
        <f t="shared" si="78"/>
        <v>43187.83783783784</v>
      </c>
      <c r="E40" s="12">
        <f t="shared" si="76"/>
        <v>17718.91891891892</v>
      </c>
      <c r="F40" s="12">
        <f t="shared" si="76"/>
        <v>1859.4594594594596</v>
      </c>
      <c r="G40" s="12">
        <f t="shared" si="76"/>
        <v>968.91891891891896</v>
      </c>
      <c r="H40" s="5">
        <v>31959</v>
      </c>
      <c r="I40" s="5">
        <v>13112</v>
      </c>
      <c r="J40" s="5">
        <v>1376</v>
      </c>
      <c r="K40" s="5">
        <v>717</v>
      </c>
      <c r="L40" s="26">
        <f t="shared" si="77"/>
        <v>5.6232750267214628</v>
      </c>
      <c r="M40" s="26">
        <f t="shared" si="77"/>
        <v>3.3729691798672228</v>
      </c>
      <c r="N40" s="26">
        <f t="shared" si="77"/>
        <v>10.519436706924694</v>
      </c>
      <c r="O40" s="26">
        <f t="shared" si="77"/>
        <v>97.929297424652276</v>
      </c>
      <c r="P40" s="26">
        <f t="shared" si="79"/>
        <v>117.44497833816565</v>
      </c>
      <c r="Q40" s="26">
        <f t="shared" si="80"/>
        <v>19.515680913513378</v>
      </c>
      <c r="R40" s="26">
        <f>LN(L50/L38)/$B$1</f>
        <v>0.3131886716698426</v>
      </c>
      <c r="V40" s="26">
        <f>LN(L53/L39)/$B$1</f>
        <v>0.35167055502522782</v>
      </c>
      <c r="Z40" s="26">
        <f>LN(L56/L40)/$B$1</f>
        <v>0.18761673830612205</v>
      </c>
    </row>
    <row r="41" spans="1:28" x14ac:dyDescent="0.2">
      <c r="A41" s="5" t="s">
        <v>375</v>
      </c>
      <c r="B41" s="10">
        <v>30</v>
      </c>
      <c r="C41" s="31">
        <f>1-0.16-0.025</f>
        <v>0.81499999999999995</v>
      </c>
      <c r="D41" s="12">
        <f t="shared" si="78"/>
        <v>35930.061349693256</v>
      </c>
      <c r="E41" s="12">
        <f t="shared" si="76"/>
        <v>16995.092024539877</v>
      </c>
      <c r="F41" s="12">
        <f t="shared" si="76"/>
        <v>1175.4601226993866</v>
      </c>
      <c r="G41" s="12">
        <f t="shared" si="76"/>
        <v>706.74846625766872</v>
      </c>
      <c r="H41" s="5">
        <v>29283</v>
      </c>
      <c r="I41" s="5">
        <v>13851</v>
      </c>
      <c r="J41" s="5">
        <v>958</v>
      </c>
      <c r="K41" s="5">
        <v>576</v>
      </c>
      <c r="L41" s="26">
        <f t="shared" si="77"/>
        <v>4.7283427000762757</v>
      </c>
      <c r="M41" s="26">
        <f t="shared" si="77"/>
        <v>3.033591064913352</v>
      </c>
      <c r="N41" s="26">
        <f t="shared" si="77"/>
        <v>4.8821310596136556</v>
      </c>
      <c r="O41" s="26">
        <f t="shared" si="77"/>
        <v>44.018345590433242</v>
      </c>
      <c r="P41" s="26">
        <f t="shared" si="79"/>
        <v>56.662410415036526</v>
      </c>
      <c r="Q41" s="26">
        <f t="shared" si="80"/>
        <v>12.644064824603284</v>
      </c>
      <c r="R41" s="5" t="s">
        <v>535</v>
      </c>
      <c r="V41" s="5" t="s">
        <v>535</v>
      </c>
      <c r="Z41" s="5" t="s">
        <v>535</v>
      </c>
    </row>
    <row r="42" spans="1:28" x14ac:dyDescent="0.2">
      <c r="A42" s="5" t="s">
        <v>376</v>
      </c>
      <c r="B42" s="10">
        <v>40</v>
      </c>
      <c r="C42" s="31">
        <f>1-0.22-0.025</f>
        <v>0.755</v>
      </c>
      <c r="D42" s="12">
        <f t="shared" si="78"/>
        <v>22184.1059602649</v>
      </c>
      <c r="E42" s="12">
        <f t="shared" si="76"/>
        <v>18577.48344370861</v>
      </c>
      <c r="F42" s="12">
        <f t="shared" si="76"/>
        <v>651.65562913907286</v>
      </c>
      <c r="G42" s="12">
        <f t="shared" si="76"/>
        <v>437.08609271523176</v>
      </c>
      <c r="H42" s="5">
        <v>16749</v>
      </c>
      <c r="I42" s="5">
        <v>14026</v>
      </c>
      <c r="J42" s="5">
        <v>492</v>
      </c>
      <c r="K42" s="5">
        <v>330</v>
      </c>
      <c r="L42" s="26">
        <f t="shared" si="77"/>
        <v>2.9551346419317093</v>
      </c>
      <c r="M42" s="26">
        <f t="shared" si="77"/>
        <v>3.1736274780418365</v>
      </c>
      <c r="N42" s="26">
        <f t="shared" si="77"/>
        <v>2.4501503878409467</v>
      </c>
      <c r="O42" s="26">
        <f t="shared" si="77"/>
        <v>20.866115812327191</v>
      </c>
      <c r="P42" s="26">
        <f t="shared" si="79"/>
        <v>29.445028320141684</v>
      </c>
      <c r="Q42" s="26">
        <f t="shared" si="80"/>
        <v>8.5789125078144934</v>
      </c>
      <c r="R42" s="6" t="s">
        <v>539</v>
      </c>
      <c r="S42" s="6" t="s">
        <v>540</v>
      </c>
      <c r="T42" s="6" t="s">
        <v>541</v>
      </c>
      <c r="V42" s="6" t="s">
        <v>539</v>
      </c>
      <c r="W42" s="6" t="s">
        <v>540</v>
      </c>
      <c r="X42" s="6" t="s">
        <v>541</v>
      </c>
      <c r="Z42" s="6" t="s">
        <v>539</v>
      </c>
      <c r="AA42" s="6" t="s">
        <v>540</v>
      </c>
      <c r="AB42" s="6" t="s">
        <v>541</v>
      </c>
    </row>
    <row r="43" spans="1:28" x14ac:dyDescent="0.2">
      <c r="A43" s="5" t="s">
        <v>377</v>
      </c>
      <c r="B43" s="10">
        <v>50</v>
      </c>
      <c r="C43" s="31">
        <f>1-0.24-0.025</f>
        <v>0.73499999999999999</v>
      </c>
      <c r="D43" s="12">
        <f t="shared" si="78"/>
        <v>16900.680272108842</v>
      </c>
      <c r="E43" s="12">
        <f t="shared" si="76"/>
        <v>16862.585034013606</v>
      </c>
      <c r="F43" s="12">
        <f t="shared" si="76"/>
        <v>302.0408163265306</v>
      </c>
      <c r="G43" s="12">
        <f t="shared" si="76"/>
        <v>351.0204081632653</v>
      </c>
      <c r="H43" s="5">
        <v>12422</v>
      </c>
      <c r="I43" s="5">
        <v>12394</v>
      </c>
      <c r="J43" s="5">
        <v>222</v>
      </c>
      <c r="K43" s="5">
        <v>258</v>
      </c>
      <c r="L43" s="26">
        <f t="shared" si="77"/>
        <v>2.348973891362752</v>
      </c>
      <c r="M43" s="26">
        <f t="shared" si="77"/>
        <v>3.0574959631607581</v>
      </c>
      <c r="N43" s="26">
        <f t="shared" si="77"/>
        <v>1.1932450241161401</v>
      </c>
      <c r="O43" s="26">
        <f t="shared" si="77"/>
        <v>12.293531112136565</v>
      </c>
      <c r="P43" s="26">
        <f t="shared" si="79"/>
        <v>18.893245990776215</v>
      </c>
      <c r="Q43" s="26">
        <f t="shared" si="80"/>
        <v>6.5997148786396505</v>
      </c>
      <c r="R43" s="26">
        <f>(LN(M48/(M38*0.25)))/$B$1</f>
        <v>0.69900381233905873</v>
      </c>
      <c r="S43" s="26">
        <f>(R43-R44)/(1-0.25)</f>
        <v>0.38225072961434692</v>
      </c>
      <c r="T43" s="26">
        <f>S43+R45</f>
        <v>0.44568790031011341</v>
      </c>
      <c r="V43" s="26">
        <f>(LN(M51/(M39*0.25)))/$B$1</f>
        <v>0.54660099680463869</v>
      </c>
      <c r="W43" s="26">
        <f>(V43-V44)/(1-0.25)</f>
        <v>0.50837345308094217</v>
      </c>
      <c r="X43" s="26">
        <f>W43+V45</f>
        <v>0.59831561970008496</v>
      </c>
      <c r="Z43" s="26">
        <f>(LN(M54/(M40*0.25)))/$B$1</f>
        <v>0.27111777193205744</v>
      </c>
      <c r="AA43" s="26">
        <f>(Z43-Z44)/(1-0.25)</f>
        <v>0.53022466040849769</v>
      </c>
      <c r="AB43" s="26">
        <f>AA43+Z45</f>
        <v>0.36692586004637473</v>
      </c>
    </row>
    <row r="44" spans="1:28" x14ac:dyDescent="0.2">
      <c r="A44" s="5" t="s">
        <v>378</v>
      </c>
      <c r="B44" s="10">
        <v>70</v>
      </c>
      <c r="C44" s="31">
        <f>1-0.23-0.025</f>
        <v>0.745</v>
      </c>
      <c r="D44" s="12">
        <f t="shared" si="78"/>
        <v>3838.9261744966443</v>
      </c>
      <c r="E44" s="12">
        <f t="shared" si="76"/>
        <v>5893.959731543624</v>
      </c>
      <c r="F44" s="12">
        <f t="shared" si="76"/>
        <v>120.80536912751678</v>
      </c>
      <c r="G44" s="12">
        <f t="shared" si="76"/>
        <v>115.43624161073825</v>
      </c>
      <c r="H44" s="5">
        <v>2860</v>
      </c>
      <c r="I44" s="5">
        <v>4391</v>
      </c>
      <c r="J44" s="5">
        <v>90</v>
      </c>
      <c r="K44" s="5">
        <v>86</v>
      </c>
      <c r="L44" s="26">
        <f t="shared" si="77"/>
        <v>0.67791190363354448</v>
      </c>
      <c r="M44" s="26">
        <f t="shared" si="77"/>
        <v>1.2931541133762088</v>
      </c>
      <c r="N44" s="26">
        <f t="shared" si="77"/>
        <v>0.4702813552630557</v>
      </c>
      <c r="O44" s="26">
        <f t="shared" si="77"/>
        <v>3.8296332402791187</v>
      </c>
      <c r="P44" s="26">
        <f t="shared" si="79"/>
        <v>6.2709806125519272</v>
      </c>
      <c r="Q44" s="26">
        <f t="shared" si="80"/>
        <v>2.441347372272809</v>
      </c>
      <c r="R44" s="26">
        <f>(LN(M49/M38))/$B$1</f>
        <v>0.41231576512829854</v>
      </c>
      <c r="V44" s="26">
        <f>(LN(M52/M39))/$B$1</f>
        <v>0.16532090699393204</v>
      </c>
      <c r="Z44" s="26">
        <f>(LN(M55/M40))/$B$1</f>
        <v>-0.12655072337431583</v>
      </c>
    </row>
    <row r="45" spans="1:28" x14ac:dyDescent="0.2">
      <c r="A45" s="5" t="s">
        <v>379</v>
      </c>
      <c r="B45" s="10">
        <v>100</v>
      </c>
      <c r="C45" s="31">
        <f>1-0.23-0.025</f>
        <v>0.745</v>
      </c>
      <c r="D45" s="12">
        <f>H45/$C45</f>
        <v>485.90604026845637</v>
      </c>
      <c r="E45" s="12">
        <f t="shared" si="76"/>
        <v>997.31543624161077</v>
      </c>
      <c r="F45" s="12">
        <f t="shared" si="76"/>
        <v>55.033557046979865</v>
      </c>
      <c r="G45" s="12">
        <f t="shared" si="76"/>
        <v>49.664429530201346</v>
      </c>
      <c r="H45" s="5">
        <v>362</v>
      </c>
      <c r="I45" s="5">
        <v>743</v>
      </c>
      <c r="J45" s="5">
        <v>41</v>
      </c>
      <c r="K45" s="5">
        <v>37</v>
      </c>
      <c r="L45" s="26">
        <f t="shared" si="77"/>
        <v>0.19940716489095933</v>
      </c>
      <c r="M45" s="26">
        <f t="shared" si="77"/>
        <v>0.22676944185239836</v>
      </c>
      <c r="N45" s="26">
        <f t="shared" si="77"/>
        <v>0.11600248700836854</v>
      </c>
      <c r="O45" s="26">
        <f t="shared" si="77"/>
        <v>1.6363940693993742</v>
      </c>
      <c r="P45" s="26">
        <f>SUM(L45:O45)</f>
        <v>2.1785731631511003</v>
      </c>
      <c r="Q45" s="26">
        <f>SUM(L45:N45)</f>
        <v>0.54217909375172624</v>
      </c>
      <c r="R45" s="26">
        <f>LN(M50/M38)/$B$1</f>
        <v>6.3437170695766515E-2</v>
      </c>
      <c r="V45" s="26">
        <f>LN(M53/M39)/$B$1</f>
        <v>8.9942166619142838E-2</v>
      </c>
      <c r="Z45" s="26">
        <f>LN(M56/M40)/$B$1</f>
        <v>-0.16329880036212294</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380</v>
      </c>
      <c r="B48" s="10">
        <v>5</v>
      </c>
      <c r="C48" s="31">
        <f>1-0.26-0.025</f>
        <v>0.71499999999999997</v>
      </c>
      <c r="D48" s="12">
        <f t="shared" ref="D48:G65" si="81">H48/$C48</f>
        <v>7001.3986013986014</v>
      </c>
      <c r="E48" s="12">
        <f t="shared" si="81"/>
        <v>6609.7902097902097</v>
      </c>
      <c r="F48" s="12">
        <f t="shared" si="81"/>
        <v>730.06993006993014</v>
      </c>
      <c r="G48" s="12">
        <f>K48/$C48</f>
        <v>991.60839160839168</v>
      </c>
      <c r="H48" s="5">
        <v>5006</v>
      </c>
      <c r="I48" s="5">
        <v>4726</v>
      </c>
      <c r="J48" s="5">
        <v>522</v>
      </c>
      <c r="K48" s="5">
        <v>709</v>
      </c>
      <c r="L48" s="26">
        <f>W14*D48*1000/1000000</f>
        <v>1.0603040665345314</v>
      </c>
      <c r="M48" s="26">
        <f>X14*E48*1000/1000000</f>
        <v>1.3314150026661467</v>
      </c>
      <c r="N48" s="26">
        <f>Y14*F48*1000/1000000</f>
        <v>9.1326754971580808</v>
      </c>
      <c r="O48" s="26">
        <f>Z14*G48*1000/1000000</f>
        <v>73.722953519315851</v>
      </c>
      <c r="P48" s="26">
        <f>SUM(L48:O48)</f>
        <v>85.247348085674616</v>
      </c>
      <c r="Q48" s="26">
        <f>SUM(L48:N48)</f>
        <v>11.524394566358758</v>
      </c>
      <c r="R48" s="26">
        <f>(LN(N48/(N38*0.25)))/$B$1</f>
        <v>1.6509918003305897</v>
      </c>
      <c r="S48" s="26">
        <f>(R48-R49)/(1-0.25)</f>
        <v>1.1511598856643743</v>
      </c>
      <c r="T48" s="26">
        <f>S48+R50</f>
        <v>1.77541982025451</v>
      </c>
      <c r="V48" s="26">
        <f>(LN(N51/(N39*0.25)))/$B$1</f>
        <v>0.31262941593749483</v>
      </c>
      <c r="W48" s="26">
        <f>(V48-V49)/(1-0.25)</f>
        <v>-2.1905183129917887E-2</v>
      </c>
      <c r="X48" s="26">
        <f>W48+V50</f>
        <v>2.0588503928278479E-2</v>
      </c>
      <c r="Z48" s="26">
        <f>(LN(N54/(N40*0.25)))/$B$1</f>
        <v>0.14874568482240699</v>
      </c>
      <c r="AA48" s="26">
        <f>(Z48-Z49)/(1-0.25)</f>
        <v>0.25347447661567707</v>
      </c>
      <c r="AB48" s="26">
        <f>AA48+Z50</f>
        <v>0.32085092678458543</v>
      </c>
    </row>
    <row r="49" spans="1:28" x14ac:dyDescent="0.2">
      <c r="A49" s="5" t="s">
        <v>381</v>
      </c>
      <c r="B49" s="10">
        <v>5</v>
      </c>
      <c r="C49" s="31">
        <f>1-0.245-0.025</f>
        <v>0.73</v>
      </c>
      <c r="D49" s="12">
        <f t="shared" si="81"/>
        <v>23142.465753424658</v>
      </c>
      <c r="E49" s="12">
        <f t="shared" si="81"/>
        <v>19643.835616438355</v>
      </c>
      <c r="F49" s="12">
        <f t="shared" si="81"/>
        <v>1569.8630136986301</v>
      </c>
      <c r="G49" s="12">
        <f t="shared" si="81"/>
        <v>2278.0821917808221</v>
      </c>
      <c r="H49" s="5">
        <v>16894</v>
      </c>
      <c r="I49" s="5">
        <v>14340</v>
      </c>
      <c r="J49" s="5">
        <v>1146</v>
      </c>
      <c r="K49" s="5">
        <v>1663</v>
      </c>
      <c r="L49" s="26">
        <f t="shared" ref="L49:O64" si="82">W15*D49*1000/1000000</f>
        <v>3.1729161619971409</v>
      </c>
      <c r="M49" s="26">
        <f t="shared" si="82"/>
        <v>3.8574741209382046</v>
      </c>
      <c r="N49" s="26">
        <f t="shared" si="82"/>
        <v>13.830300919003131</v>
      </c>
      <c r="O49" s="26">
        <f t="shared" si="82"/>
        <v>180.53353384740208</v>
      </c>
      <c r="P49" s="26">
        <f t="shared" ref="P49:P65" si="83">SUM(L49:O49)</f>
        <v>201.39422504934055</v>
      </c>
      <c r="Q49" s="26">
        <f t="shared" ref="Q49:Q65" si="84">SUM(L49:N49)</f>
        <v>20.860691201938476</v>
      </c>
      <c r="R49" s="26">
        <f>(LN(N49/N38))/$B$1</f>
        <v>0.78762188608230899</v>
      </c>
      <c r="V49" s="26">
        <f>(LN(N52/N39))/$B$1</f>
        <v>0.32905830328493324</v>
      </c>
      <c r="Z49" s="26">
        <f>(LN(N55/N40))/$B$1</f>
        <v>-4.1360172639350788E-2</v>
      </c>
    </row>
    <row r="50" spans="1:28" x14ac:dyDescent="0.2">
      <c r="A50" s="5" t="s">
        <v>382</v>
      </c>
      <c r="B50" s="10">
        <v>5</v>
      </c>
      <c r="C50" s="31">
        <f>1-0.25-0.025</f>
        <v>0.72499999999999998</v>
      </c>
      <c r="D50" s="12">
        <f t="shared" si="81"/>
        <v>22175.172413793105</v>
      </c>
      <c r="E50" s="12">
        <f t="shared" si="81"/>
        <v>13674.48275862069</v>
      </c>
      <c r="F50" s="12">
        <f t="shared" si="81"/>
        <v>1366.8965517241379</v>
      </c>
      <c r="G50" s="12">
        <f t="shared" si="81"/>
        <v>2093.7931034482758</v>
      </c>
      <c r="H50" s="5">
        <v>16077</v>
      </c>
      <c r="I50" s="5">
        <v>9914</v>
      </c>
      <c r="J50" s="5">
        <v>991</v>
      </c>
      <c r="K50" s="5">
        <v>1518</v>
      </c>
      <c r="L50" s="26">
        <f t="shared" si="82"/>
        <v>3.1172116297518793</v>
      </c>
      <c r="M50" s="26">
        <f t="shared" si="82"/>
        <v>2.6052383749848138</v>
      </c>
      <c r="N50" s="26">
        <f t="shared" si="82"/>
        <v>11.508428827669437</v>
      </c>
      <c r="O50" s="26">
        <f t="shared" si="82"/>
        <v>181.46666258642003</v>
      </c>
      <c r="P50" s="26">
        <f t="shared" si="83"/>
        <v>198.69754141882615</v>
      </c>
      <c r="Q50" s="26">
        <f t="shared" si="84"/>
        <v>17.23087883240613</v>
      </c>
      <c r="R50" s="26">
        <f>LN(N50/N38)/$B$1</f>
        <v>0.62425993459013551</v>
      </c>
      <c r="V50" s="26">
        <f>LN(N53/N39)/$B$1</f>
        <v>4.2493687058196367E-2</v>
      </c>
      <c r="Z50" s="26">
        <f>LN(N56/N40)/$B$1</f>
        <v>6.7376450168908378E-2</v>
      </c>
    </row>
    <row r="51" spans="1:28" x14ac:dyDescent="0.2">
      <c r="A51" s="5" t="s">
        <v>383</v>
      </c>
      <c r="B51" s="10">
        <v>12</v>
      </c>
      <c r="C51" s="31">
        <f>1-0.24-0.025</f>
        <v>0.73499999999999999</v>
      </c>
      <c r="D51" s="12">
        <f>H51/$C51</f>
        <v>13234.013605442176</v>
      </c>
      <c r="E51" s="12">
        <f t="shared" si="81"/>
        <v>6576.8707482993195</v>
      </c>
      <c r="F51" s="12">
        <f t="shared" si="81"/>
        <v>892.51700680272108</v>
      </c>
      <c r="G51" s="12">
        <f t="shared" si="81"/>
        <v>518.36734693877554</v>
      </c>
      <c r="H51" s="5">
        <v>9727</v>
      </c>
      <c r="I51" s="5">
        <v>4834</v>
      </c>
      <c r="J51" s="5">
        <v>656</v>
      </c>
      <c r="K51" s="5">
        <v>381</v>
      </c>
      <c r="L51" s="26">
        <f t="shared" si="82"/>
        <v>1.8135743655438707</v>
      </c>
      <c r="M51" s="26">
        <f t="shared" si="82"/>
        <v>1.2581305095847197</v>
      </c>
      <c r="N51" s="26">
        <f t="shared" si="82"/>
        <v>4.3725855241398666</v>
      </c>
      <c r="O51" s="26">
        <f t="shared" si="82"/>
        <v>33.406114195688815</v>
      </c>
      <c r="P51" s="26">
        <f t="shared" si="83"/>
        <v>40.850404594957269</v>
      </c>
      <c r="Q51" s="26">
        <f t="shared" si="84"/>
        <v>7.444290399268457</v>
      </c>
    </row>
    <row r="52" spans="1:28" x14ac:dyDescent="0.2">
      <c r="A52" s="5" t="s">
        <v>384</v>
      </c>
      <c r="B52" s="10">
        <v>12</v>
      </c>
      <c r="C52" s="31">
        <f>1-0.235-0.025</f>
        <v>0.74</v>
      </c>
      <c r="D52" s="12">
        <f t="shared" si="81"/>
        <v>42518.91891891892</v>
      </c>
      <c r="E52" s="12">
        <f t="shared" si="81"/>
        <v>17539.18918918919</v>
      </c>
      <c r="F52" s="12">
        <f t="shared" si="81"/>
        <v>2631.0810810810813</v>
      </c>
      <c r="G52" s="12">
        <f t="shared" si="81"/>
        <v>1766.2162162162163</v>
      </c>
      <c r="H52" s="5">
        <v>31464</v>
      </c>
      <c r="I52" s="5">
        <v>12979</v>
      </c>
      <c r="J52" s="5">
        <v>1947</v>
      </c>
      <c r="K52" s="5">
        <v>1307</v>
      </c>
      <c r="L52" s="26">
        <f t="shared" si="82"/>
        <v>5.7525828327214965</v>
      </c>
      <c r="M52" s="26">
        <f t="shared" si="82"/>
        <v>3.2771729874711601</v>
      </c>
      <c r="N52" s="26">
        <f t="shared" si="82"/>
        <v>17.816613178509936</v>
      </c>
      <c r="O52" s="26">
        <f t="shared" si="82"/>
        <v>98.630857861837114</v>
      </c>
      <c r="P52" s="26">
        <f t="shared" si="83"/>
        <v>125.4772268605397</v>
      </c>
      <c r="Q52" s="26">
        <f t="shared" si="84"/>
        <v>26.846368998702594</v>
      </c>
      <c r="R52" s="6" t="s">
        <v>545</v>
      </c>
      <c r="S52" s="6" t="s">
        <v>546</v>
      </c>
      <c r="T52" s="6" t="s">
        <v>547</v>
      </c>
      <c r="V52" s="6" t="s">
        <v>545</v>
      </c>
      <c r="W52" s="6" t="s">
        <v>546</v>
      </c>
      <c r="X52" s="6" t="s">
        <v>547</v>
      </c>
      <c r="Z52" s="6" t="s">
        <v>545</v>
      </c>
      <c r="AA52" s="6" t="s">
        <v>546</v>
      </c>
      <c r="AB52" s="6" t="s">
        <v>547</v>
      </c>
    </row>
    <row r="53" spans="1:28" x14ac:dyDescent="0.2">
      <c r="A53" s="5" t="s">
        <v>385</v>
      </c>
      <c r="B53" s="10">
        <v>12</v>
      </c>
      <c r="C53" s="31">
        <f>1-0.23-0.025</f>
        <v>0.745</v>
      </c>
      <c r="D53" s="12">
        <f t="shared" si="81"/>
        <v>45730.201342281878</v>
      </c>
      <c r="E53" s="12">
        <f t="shared" si="81"/>
        <v>16366.442953020134</v>
      </c>
      <c r="F53" s="12">
        <f t="shared" si="81"/>
        <v>2354.3624161073826</v>
      </c>
      <c r="G53" s="12">
        <f t="shared" si="81"/>
        <v>1285.9060402684563</v>
      </c>
      <c r="H53" s="5">
        <v>34069</v>
      </c>
      <c r="I53" s="5">
        <v>12193</v>
      </c>
      <c r="J53" s="5">
        <v>1754</v>
      </c>
      <c r="K53" s="5">
        <v>958</v>
      </c>
      <c r="L53" s="26">
        <f t="shared" si="82"/>
        <v>6.242679241406508</v>
      </c>
      <c r="M53" s="26">
        <f t="shared" si="82"/>
        <v>3.0107224716585153</v>
      </c>
      <c r="N53" s="26">
        <f t="shared" si="82"/>
        <v>12.906694798861253</v>
      </c>
      <c r="O53" s="26">
        <f t="shared" si="82"/>
        <v>80.420306502136924</v>
      </c>
      <c r="P53" s="26">
        <f t="shared" si="83"/>
        <v>102.58040301406319</v>
      </c>
      <c r="Q53" s="26">
        <f t="shared" si="84"/>
        <v>22.160096511926277</v>
      </c>
      <c r="R53" s="26">
        <f>(LN(O48/(O38*0.25)))/$B$1</f>
        <v>0.27332516987473698</v>
      </c>
      <c r="S53" s="26">
        <f>(R53-R54)/(1-0.25)</f>
        <v>0.58156090492473</v>
      </c>
      <c r="T53" s="26">
        <f>S53+R55</f>
        <v>0.4232979881227007</v>
      </c>
      <c r="V53" s="26">
        <f>(LN(O51/(O39*0.25)))/$B$1</f>
        <v>-3.3213585545843993E-4</v>
      </c>
      <c r="W53" s="26">
        <f>(V53-V54)/(1-0.25)</f>
        <v>0.35988045202288638</v>
      </c>
      <c r="X53" s="26">
        <f>W53+V55</f>
        <v>-9.17997650511444E-2</v>
      </c>
      <c r="Z53" s="26">
        <f>(LN(O54/(O40*0.25)))/$B$1</f>
        <v>-0.48325040059340729</v>
      </c>
      <c r="AA53" s="26">
        <f>(Z53-Z54)/(1-0.25)</f>
        <v>0.29814542777250769</v>
      </c>
      <c r="AB53" s="26">
        <f>AA53+Z55</f>
        <v>-0.24364808921469311</v>
      </c>
    </row>
    <row r="54" spans="1:28" x14ac:dyDescent="0.2">
      <c r="A54" s="5" t="s">
        <v>386</v>
      </c>
      <c r="B54" s="10">
        <v>20</v>
      </c>
      <c r="C54" s="31">
        <f>1-0.235-0.025</f>
        <v>0.74</v>
      </c>
      <c r="D54" s="12">
        <f t="shared" si="81"/>
        <v>17656.756756756757</v>
      </c>
      <c r="E54" s="12">
        <f t="shared" si="81"/>
        <v>6421.6216216216217</v>
      </c>
      <c r="F54" s="12">
        <f t="shared" si="81"/>
        <v>672.97297297297303</v>
      </c>
      <c r="G54" s="12">
        <f t="shared" si="81"/>
        <v>414.86486486486484</v>
      </c>
      <c r="H54" s="5">
        <v>13066</v>
      </c>
      <c r="I54" s="5">
        <v>4752</v>
      </c>
      <c r="J54" s="5">
        <v>498</v>
      </c>
      <c r="K54" s="5">
        <v>307</v>
      </c>
      <c r="L54" s="26">
        <f t="shared" si="82"/>
        <v>2.476113326013091</v>
      </c>
      <c r="M54" s="26">
        <f t="shared" si="82"/>
        <v>1.1439721531800902</v>
      </c>
      <c r="N54" s="26">
        <f t="shared" si="82"/>
        <v>3.1089007129828281</v>
      </c>
      <c r="O54" s="26">
        <f t="shared" si="82"/>
        <v>14.214956737507354</v>
      </c>
      <c r="P54" s="26">
        <f t="shared" si="83"/>
        <v>20.943942929683363</v>
      </c>
      <c r="Q54" s="26">
        <f t="shared" si="84"/>
        <v>6.7289861921760092</v>
      </c>
      <c r="R54" s="26">
        <f>(LN(O49/O38))/$B$1</f>
        <v>-0.16284550881881049</v>
      </c>
      <c r="V54" s="26">
        <f>(LN(O52/O39))/$B$1</f>
        <v>-0.27024247487262321</v>
      </c>
      <c r="Z54" s="26">
        <f>(LN(O55/O40))/$B$1</f>
        <v>-0.70685947142278804</v>
      </c>
    </row>
    <row r="55" spans="1:28" x14ac:dyDescent="0.2">
      <c r="A55" s="5" t="s">
        <v>387</v>
      </c>
      <c r="B55" s="10">
        <v>20</v>
      </c>
      <c r="C55" s="31">
        <f>1-0.235-0.025</f>
        <v>0.74</v>
      </c>
      <c r="D55" s="12">
        <f t="shared" si="81"/>
        <v>49855.405405405407</v>
      </c>
      <c r="E55" s="12">
        <f t="shared" si="81"/>
        <v>16704.054054054053</v>
      </c>
      <c r="F55" s="12">
        <f t="shared" si="81"/>
        <v>2097.2972972972975</v>
      </c>
      <c r="G55" s="12">
        <f t="shared" si="81"/>
        <v>1127.0270270270271</v>
      </c>
      <c r="H55" s="5">
        <v>36893</v>
      </c>
      <c r="I55" s="5">
        <v>12361</v>
      </c>
      <c r="J55" s="5">
        <v>1552</v>
      </c>
      <c r="K55" s="5">
        <v>834</v>
      </c>
      <c r="L55" s="26">
        <f t="shared" si="82"/>
        <v>6.6818776196050553</v>
      </c>
      <c r="M55" s="26">
        <f t="shared" si="82"/>
        <v>2.9253784441668902</v>
      </c>
      <c r="N55" s="26">
        <f t="shared" si="82"/>
        <v>10.041178287472977</v>
      </c>
      <c r="O55" s="26">
        <f t="shared" si="82"/>
        <v>44.213441893858779</v>
      </c>
      <c r="P55" s="26">
        <f t="shared" si="83"/>
        <v>63.861876245103701</v>
      </c>
      <c r="Q55" s="26">
        <f t="shared" si="84"/>
        <v>19.648434351244923</v>
      </c>
      <c r="R55" s="26">
        <f>LN(O50/O38)/$B$1</f>
        <v>-0.15826291680202931</v>
      </c>
      <c r="V55" s="26">
        <f>LN(O53/O39)/$B$1</f>
        <v>-0.45168021707403078</v>
      </c>
      <c r="Z55" s="26">
        <f>LN(O56/O40)/$B$1</f>
        <v>-0.5417935169872008</v>
      </c>
    </row>
    <row r="56" spans="1:28" x14ac:dyDescent="0.2">
      <c r="A56" s="5" t="s">
        <v>388</v>
      </c>
      <c r="B56" s="10">
        <v>20</v>
      </c>
      <c r="C56" s="31">
        <f>1-0.235-0.025</f>
        <v>0.74</v>
      </c>
      <c r="D56" s="12">
        <f t="shared" si="81"/>
        <v>54005.405405405407</v>
      </c>
      <c r="E56" s="12">
        <f t="shared" si="81"/>
        <v>16056.756756756757</v>
      </c>
      <c r="F56" s="12">
        <f t="shared" si="81"/>
        <v>2266.2162162162163</v>
      </c>
      <c r="G56" s="12">
        <f t="shared" si="81"/>
        <v>1185.1351351351352</v>
      </c>
      <c r="H56" s="5">
        <v>39964</v>
      </c>
      <c r="I56" s="5">
        <v>11882</v>
      </c>
      <c r="J56" s="5">
        <v>1677</v>
      </c>
      <c r="K56" s="5">
        <v>877</v>
      </c>
      <c r="L56" s="26">
        <f t="shared" si="82"/>
        <v>6.9447297998360344</v>
      </c>
      <c r="M56" s="26">
        <f t="shared" si="82"/>
        <v>2.8069044820670896</v>
      </c>
      <c r="N56" s="26">
        <f t="shared" si="82"/>
        <v>11.347791770652645</v>
      </c>
      <c r="O56" s="26">
        <f t="shared" si="82"/>
        <v>53.235637869271329</v>
      </c>
      <c r="P56" s="26">
        <f t="shared" si="83"/>
        <v>74.3350639218271</v>
      </c>
      <c r="Q56" s="26">
        <f t="shared" si="84"/>
        <v>21.099426052555771</v>
      </c>
    </row>
    <row r="57" spans="1:28" x14ac:dyDescent="0.2">
      <c r="A57" s="5" t="s">
        <v>389</v>
      </c>
      <c r="B57" s="10">
        <v>30</v>
      </c>
      <c r="C57" s="31">
        <f>1-0.225-0.025</f>
        <v>0.75</v>
      </c>
      <c r="D57" s="12">
        <f t="shared" si="81"/>
        <v>11370.666666666666</v>
      </c>
      <c r="E57" s="12">
        <f t="shared" si="81"/>
        <v>4536</v>
      </c>
      <c r="F57" s="12">
        <f t="shared" si="81"/>
        <v>466.66666666666669</v>
      </c>
      <c r="G57" s="12">
        <f t="shared" si="81"/>
        <v>324</v>
      </c>
      <c r="H57" s="5">
        <v>8528</v>
      </c>
      <c r="I57" s="5">
        <v>3402</v>
      </c>
      <c r="J57" s="5">
        <v>350</v>
      </c>
      <c r="K57" s="5">
        <v>243</v>
      </c>
      <c r="L57" s="26">
        <f t="shared" si="82"/>
        <v>1.5464142101646092</v>
      </c>
      <c r="M57" s="26">
        <f t="shared" si="82"/>
        <v>0.81131880579482352</v>
      </c>
      <c r="N57" s="26">
        <f t="shared" si="82"/>
        <v>2.5927678521389859</v>
      </c>
      <c r="O57" s="26">
        <f t="shared" si="82"/>
        <v>8.1254266609750534</v>
      </c>
      <c r="P57" s="26">
        <f t="shared" si="83"/>
        <v>13.075927529073471</v>
      </c>
      <c r="Q57" s="26">
        <f t="shared" si="84"/>
        <v>4.9505008680984179</v>
      </c>
      <c r="R57" s="4"/>
      <c r="S57" s="4"/>
      <c r="T57" s="4"/>
      <c r="V57" s="4"/>
      <c r="W57" s="4"/>
      <c r="X57" s="4"/>
      <c r="Z57" s="4"/>
      <c r="AA57" s="4"/>
      <c r="AB57" s="4"/>
    </row>
    <row r="58" spans="1:28" x14ac:dyDescent="0.2">
      <c r="A58" s="5" t="s">
        <v>390</v>
      </c>
      <c r="B58" s="10">
        <v>30</v>
      </c>
      <c r="C58" s="31">
        <f>1-0.23-0.025</f>
        <v>0.745</v>
      </c>
      <c r="D58" s="12">
        <f t="shared" si="81"/>
        <v>38405.36912751678</v>
      </c>
      <c r="E58" s="12">
        <f t="shared" si="81"/>
        <v>13194.630872483222</v>
      </c>
      <c r="F58" s="12">
        <f t="shared" si="81"/>
        <v>1080.5369127516778</v>
      </c>
      <c r="G58" s="12">
        <f t="shared" si="81"/>
        <v>860.40268456375838</v>
      </c>
      <c r="H58" s="5">
        <v>28612</v>
      </c>
      <c r="I58" s="5">
        <v>9830</v>
      </c>
      <c r="J58" s="5">
        <v>805</v>
      </c>
      <c r="K58" s="5">
        <v>641</v>
      </c>
      <c r="L58" s="26">
        <f t="shared" si="82"/>
        <v>5.3280138725465038</v>
      </c>
      <c r="M58" s="26">
        <f t="shared" si="82"/>
        <v>2.3611603998882784</v>
      </c>
      <c r="N58" s="26">
        <f t="shared" si="82"/>
        <v>5.7454938096476011</v>
      </c>
      <c r="O58" s="26">
        <f t="shared" si="82"/>
        <v>24.768477083619395</v>
      </c>
      <c r="P58" s="26">
        <f t="shared" si="83"/>
        <v>38.203145165701777</v>
      </c>
      <c r="Q58" s="26">
        <f t="shared" si="84"/>
        <v>13.434668082082382</v>
      </c>
      <c r="R58" s="6" t="s">
        <v>548</v>
      </c>
      <c r="S58" s="6" t="s">
        <v>549</v>
      </c>
      <c r="T58" s="6" t="s">
        <v>550</v>
      </c>
      <c r="V58" s="6" t="s">
        <v>548</v>
      </c>
      <c r="W58" s="6" t="s">
        <v>549</v>
      </c>
      <c r="X58" s="6" t="s">
        <v>550</v>
      </c>
      <c r="Z58" s="6" t="s">
        <v>548</v>
      </c>
      <c r="AA58" s="6" t="s">
        <v>549</v>
      </c>
      <c r="AB58" s="6" t="s">
        <v>550</v>
      </c>
    </row>
    <row r="59" spans="1:28" x14ac:dyDescent="0.2">
      <c r="A59" s="5" t="s">
        <v>391</v>
      </c>
      <c r="B59" s="10">
        <v>30</v>
      </c>
      <c r="C59" s="31">
        <f>1-0.23-0.025</f>
        <v>0.745</v>
      </c>
      <c r="D59" s="12">
        <f t="shared" si="81"/>
        <v>39869.798657718122</v>
      </c>
      <c r="E59" s="12">
        <f t="shared" si="81"/>
        <v>13318.120805369128</v>
      </c>
      <c r="F59" s="12">
        <f t="shared" si="81"/>
        <v>923.489932885906</v>
      </c>
      <c r="G59" s="12">
        <f t="shared" si="81"/>
        <v>609.39597315436242</v>
      </c>
      <c r="H59" s="5">
        <v>29703</v>
      </c>
      <c r="I59" s="5">
        <v>9922</v>
      </c>
      <c r="J59" s="5">
        <v>688</v>
      </c>
      <c r="K59" s="5">
        <v>454</v>
      </c>
      <c r="L59" s="26">
        <f t="shared" si="82"/>
        <v>5.4273045207161772</v>
      </c>
      <c r="M59" s="26">
        <f t="shared" si="82"/>
        <v>2.3825582465231738</v>
      </c>
      <c r="N59" s="26">
        <f t="shared" si="82"/>
        <v>3.2931667607153745</v>
      </c>
      <c r="O59" s="26">
        <f t="shared" si="82"/>
        <v>19.36506650786643</v>
      </c>
      <c r="P59" s="26">
        <f t="shared" si="83"/>
        <v>30.468096035821155</v>
      </c>
      <c r="Q59" s="26">
        <f t="shared" si="84"/>
        <v>11.103029527954725</v>
      </c>
      <c r="R59" s="26">
        <f>(LN(Q48/(Q38*0.25)))/$B$1</f>
        <v>1.3304520670325415</v>
      </c>
      <c r="S59" s="26">
        <f>(R59-R60)/(1-0.25)</f>
        <v>0.93972602324863963</v>
      </c>
      <c r="T59" s="26">
        <f>S59+R61</f>
        <v>1.3954604358482603</v>
      </c>
      <c r="V59" s="26">
        <f>(LN(Q51/(Q39*0.25)))/$B$1</f>
        <v>0.38877186900485744</v>
      </c>
      <c r="W59" s="26">
        <f>(V59-V60)/(1-0.25)</f>
        <v>0.12279837788191388</v>
      </c>
      <c r="X59" s="26">
        <f>W59+V61</f>
        <v>0.24894936402096507</v>
      </c>
      <c r="Z59" s="26">
        <f>(LN(Q54/(Q40*0.25)))/$B$1</f>
        <v>0.28577827689841173</v>
      </c>
      <c r="AA59" s="26">
        <f>(Z59-Z60)/(1-0.25)</f>
        <v>0.37300289775048645</v>
      </c>
      <c r="AB59" s="26">
        <f>AA59+Z61</f>
        <v>0.44236071729328352</v>
      </c>
    </row>
    <row r="60" spans="1:28" x14ac:dyDescent="0.2">
      <c r="A60" s="5" t="s">
        <v>392</v>
      </c>
      <c r="B60" s="10">
        <v>40</v>
      </c>
      <c r="C60" s="31">
        <f>1-0.23-0.025</f>
        <v>0.745</v>
      </c>
      <c r="D60" s="12">
        <f t="shared" si="81"/>
        <v>6506.040268456376</v>
      </c>
      <c r="E60" s="12">
        <f t="shared" si="81"/>
        <v>4673.8255033557043</v>
      </c>
      <c r="F60" s="12">
        <f t="shared" si="81"/>
        <v>179.86577181208054</v>
      </c>
      <c r="G60" s="12">
        <f t="shared" si="81"/>
        <v>134.2281879194631</v>
      </c>
      <c r="H60" s="5">
        <v>4847</v>
      </c>
      <c r="I60" s="5">
        <v>3482</v>
      </c>
      <c r="J60" s="5">
        <v>134</v>
      </c>
      <c r="K60" s="5">
        <v>100</v>
      </c>
      <c r="L60" s="26">
        <f t="shared" si="82"/>
        <v>1.0330229695878086</v>
      </c>
      <c r="M60" s="26">
        <f t="shared" si="82"/>
        <v>0.81622547431743808</v>
      </c>
      <c r="N60" s="26">
        <f t="shared" si="82"/>
        <v>0.69241251889848709</v>
      </c>
      <c r="O60" s="26">
        <f t="shared" si="82"/>
        <v>4.876532519840179</v>
      </c>
      <c r="P60" s="26">
        <f t="shared" si="83"/>
        <v>7.4181934826439129</v>
      </c>
      <c r="Q60" s="26">
        <f t="shared" si="84"/>
        <v>2.5416609628037339</v>
      </c>
      <c r="R60" s="26">
        <f>(LN(Q49/Q38))/$B$1</f>
        <v>0.62565754959606179</v>
      </c>
      <c r="S60" s="10"/>
      <c r="T60" s="10"/>
      <c r="V60" s="26">
        <f>(LN(Q52/Q39))/$B$1</f>
        <v>0.29667308559342204</v>
      </c>
      <c r="W60" s="10"/>
      <c r="X60" s="10"/>
      <c r="Z60" s="26">
        <f>(LN(Q55/Q40))/$B$1</f>
        <v>6.0261035855468962E-3</v>
      </c>
      <c r="AA60" s="10"/>
      <c r="AB60" s="10"/>
    </row>
    <row r="61" spans="1:28" x14ac:dyDescent="0.2">
      <c r="A61" s="5" t="s">
        <v>393</v>
      </c>
      <c r="B61" s="10">
        <v>40</v>
      </c>
      <c r="C61" s="31">
        <f>1-0.2-0.025</f>
        <v>0.77500000000000002</v>
      </c>
      <c r="D61" s="12">
        <f t="shared" si="81"/>
        <v>19785.806451612902</v>
      </c>
      <c r="E61" s="12">
        <f t="shared" si="81"/>
        <v>14145.806451612903</v>
      </c>
      <c r="F61" s="12">
        <f t="shared" si="81"/>
        <v>446.45161290322579</v>
      </c>
      <c r="G61" s="12">
        <f t="shared" si="81"/>
        <v>322.58064516129031</v>
      </c>
      <c r="H61" s="5">
        <v>15334</v>
      </c>
      <c r="I61" s="5">
        <v>10963</v>
      </c>
      <c r="J61" s="5">
        <v>346</v>
      </c>
      <c r="K61" s="5">
        <v>250</v>
      </c>
      <c r="L61" s="26">
        <f t="shared" si="82"/>
        <v>2.6062099619911909</v>
      </c>
      <c r="M61" s="26">
        <f t="shared" si="82"/>
        <v>2.4754667218534441</v>
      </c>
      <c r="N61" s="26">
        <f t="shared" si="82"/>
        <v>1.5221816826244796</v>
      </c>
      <c r="O61" s="26">
        <f t="shared" si="82"/>
        <v>7.7146902164384716</v>
      </c>
      <c r="P61" s="26">
        <f t="shared" si="83"/>
        <v>14.318548582907585</v>
      </c>
      <c r="Q61" s="26">
        <f t="shared" si="84"/>
        <v>6.6038583664691144</v>
      </c>
      <c r="R61" s="26">
        <f>LN(Q50/Q38)/$B$1</f>
        <v>0.45573441259962066</v>
      </c>
      <c r="S61" s="10"/>
      <c r="T61" s="10"/>
      <c r="V61" s="26">
        <f>LN(Q53/Q39)/$B$1</f>
        <v>0.12615098613905121</v>
      </c>
      <c r="W61" s="10"/>
      <c r="X61" s="10"/>
      <c r="Z61" s="26">
        <f>LN(Q56/Q40)/$B$1</f>
        <v>6.9357819542797045E-2</v>
      </c>
      <c r="AA61" s="10"/>
      <c r="AB61" s="10"/>
    </row>
    <row r="62" spans="1:28" x14ac:dyDescent="0.2">
      <c r="A62" s="5" t="s">
        <v>394</v>
      </c>
      <c r="B62" s="10">
        <v>40</v>
      </c>
      <c r="C62" s="31">
        <f>1-0.21-0.025</f>
        <v>0.76500000000000001</v>
      </c>
      <c r="D62" s="12">
        <f t="shared" si="81"/>
        <v>20487.581699346403</v>
      </c>
      <c r="E62" s="12">
        <f t="shared" si="81"/>
        <v>15626.143790849674</v>
      </c>
      <c r="F62" s="12">
        <f t="shared" si="81"/>
        <v>507.18954248366015</v>
      </c>
      <c r="G62" s="12">
        <f t="shared" si="81"/>
        <v>461.43790849673201</v>
      </c>
      <c r="H62" s="5">
        <v>15673</v>
      </c>
      <c r="I62" s="5">
        <v>11954</v>
      </c>
      <c r="J62" s="5">
        <v>388</v>
      </c>
      <c r="K62" s="5">
        <v>353</v>
      </c>
      <c r="L62" s="26">
        <f t="shared" si="82"/>
        <v>2.8828285976312449</v>
      </c>
      <c r="M62" s="26">
        <f t="shared" si="82"/>
        <v>2.6997740317079879</v>
      </c>
      <c r="N62" s="26">
        <f t="shared" si="82"/>
        <v>1.495964582858373</v>
      </c>
      <c r="O62" s="26">
        <f t="shared" si="82"/>
        <v>11.205449159758091</v>
      </c>
      <c r="P62" s="26">
        <f t="shared" si="83"/>
        <v>18.284016371955698</v>
      </c>
      <c r="Q62" s="26">
        <f t="shared" si="84"/>
        <v>7.0785672121976058</v>
      </c>
    </row>
    <row r="63" spans="1:28" x14ac:dyDescent="0.2">
      <c r="A63" s="5" t="s">
        <v>395</v>
      </c>
      <c r="B63" s="10">
        <v>50</v>
      </c>
      <c r="C63" s="31">
        <f>1-0.235-0.025</f>
        <v>0.74</v>
      </c>
      <c r="D63" s="12">
        <f t="shared" si="81"/>
        <v>4951.3513513513517</v>
      </c>
      <c r="E63" s="12">
        <f t="shared" si="81"/>
        <v>4714.864864864865</v>
      </c>
      <c r="F63" s="12">
        <f t="shared" si="81"/>
        <v>140.54054054054055</v>
      </c>
      <c r="G63" s="12">
        <f t="shared" si="81"/>
        <v>81.081081081081081</v>
      </c>
      <c r="H63" s="5">
        <v>3664</v>
      </c>
      <c r="I63" s="5">
        <v>3489</v>
      </c>
      <c r="J63" s="5">
        <v>104</v>
      </c>
      <c r="K63" s="5">
        <v>60</v>
      </c>
      <c r="L63" s="26">
        <f t="shared" si="82"/>
        <v>0.79951240562941761</v>
      </c>
      <c r="M63" s="26">
        <f t="shared" si="82"/>
        <v>0.81878048301558615</v>
      </c>
      <c r="N63" s="26">
        <f t="shared" si="82"/>
        <v>0.34627176598759285</v>
      </c>
      <c r="O63" s="26">
        <f t="shared" si="82"/>
        <v>1.56131075934195</v>
      </c>
      <c r="P63" s="26">
        <f t="shared" si="83"/>
        <v>3.5258754139745463</v>
      </c>
      <c r="Q63" s="26">
        <f t="shared" si="84"/>
        <v>1.9645646546325966</v>
      </c>
    </row>
    <row r="64" spans="1:28" x14ac:dyDescent="0.2">
      <c r="A64" s="5" t="s">
        <v>396</v>
      </c>
      <c r="B64" s="10">
        <v>50</v>
      </c>
      <c r="C64" s="31">
        <f>1-0.25-0.025</f>
        <v>0.72499999999999998</v>
      </c>
      <c r="D64" s="12">
        <f t="shared" si="81"/>
        <v>15640</v>
      </c>
      <c r="E64" s="12">
        <f t="shared" si="81"/>
        <v>12786.206896551725</v>
      </c>
      <c r="F64" s="12">
        <f t="shared" si="81"/>
        <v>424.82758620689657</v>
      </c>
      <c r="G64" s="12">
        <f t="shared" si="81"/>
        <v>222.06896551724139</v>
      </c>
      <c r="H64" s="5">
        <v>11339</v>
      </c>
      <c r="I64" s="5">
        <v>9270</v>
      </c>
      <c r="J64" s="5">
        <v>308</v>
      </c>
      <c r="K64" s="5">
        <v>161</v>
      </c>
      <c r="L64" s="26">
        <f t="shared" si="82"/>
        <v>2.1319228111724398</v>
      </c>
      <c r="M64" s="26">
        <f t="shared" si="82"/>
        <v>2.2347728611069786</v>
      </c>
      <c r="N64" s="26">
        <f t="shared" si="82"/>
        <v>1.234747566061972</v>
      </c>
      <c r="O64" s="26">
        <f t="shared" si="82"/>
        <v>4.2059398002913406</v>
      </c>
      <c r="P64" s="26">
        <f t="shared" si="83"/>
        <v>9.8073830386327305</v>
      </c>
      <c r="Q64" s="26">
        <f t="shared" si="84"/>
        <v>5.6014432383413899</v>
      </c>
      <c r="R64" s="6" t="s">
        <v>555</v>
      </c>
      <c r="S64" s="6" t="s">
        <v>555</v>
      </c>
      <c r="T64" s="6" t="s">
        <v>555</v>
      </c>
      <c r="V64" s="6" t="s">
        <v>556</v>
      </c>
      <c r="W64" s="6" t="s">
        <v>556</v>
      </c>
      <c r="X64" s="6" t="s">
        <v>556</v>
      </c>
      <c r="Z64" s="6" t="s">
        <v>558</v>
      </c>
      <c r="AA64" s="6" t="s">
        <v>557</v>
      </c>
      <c r="AB64" s="6" t="s">
        <v>557</v>
      </c>
    </row>
    <row r="65" spans="1:28" x14ac:dyDescent="0.2">
      <c r="A65" s="5" t="s">
        <v>397</v>
      </c>
      <c r="B65" s="10">
        <v>50</v>
      </c>
      <c r="C65" s="31">
        <f>1-0.215-0.025</f>
        <v>0.76</v>
      </c>
      <c r="D65" s="12">
        <f t="shared" si="81"/>
        <v>15934.21052631579</v>
      </c>
      <c r="E65" s="12">
        <f t="shared" si="81"/>
        <v>14585.526315789473</v>
      </c>
      <c r="F65" s="12">
        <f t="shared" si="81"/>
        <v>390.78947368421052</v>
      </c>
      <c r="G65" s="12">
        <f>K65/$C65</f>
        <v>288.15789473684208</v>
      </c>
      <c r="H65" s="5">
        <v>12110</v>
      </c>
      <c r="I65" s="5">
        <v>11085</v>
      </c>
      <c r="J65" s="5">
        <v>297</v>
      </c>
      <c r="K65" s="5">
        <v>219</v>
      </c>
      <c r="L65" s="26">
        <f>W31*D65*1000/1000000</f>
        <v>2.1131358583547999</v>
      </c>
      <c r="M65" s="26">
        <f t="shared" ref="M65:N65" si="85">X31*E65*1000/1000000</f>
        <v>2.5552256880513124</v>
      </c>
      <c r="N65" s="26">
        <f t="shared" si="85"/>
        <v>0.87233506563322838</v>
      </c>
      <c r="O65" s="26">
        <f>Z31*G65*1000/1000000</f>
        <v>6.0316530599106439</v>
      </c>
      <c r="P65" s="26">
        <f t="shared" si="83"/>
        <v>11.572349671949985</v>
      </c>
      <c r="Q65" s="26">
        <f t="shared" si="84"/>
        <v>5.5406966120393406</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0.23880750098465997</v>
      </c>
      <c r="S66" s="26">
        <f>(R66-R67)/(1-0.25)</f>
        <v>0.17689441450613544</v>
      </c>
      <c r="T66" s="26">
        <f>S66+R68</f>
        <v>0.2994436101494703</v>
      </c>
      <c r="V66" s="26">
        <f>(LN(L60/(L42*0.25)))/$B$1</f>
        <v>0.29799073145853289</v>
      </c>
      <c r="W66" s="26">
        <f>(V66-V67)/(1-0.25)</f>
        <v>0.54623613946660654</v>
      </c>
      <c r="X66" s="26">
        <f>W66+V68</f>
        <v>0.5242163618505632</v>
      </c>
      <c r="Z66" s="26">
        <f>(LN(L63/(L43*0.25)))/$B$1</f>
        <v>0.27427781351040426</v>
      </c>
      <c r="AA66" s="26">
        <f>(Z66-Z67)/(1-0.25)</f>
        <v>0.48061253957795652</v>
      </c>
      <c r="AB66" s="26">
        <f>AA66+Z68</f>
        <v>0.38656315483950326</v>
      </c>
    </row>
    <row r="67" spans="1:28" x14ac:dyDescent="0.2">
      <c r="M67" s="12"/>
      <c r="N67" s="12"/>
      <c r="R67" s="26">
        <f>(LN(L58/L41))/$B$1</f>
        <v>0.10613669010505838</v>
      </c>
      <c r="V67" s="26">
        <f>(LN(L61/L42))/$B$1</f>
        <v>-0.111686373141422</v>
      </c>
      <c r="Z67" s="26">
        <f>(LN(L64/L43))/$B$1</f>
        <v>-8.6181591173063149E-2</v>
      </c>
    </row>
    <row r="68" spans="1:28" x14ac:dyDescent="0.2">
      <c r="M68" s="12"/>
      <c r="N68" s="12"/>
      <c r="R68" s="26">
        <f>LN(L59/L41)/$B$1</f>
        <v>0.12254919564333483</v>
      </c>
      <c r="V68" s="26">
        <f>LN(L62/L42)/$B$1</f>
        <v>-2.2019777616043377E-2</v>
      </c>
      <c r="Z68" s="26">
        <f>LN(L65/L43)/$B$1</f>
        <v>-9.4049384738453243E-2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5.9958287465223407E-2</v>
      </c>
      <c r="S71" s="26">
        <f>(R71-R72)/(1-0.25)</f>
        <v>0.3769445547086881</v>
      </c>
      <c r="T71" s="26">
        <f>S71+R73</f>
        <v>0.16221363577174719</v>
      </c>
      <c r="V71" s="26">
        <f>(LN(M60/(M42*0.25)))/$B$1</f>
        <v>2.5203970665999588E-2</v>
      </c>
      <c r="W71" s="26">
        <f>(V71-V72)/(1-0.25)</f>
        <v>0.32806016328295945</v>
      </c>
      <c r="X71" s="26">
        <f>W71+V73</f>
        <v>0.18432045577025169</v>
      </c>
      <c r="Z71" s="26">
        <f>(LN(M63/(M43*0.25)))/$B$1</f>
        <v>6.1118961144090087E-2</v>
      </c>
      <c r="AA71" s="26">
        <f>(Z71-Z72)/(1-0.25)</f>
        <v>0.45299615383376457</v>
      </c>
      <c r="AB71" s="26">
        <f>AA71+Z73</f>
        <v>0.29347996130205745</v>
      </c>
    </row>
    <row r="72" spans="1:28" x14ac:dyDescent="0.2">
      <c r="M72" s="12"/>
      <c r="N72" s="12"/>
      <c r="R72" s="26">
        <f>(LN(M58/M41))/$B$1</f>
        <v>-0.22275012856629267</v>
      </c>
      <c r="V72" s="26">
        <f>(LN(M61/M42))/$B$1</f>
        <v>-0.22084115179621999</v>
      </c>
      <c r="Z72" s="26">
        <f>(LN(M64/M43))/$B$1</f>
        <v>-0.27862815423123333</v>
      </c>
    </row>
    <row r="73" spans="1:28" x14ac:dyDescent="0.2">
      <c r="M73" s="12"/>
      <c r="N73" s="12"/>
      <c r="R73" s="26">
        <f>LN(M59/M41)/$B$1</f>
        <v>-0.21473091893694091</v>
      </c>
      <c r="V73" s="26">
        <f>LN(M62/M42)/$B$1</f>
        <v>-0.14373970751270776</v>
      </c>
      <c r="Z73" s="26">
        <f>LN(M65/M43)/$B$1</f>
        <v>-0.15951619253170712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0.66972312702621239</v>
      </c>
      <c r="S76" s="26">
        <f>(R76-R77)/(1-0.25)</f>
        <v>0.69997567135069139</v>
      </c>
      <c r="T76" s="26">
        <f>S76+R78</f>
        <v>0.34999151668044381</v>
      </c>
      <c r="V76" s="26">
        <f>(LN(N60/(N42*0.25)))/$B$1</f>
        <v>0.10895251578132509</v>
      </c>
      <c r="W76" s="26">
        <f>(V76-V77)/(1-0.25)</f>
        <v>0.7094238369520699</v>
      </c>
      <c r="X76" s="26">
        <f>W76+V78</f>
        <v>0.2708654362828391</v>
      </c>
      <c r="Z76" s="26">
        <f>(LN(N63/(N43*0.25)))/$B$1</f>
        <v>0.13252132698017965</v>
      </c>
      <c r="AA76" s="26">
        <f>(Z76-Z77)/(1-0.25)</f>
        <v>0.13617357094399019</v>
      </c>
      <c r="AB76" s="26">
        <f>AA76+Z78</f>
        <v>-0.14227815009389799</v>
      </c>
    </row>
    <row r="77" spans="1:28" x14ac:dyDescent="0.2">
      <c r="M77" s="12"/>
      <c r="N77" s="12"/>
      <c r="R77" s="26">
        <f>(LN(N58/N41))/$B$1</f>
        <v>0.14474137351319388</v>
      </c>
      <c r="V77" s="26">
        <f>(LN(N61/N42))/$B$1</f>
        <v>-0.42311536193272725</v>
      </c>
      <c r="Z77" s="26">
        <f>(LN(N64/N43))/$B$1</f>
        <v>3.0391148772187015E-2</v>
      </c>
    </row>
    <row r="78" spans="1:28" x14ac:dyDescent="0.2">
      <c r="M78" s="12"/>
      <c r="N78" s="12"/>
      <c r="R78" s="26">
        <f>LN(N59/N41)/$B$1</f>
        <v>-0.34998415467024757</v>
      </c>
      <c r="V78" s="26">
        <f>LN(N62/N42)/$B$1</f>
        <v>-0.4385584006692308</v>
      </c>
      <c r="Z78" s="26">
        <f>LN(N65/N43)/$B$1</f>
        <v>-0.27845172103788818</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-0.26961234860522953</v>
      </c>
      <c r="S81" s="26">
        <f>(R81-R82)/(1-0.25)</f>
        <v>0.32203951497261524</v>
      </c>
      <c r="T81" s="26">
        <f>S81+R83</f>
        <v>-0.40785892490326409</v>
      </c>
      <c r="V81" s="26">
        <f>(LN(O60/(O42*0.25)))/$B$1</f>
        <v>-5.9909165428529226E-2</v>
      </c>
      <c r="W81" s="26">
        <f>(V81-V82)/(1-0.25)</f>
        <v>1.0993806786531735</v>
      </c>
      <c r="X81" s="26">
        <f>W81+V83</f>
        <v>0.54673499135068726</v>
      </c>
      <c r="Z81" s="26">
        <f>(LN(O63/(O43*0.25)))/$B$1</f>
        <v>-0.60200278956042963</v>
      </c>
      <c r="AA81" s="26">
        <f>(Z81-Z82)/(1-0.25)</f>
        <v>0.46853012808513644</v>
      </c>
      <c r="AB81" s="26">
        <f>AA81+Z83</f>
        <v>-0.1644050592302963</v>
      </c>
    </row>
    <row r="82" spans="13:28" x14ac:dyDescent="0.2">
      <c r="M82" s="12"/>
      <c r="N82" s="12"/>
      <c r="R82" s="26">
        <f>(LN(O58/O41))/$B$1</f>
        <v>-0.51114198483469098</v>
      </c>
      <c r="V82" s="26">
        <f>(LN(O61/O42))/$B$1</f>
        <v>-0.88444467441840935</v>
      </c>
      <c r="Z82" s="26">
        <f>(LN(O64/O43))/$B$1</f>
        <v>-0.95340038562428198</v>
      </c>
    </row>
    <row r="83" spans="13:28" x14ac:dyDescent="0.2">
      <c r="M83" s="12"/>
      <c r="N83" s="12"/>
      <c r="R83" s="26">
        <f>LN(O59/O41)/$B$1</f>
        <v>-0.72989843987587932</v>
      </c>
      <c r="V83" s="26">
        <f>LN(O62/O42)/$B$1</f>
        <v>-0.5526456873024862</v>
      </c>
      <c r="Z83" s="26">
        <f>LN(O65/O43)/$B$1</f>
        <v>-0.63293518731543275</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0.39875128605287263</v>
      </c>
      <c r="S87" s="26">
        <f>(R87-R88)/(1-0.25)</f>
        <v>0.45978617097291413</v>
      </c>
      <c r="T87" s="26">
        <f>S87+R89</f>
        <v>0.3442573534434834</v>
      </c>
      <c r="V87" s="26">
        <f>(LN(Q60/(Q42*0.25)))/$B$1</f>
        <v>0.15093777126592456</v>
      </c>
      <c r="W87" s="26">
        <f>(V87-V88)/(1-0.25)</f>
        <v>0.51135771448886636</v>
      </c>
      <c r="X87" s="26">
        <f>W87+V89</f>
        <v>0.34048158821465513</v>
      </c>
      <c r="Z87" s="26">
        <f>(LN(Q63/(Q43*0.25)))/$B$1</f>
        <v>0.15514540817504593</v>
      </c>
      <c r="AA87" s="26">
        <f>(Z87-Z88)/(1-0.25)</f>
        <v>0.40123347723961916</v>
      </c>
      <c r="AB87" s="26">
        <f>AA87+Z89</f>
        <v>0.24576128808989181</v>
      </c>
    </row>
    <row r="88" spans="13:28" x14ac:dyDescent="0.2">
      <c r="M88" s="12"/>
      <c r="N88" s="12"/>
      <c r="R88" s="26">
        <f>(LN(Q58/Q41))/$B$1</f>
        <v>5.3911657823187034E-2</v>
      </c>
      <c r="S88" s="10"/>
      <c r="T88" s="10"/>
      <c r="V88" s="26">
        <f>(LN(Q61/Q42))/$B$1</f>
        <v>-0.23258051460072521</v>
      </c>
      <c r="W88" s="10"/>
      <c r="X88" s="10"/>
      <c r="Z88" s="26">
        <f>(LN(Q64/Q43))/$B$1</f>
        <v>-0.14577969975466848</v>
      </c>
      <c r="AA88" s="10"/>
      <c r="AB88" s="10"/>
    </row>
    <row r="89" spans="13:28" x14ac:dyDescent="0.2">
      <c r="M89" s="12"/>
      <c r="N89" s="12"/>
      <c r="R89" s="26">
        <f>LN(Q59/Q41)/$B$1</f>
        <v>-0.1155288175294307</v>
      </c>
      <c r="S89" s="10"/>
      <c r="T89" s="10"/>
      <c r="V89" s="26">
        <f>LN(Q62/Q42)/$B$1</f>
        <v>-0.17087612627421123</v>
      </c>
      <c r="W89" s="10"/>
      <c r="X89" s="10"/>
      <c r="Z89" s="26">
        <f>LN(Q65/Q43)/$B$1</f>
        <v>-0.15547218914972735</v>
      </c>
      <c r="AA89" s="10"/>
      <c r="AB89" s="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Z89"/>
  <sheetViews>
    <sheetView workbookViewId="0">
      <selection activeCell="B3" sqref="B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583</v>
      </c>
      <c r="B1" s="4">
        <v>1.04</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398</v>
      </c>
      <c r="B4" s="10">
        <v>5</v>
      </c>
      <c r="C4" s="5">
        <v>16057</v>
      </c>
      <c r="D4" s="5">
        <v>2528</v>
      </c>
      <c r="E4" s="5">
        <v>903</v>
      </c>
      <c r="F4" s="5">
        <v>180</v>
      </c>
      <c r="G4" s="5">
        <v>3273</v>
      </c>
      <c r="H4" s="5">
        <v>18589</v>
      </c>
      <c r="I4" s="7">
        <v>157100</v>
      </c>
      <c r="J4" s="7">
        <v>289700</v>
      </c>
      <c r="K4" s="5">
        <v>7700</v>
      </c>
      <c r="L4" s="5">
        <v>57372</v>
      </c>
      <c r="M4" s="7">
        <v>443900</v>
      </c>
      <c r="N4" s="7">
        <v>2502000</v>
      </c>
      <c r="O4" s="8">
        <f>(224333+K4)/235871</f>
        <v>0.98372839391023059</v>
      </c>
      <c r="P4" s="8">
        <f>(224333+L4)/235871</f>
        <v>1.1943180806457767</v>
      </c>
      <c r="Q4" s="8">
        <f t="shared" ref="Q4:R9" si="0">(224333+M4)/235871</f>
        <v>2.8330443335552062</v>
      </c>
      <c r="R4" s="8">
        <f t="shared" si="0"/>
        <v>11.558576510041506</v>
      </c>
      <c r="S4" s="8">
        <f>4/3*3.14*((O4/2)^3)</f>
        <v>0.4982003384802004</v>
      </c>
      <c r="T4" s="8">
        <f t="shared" ref="T4:V9" si="1">4/3*3.14*((P4/2)^3)</f>
        <v>0.89153504417268092</v>
      </c>
      <c r="U4" s="8">
        <f t="shared" si="1"/>
        <v>11.899768424528494</v>
      </c>
      <c r="V4" s="8">
        <f>4/3*3.14*((R4/2)^3)</f>
        <v>808.149026190261</v>
      </c>
      <c r="W4" s="8">
        <f>(S4*265)/1000</f>
        <v>0.13202308969725313</v>
      </c>
      <c r="X4" s="8">
        <f>(10^(-0.665+LOG(T4, 10)*0.959))</f>
        <v>0.19372369490335029</v>
      </c>
      <c r="Y4" s="8">
        <f>(10^(-0.665+LOG(U4, 10)*0.959))</f>
        <v>2.3250989015402017</v>
      </c>
      <c r="Z4" s="8">
        <f>(10^(-0.665+LOG(V4, 10)*0.959))</f>
        <v>132.8263700990733</v>
      </c>
      <c r="AA4" s="8">
        <f>W4*C4</f>
        <v>2119.8947512687932</v>
      </c>
      <c r="AB4" s="8">
        <f>X4*D4</f>
        <v>489.73350071566949</v>
      </c>
      <c r="AC4" s="8">
        <f t="shared" ref="AC4:AD9" si="2">Y4*E4</f>
        <v>2099.5643080908021</v>
      </c>
      <c r="AD4" s="8">
        <f>Z4*F4</f>
        <v>23908.746617833196</v>
      </c>
      <c r="AE4" s="8">
        <f>AA4/(AA4+AB4+AC4+AD4)</f>
        <v>7.4075730544051199E-2</v>
      </c>
      <c r="AF4" s="8">
        <f>AB4/(AA4+AB4+AC4+AD4)</f>
        <v>1.7112815065793343E-2</v>
      </c>
      <c r="AG4" s="8">
        <f>AC4/(AA4+AB4+AC4+AD4)</f>
        <v>7.336532148728428E-2</v>
      </c>
      <c r="AH4" s="8">
        <f>AD4/(AA4+AB4+AC4+AD4)</f>
        <v>0.83544613290287117</v>
      </c>
      <c r="AI4" s="8">
        <f>LN((AVERAGE(G14:G16))/G4)/1.04</f>
        <v>0.21817757107521207</v>
      </c>
      <c r="AJ4" s="8">
        <f>LN((AVERAGE(H14:H16))/H4)/1.04</f>
        <v>3.2814296766284001E-2</v>
      </c>
      <c r="AK4" s="8">
        <f>LN((AVERAGE(I14:I16))/I4)/1.04</f>
        <v>0.12798744653926231</v>
      </c>
      <c r="AL4" s="8">
        <f>LN((AVERAGE(J14:J16))/J4)/1.04</f>
        <v>6.2856686146137326E-3</v>
      </c>
      <c r="AM4" s="15">
        <f>(AI4*AE4)+(AJ4*AF4)+(AG4*AK4)+(AH4*AL4)</f>
        <v>3.1364385656276042E-2</v>
      </c>
      <c r="AN4" s="10">
        <v>5</v>
      </c>
      <c r="AO4" s="50">
        <f>H4/L4</f>
        <v>0.32400822700969112</v>
      </c>
      <c r="AP4" s="50">
        <f>I4/M4</f>
        <v>0.35390853795899979</v>
      </c>
      <c r="AQ4" s="50">
        <f>LN((AVERAGE(AO14:AO16))/AO4)/1.04</f>
        <v>-2.4629154578237399E-2</v>
      </c>
      <c r="AR4" s="50">
        <f>LN((AVERAGE(AP14:AP16))/AP4)/1.04</f>
        <v>0.15700870699952812</v>
      </c>
      <c r="AS4" s="8">
        <f>AB4/(AB4+AC4)</f>
        <v>0.18913757198960848</v>
      </c>
      <c r="AT4" s="8">
        <f>AC4/(AC4+AB4)</f>
        <v>0.81086242801039154</v>
      </c>
      <c r="AU4" s="50">
        <f>(AQ4*AS4)+(AR4*AT4)</f>
        <v>0.12265416287932496</v>
      </c>
      <c r="AV4" s="46">
        <f>H4</f>
        <v>18589</v>
      </c>
      <c r="AW4" s="46">
        <f t="shared" ref="AW4:AW11" si="3">I4</f>
        <v>157100</v>
      </c>
      <c r="AX4" s="48">
        <f>LN((AVERAGE(AV14:AV16))/AV4)/1.04</f>
        <v>3.2814296766284001E-2</v>
      </c>
      <c r="AY4" s="48">
        <f>LN((AVERAGE(AW14:AW16))/AW4)/1.04</f>
        <v>0.12798744653926231</v>
      </c>
      <c r="AZ4" s="48">
        <f t="shared" ref="AZ4:AZ9" si="4">(AX4*AS4)+(AY4*AT4)</f>
        <v>0.10998662807259783</v>
      </c>
    </row>
    <row r="5" spans="1:52" x14ac:dyDescent="0.2">
      <c r="A5" s="5" t="s">
        <v>399</v>
      </c>
      <c r="B5" s="10">
        <v>12</v>
      </c>
      <c r="C5" s="5">
        <v>17985</v>
      </c>
      <c r="D5" s="5">
        <v>2529</v>
      </c>
      <c r="E5" s="5">
        <v>1234</v>
      </c>
      <c r="F5" s="5">
        <v>272</v>
      </c>
      <c r="G5" s="5">
        <v>3034</v>
      </c>
      <c r="H5" s="5">
        <v>18610</v>
      </c>
      <c r="I5" s="7">
        <v>175100</v>
      </c>
      <c r="J5" s="7">
        <v>288100</v>
      </c>
      <c r="K5" s="5">
        <v>7716</v>
      </c>
      <c r="L5" s="5">
        <v>60186</v>
      </c>
      <c r="M5" s="7">
        <v>619100</v>
      </c>
      <c r="N5" s="7">
        <v>2774000</v>
      </c>
      <c r="O5" s="8">
        <f t="shared" ref="O5:P9" si="5">(224333+K5)/235871</f>
        <v>0.98379622759898422</v>
      </c>
      <c r="P5" s="8">
        <f t="shared" si="5"/>
        <v>1.2062483306553158</v>
      </c>
      <c r="Q5" s="8">
        <f t="shared" si="0"/>
        <v>3.5758232254071083</v>
      </c>
      <c r="R5" s="8">
        <f t="shared" si="0"/>
        <v>12.711749218852678</v>
      </c>
      <c r="S5" s="8">
        <f t="shared" ref="S5:S9" si="6">4/3*3.14*((O5/2)^3)</f>
        <v>0.49830340685954877</v>
      </c>
      <c r="T5" s="8">
        <f t="shared" si="1"/>
        <v>0.91851990805229744</v>
      </c>
      <c r="U5" s="8">
        <f t="shared" si="1"/>
        <v>23.928006623263101</v>
      </c>
      <c r="V5" s="8">
        <f t="shared" si="1"/>
        <v>1074.9650561130484</v>
      </c>
      <c r="W5" s="8">
        <f t="shared" ref="W5:W9" si="7">(S5*265)/1000</f>
        <v>0.13205040281778041</v>
      </c>
      <c r="X5" s="8">
        <f t="shared" ref="X5:Z9" si="8">(10^(-0.665+LOG(T5, 10)*0.959))</f>
        <v>0.19934343710325181</v>
      </c>
      <c r="Y5" s="8">
        <f t="shared" si="8"/>
        <v>4.5432993526105969</v>
      </c>
      <c r="Z5" s="8">
        <f t="shared" si="8"/>
        <v>174.62530539776324</v>
      </c>
      <c r="AA5" s="8">
        <f t="shared" ref="AA5:AB9" si="9">W5*C5</f>
        <v>2374.9264946777807</v>
      </c>
      <c r="AB5" s="8">
        <f t="shared" si="9"/>
        <v>504.1395524341238</v>
      </c>
      <c r="AC5" s="8">
        <f t="shared" si="2"/>
        <v>5606.4314011214765</v>
      </c>
      <c r="AD5" s="8">
        <f t="shared" si="2"/>
        <v>47498.083068191605</v>
      </c>
      <c r="AE5" s="8">
        <f t="shared" ref="AE5:AE9" si="10">AA5/(AA5+AB5+AC5+AD5)</f>
        <v>4.2421839988976813E-2</v>
      </c>
      <c r="AF5" s="8">
        <f t="shared" ref="AF5:AF9" si="11">AB5/(AA5+AB5+AC5+AD5)</f>
        <v>9.0051323581601672E-3</v>
      </c>
      <c r="AG5" s="8">
        <f t="shared" ref="AG5:AG9" si="12">AC5/(AA5+AB5+AC5+AD5)</f>
        <v>0.10014420923786053</v>
      </c>
      <c r="AH5" s="8">
        <f t="shared" ref="AH5:AH9" si="13">AD5/(AA5+AB5+AC5+AD5)</f>
        <v>0.84842881841500239</v>
      </c>
      <c r="AI5" s="8">
        <f>LN((AVERAGE(G17:G19))/G5)/1.04</f>
        <v>0.37668084507062932</v>
      </c>
      <c r="AJ5" s="8">
        <f>LN((AVERAGE(H17:H19))/H5)/1.04</f>
        <v>-7.296819920845253E-2</v>
      </c>
      <c r="AK5" s="8">
        <f>LN((AVERAGE(I17:I19))/I5)/1.04</f>
        <v>1.7413736132008143E-2</v>
      </c>
      <c r="AL5" s="8">
        <f>LN((AVERAGE(J17:J19))/J5)/1.04</f>
        <v>-3.1200719140462413E-3</v>
      </c>
      <c r="AM5" s="15">
        <f t="shared" ref="AM5:AM9" si="14">(AI5*AE5)+(AJ5*AF5)+(AG5*AK5)+(AH5*AL5)</f>
        <v>1.441913215210272E-2</v>
      </c>
      <c r="AN5" s="10">
        <v>12</v>
      </c>
      <c r="AO5" s="50">
        <f t="shared" ref="AO5:AO11" si="15">H5/L5</f>
        <v>0.30920812149004751</v>
      </c>
      <c r="AP5" s="50">
        <f t="shared" ref="AP5:AP11" si="16">I5/M5</f>
        <v>0.28282991439185917</v>
      </c>
      <c r="AQ5" s="50">
        <f>LN((AVERAGE(AO17:AO19))/AO5)/1.04</f>
        <v>-3.6996648101672619E-3</v>
      </c>
      <c r="AR5" s="50">
        <f>LN((AVERAGE(AP17:AP19))/AP5)/1.04</f>
        <v>0.38740229902021606</v>
      </c>
      <c r="AS5" s="8">
        <f t="shared" ref="AS5:AS9" si="17">AB5/(AB5+AC5)</f>
        <v>8.2502855504979711E-2</v>
      </c>
      <c r="AT5" s="8">
        <f t="shared" ref="AT5:AT9" si="18">AC5/(AC5+AB5)</f>
        <v>0.91749714449502018</v>
      </c>
      <c r="AU5" s="50">
        <f t="shared" ref="AU5:AU9" si="19">(AQ5*AS5)+(AR5*AT5)</f>
        <v>0.35513527021060415</v>
      </c>
      <c r="AV5" s="46">
        <f t="shared" ref="AV5:AV11" si="20">H5</f>
        <v>18610</v>
      </c>
      <c r="AW5" s="46">
        <f t="shared" si="3"/>
        <v>175100</v>
      </c>
      <c r="AX5" s="48">
        <f>LN((AVERAGE(AV17:AV19))/AV5)/1.04</f>
        <v>-7.296819920845253E-2</v>
      </c>
      <c r="AY5" s="48">
        <f>LN((AVERAGE(AW17:AW19))/AW5)/1.04</f>
        <v>1.7413736132008143E-2</v>
      </c>
      <c r="AZ5" s="48">
        <f t="shared" si="4"/>
        <v>9.9569683803536931E-3</v>
      </c>
    </row>
    <row r="6" spans="1:52" x14ac:dyDescent="0.2">
      <c r="A6" s="5" t="s">
        <v>400</v>
      </c>
      <c r="B6" s="10">
        <v>25</v>
      </c>
      <c r="C6" s="5">
        <v>55537</v>
      </c>
      <c r="D6" s="5">
        <v>4384</v>
      </c>
      <c r="E6" s="5">
        <v>1153</v>
      </c>
      <c r="F6" s="5">
        <v>162</v>
      </c>
      <c r="G6" s="5">
        <v>4886</v>
      </c>
      <c r="H6" s="5">
        <v>14905</v>
      </c>
      <c r="I6" s="7">
        <v>167400</v>
      </c>
      <c r="J6" s="7">
        <v>292300</v>
      </c>
      <c r="K6" s="5">
        <v>1642</v>
      </c>
      <c r="L6" s="5">
        <v>42170</v>
      </c>
      <c r="M6" s="7">
        <v>555200</v>
      </c>
      <c r="N6" s="7">
        <v>2982000</v>
      </c>
      <c r="O6" s="8">
        <f t="shared" si="5"/>
        <v>0.95804486350589946</v>
      </c>
      <c r="P6" s="8">
        <f t="shared" si="5"/>
        <v>1.1298675971187642</v>
      </c>
      <c r="Q6" s="8">
        <f t="shared" si="0"/>
        <v>3.3049124309474247</v>
      </c>
      <c r="R6" s="8">
        <f t="shared" si="0"/>
        <v>13.593587172649457</v>
      </c>
      <c r="S6" s="8">
        <f t="shared" si="6"/>
        <v>0.46018868699433996</v>
      </c>
      <c r="T6" s="8">
        <f t="shared" si="1"/>
        <v>0.7548506953410441</v>
      </c>
      <c r="U6" s="8">
        <f t="shared" si="1"/>
        <v>18.891144395453878</v>
      </c>
      <c r="V6" s="8">
        <f t="shared" si="1"/>
        <v>1314.5606483041304</v>
      </c>
      <c r="W6" s="8">
        <f t="shared" si="7"/>
        <v>0.12195000205350008</v>
      </c>
      <c r="X6" s="8">
        <f t="shared" si="8"/>
        <v>0.16514626500256657</v>
      </c>
      <c r="Y6" s="8">
        <f t="shared" si="8"/>
        <v>3.6218601635170562</v>
      </c>
      <c r="Z6" s="8">
        <f t="shared" si="8"/>
        <v>211.79252189788738</v>
      </c>
      <c r="AA6" s="8">
        <f t="shared" si="9"/>
        <v>6772.737264045234</v>
      </c>
      <c r="AB6" s="8">
        <f t="shared" si="9"/>
        <v>724.00122577125182</v>
      </c>
      <c r="AC6" s="8">
        <f t="shared" si="2"/>
        <v>4176.0047685351656</v>
      </c>
      <c r="AD6" s="8">
        <f t="shared" si="2"/>
        <v>34310.388547457755</v>
      </c>
      <c r="AE6" s="8">
        <f t="shared" si="10"/>
        <v>0.14728742906522913</v>
      </c>
      <c r="AF6" s="8">
        <f t="shared" si="11"/>
        <v>1.5744930746099881E-2</v>
      </c>
      <c r="AG6" s="8">
        <f t="shared" si="12"/>
        <v>9.0816014580537521E-2</v>
      </c>
      <c r="AH6" s="8">
        <f t="shared" si="13"/>
        <v>0.74615162560813353</v>
      </c>
      <c r="AI6" s="8">
        <f>LN((AVERAGE(G20:G22))/G6)/1.04</f>
        <v>0.19668443811916242</v>
      </c>
      <c r="AJ6" s="8">
        <f>LN((AVERAGE(H20:H22))/H6)/1.04</f>
        <v>1.4237052750897901E-2</v>
      </c>
      <c r="AK6" s="8">
        <f>LN((AVERAGE(I20:I22))/I6)/1.04</f>
        <v>4.4704675012766183E-2</v>
      </c>
      <c r="AL6" s="8">
        <f>LN((AVERAGE(J20:J22))/J6)/1.04</f>
        <v>-4.5122478349766314E-2</v>
      </c>
      <c r="AM6" s="15">
        <f t="shared" si="14"/>
        <v>-4.1500351706633826E-4</v>
      </c>
      <c r="AN6" s="10">
        <v>25</v>
      </c>
      <c r="AO6" s="50">
        <f t="shared" si="15"/>
        <v>0.35345032013279581</v>
      </c>
      <c r="AP6" s="50">
        <f t="shared" si="16"/>
        <v>0.3015129682997118</v>
      </c>
      <c r="AQ6" s="50">
        <f>LN((AVERAGE(AO20:AO22))/AO6)/1.04</f>
        <v>-3.6375051943651608E-3</v>
      </c>
      <c r="AR6" s="50">
        <f>LN((AVERAGE(AP20:AP22))/AP6)/1.04</f>
        <v>0.38008506463317254</v>
      </c>
      <c r="AS6" s="8">
        <f t="shared" si="17"/>
        <v>0.1477551714451999</v>
      </c>
      <c r="AT6" s="8">
        <f t="shared" si="18"/>
        <v>0.85224482855480022</v>
      </c>
      <c r="AU6" s="50">
        <f t="shared" si="19"/>
        <v>0.32338807054091206</v>
      </c>
      <c r="AV6" s="46">
        <f t="shared" si="20"/>
        <v>14905</v>
      </c>
      <c r="AW6" s="46">
        <f t="shared" si="3"/>
        <v>167400</v>
      </c>
      <c r="AX6" s="48">
        <f>LN((AVERAGE(AV20:AV22))/AV6)/1.04</f>
        <v>1.4237052750897901E-2</v>
      </c>
      <c r="AY6" s="48">
        <f>LN((AVERAGE(AW20:AW22))/AW6)/1.04</f>
        <v>4.4704675012766183E-2</v>
      </c>
      <c r="AZ6" s="48">
        <f t="shared" si="4"/>
        <v>4.020292626193625E-2</v>
      </c>
    </row>
    <row r="7" spans="1:52" x14ac:dyDescent="0.2">
      <c r="A7" s="5" t="s">
        <v>401</v>
      </c>
      <c r="B7" s="10">
        <v>45</v>
      </c>
      <c r="C7" s="5">
        <v>75103</v>
      </c>
      <c r="D7" s="5">
        <v>5044</v>
      </c>
      <c r="E7" s="5">
        <v>940</v>
      </c>
      <c r="F7" s="5">
        <v>123</v>
      </c>
      <c r="G7" s="5">
        <v>5422</v>
      </c>
      <c r="H7" s="5">
        <v>16821</v>
      </c>
      <c r="I7" s="7">
        <v>185100</v>
      </c>
      <c r="J7" s="7">
        <v>284400</v>
      </c>
      <c r="K7" s="5">
        <v>1530</v>
      </c>
      <c r="L7" s="5">
        <v>40347</v>
      </c>
      <c r="M7" s="7">
        <v>565400</v>
      </c>
      <c r="N7" s="7">
        <v>2087000</v>
      </c>
      <c r="O7" s="8">
        <f t="shared" si="5"/>
        <v>0.95757002768462418</v>
      </c>
      <c r="P7" s="8">
        <f t="shared" si="5"/>
        <v>1.1221387962064009</v>
      </c>
      <c r="Q7" s="8">
        <f t="shared" si="0"/>
        <v>3.3481564075278438</v>
      </c>
      <c r="R7" s="8">
        <f t="shared" si="0"/>
        <v>9.7991402079950483</v>
      </c>
      <c r="S7" s="8">
        <f t="shared" si="6"/>
        <v>0.45950477605070172</v>
      </c>
      <c r="T7" s="8">
        <f t="shared" si="1"/>
        <v>0.73946586452428043</v>
      </c>
      <c r="U7" s="8">
        <f t="shared" si="1"/>
        <v>19.64244793461619</v>
      </c>
      <c r="V7" s="8">
        <f t="shared" si="1"/>
        <v>492.42751619439167</v>
      </c>
      <c r="W7" s="8">
        <f t="shared" si="7"/>
        <v>0.12176876565343596</v>
      </c>
      <c r="X7" s="8">
        <f t="shared" si="8"/>
        <v>0.16191701445218509</v>
      </c>
      <c r="Y7" s="8">
        <f t="shared" si="8"/>
        <v>3.7598852496339727</v>
      </c>
      <c r="Z7" s="8">
        <f t="shared" si="8"/>
        <v>82.595479336242278</v>
      </c>
      <c r="AA7" s="8">
        <f t="shared" si="9"/>
        <v>9145.1996068700009</v>
      </c>
      <c r="AB7" s="8">
        <f t="shared" si="9"/>
        <v>816.7094208968216</v>
      </c>
      <c r="AC7" s="8">
        <f t="shared" si="2"/>
        <v>3534.2921346559342</v>
      </c>
      <c r="AD7" s="8">
        <f t="shared" si="2"/>
        <v>10159.2439583578</v>
      </c>
      <c r="AE7" s="8">
        <f t="shared" si="10"/>
        <v>0.38660019121078532</v>
      </c>
      <c r="AF7" s="8">
        <f t="shared" si="11"/>
        <v>3.4525218896826776E-2</v>
      </c>
      <c r="AG7" s="8">
        <f t="shared" si="12"/>
        <v>0.14940712874395126</v>
      </c>
      <c r="AH7" s="8">
        <f t="shared" si="13"/>
        <v>0.4294674611484367</v>
      </c>
      <c r="AI7" s="8">
        <f>LN((AVERAGE(G23:G25))/G7)/1.04</f>
        <v>0.16210562788712982</v>
      </c>
      <c r="AJ7" s="8">
        <f>LN((AVERAGE(H23:H25))/H7)/1.04</f>
        <v>6.0402638435721762E-3</v>
      </c>
      <c r="AK7" s="8">
        <f>LN((AVERAGE(I23:I25))/I7)/1.04</f>
        <v>-3.5809385914956672E-2</v>
      </c>
      <c r="AL7" s="8">
        <f>LN((AVERAGE(J23:J25))/J7)/1.04</f>
        <v>9.0854703826274124E-3</v>
      </c>
      <c r="AM7" s="15">
        <f t="shared" si="14"/>
        <v>6.1430344535831259E-2</v>
      </c>
      <c r="AN7" s="10">
        <v>45</v>
      </c>
      <c r="AO7" s="50">
        <f t="shared" si="15"/>
        <v>0.4169083203212135</v>
      </c>
      <c r="AP7" s="50">
        <f t="shared" si="16"/>
        <v>0.32737884683409973</v>
      </c>
      <c r="AQ7" s="50">
        <f>LN((AVERAGE(AO23:AO25))/AO7)/1.04</f>
        <v>4.3193830299200833E-2</v>
      </c>
      <c r="AR7" s="50">
        <f>LN((AVERAGE(AP23:AP25))/AP7)/1.04</f>
        <v>0.42747027273890775</v>
      </c>
      <c r="AS7" s="8">
        <f t="shared" si="17"/>
        <v>0.18770607421515065</v>
      </c>
      <c r="AT7" s="8">
        <f t="shared" si="18"/>
        <v>0.81229392578484927</v>
      </c>
      <c r="AU7" s="50">
        <f t="shared" si="19"/>
        <v>0.35533925031518604</v>
      </c>
      <c r="AV7" s="46">
        <f t="shared" si="20"/>
        <v>16821</v>
      </c>
      <c r="AW7" s="46">
        <f t="shared" si="3"/>
        <v>185100</v>
      </c>
      <c r="AX7" s="48">
        <f>LN((AVERAGE(AV23:AV25))/AV7)/1.04</f>
        <v>6.0402638435721762E-3</v>
      </c>
      <c r="AY7" s="48">
        <f>LN((AVERAGE(AW23:AW25))/AW7)/1.04</f>
        <v>-3.5809385914956672E-2</v>
      </c>
      <c r="AZ7" s="48">
        <f t="shared" si="4"/>
        <v>-2.7953952451504192E-2</v>
      </c>
    </row>
    <row r="8" spans="1:52" x14ac:dyDescent="0.2">
      <c r="A8" s="5" t="s">
        <v>402</v>
      </c>
      <c r="B8" s="10">
        <v>70</v>
      </c>
      <c r="C8" s="5">
        <v>73233</v>
      </c>
      <c r="D8" s="5">
        <v>6591</v>
      </c>
      <c r="E8" s="5">
        <v>496</v>
      </c>
      <c r="F8" s="5">
        <v>92</v>
      </c>
      <c r="G8" s="5">
        <v>8583</v>
      </c>
      <c r="H8" s="5">
        <v>36544</v>
      </c>
      <c r="I8" s="7">
        <v>266200</v>
      </c>
      <c r="J8" s="7">
        <v>295000</v>
      </c>
      <c r="K8" s="5">
        <v>3580</v>
      </c>
      <c r="L8" s="5">
        <v>56678</v>
      </c>
      <c r="M8" s="7">
        <v>544500</v>
      </c>
      <c r="N8" s="7">
        <v>2095000</v>
      </c>
      <c r="O8" s="8">
        <f t="shared" si="5"/>
        <v>0.96626121905617901</v>
      </c>
      <c r="P8" s="8">
        <f t="shared" si="5"/>
        <v>1.1913757943960894</v>
      </c>
      <c r="Q8" s="8">
        <f t="shared" si="0"/>
        <v>3.2595486515934557</v>
      </c>
      <c r="R8" s="8">
        <f t="shared" si="0"/>
        <v>9.8330570523718475</v>
      </c>
      <c r="S8" s="8">
        <f t="shared" si="6"/>
        <v>0.47213048799994611</v>
      </c>
      <c r="T8" s="8">
        <f t="shared" si="1"/>
        <v>0.8849621864043774</v>
      </c>
      <c r="U8" s="8">
        <f t="shared" si="1"/>
        <v>18.123864251263765</v>
      </c>
      <c r="V8" s="8">
        <f t="shared" si="1"/>
        <v>497.5584138271787</v>
      </c>
      <c r="W8" s="8">
        <f t="shared" si="7"/>
        <v>0.12511457931998574</v>
      </c>
      <c r="X8" s="8">
        <f t="shared" si="8"/>
        <v>0.19235381350652764</v>
      </c>
      <c r="Y8" s="8">
        <f t="shared" si="8"/>
        <v>3.4806673370743075</v>
      </c>
      <c r="Z8" s="8">
        <f t="shared" si="8"/>
        <v>83.420630430883151</v>
      </c>
      <c r="AA8" s="8">
        <f t="shared" si="9"/>
        <v>9162.5159873405155</v>
      </c>
      <c r="AB8" s="8">
        <f t="shared" si="9"/>
        <v>1267.8039848215237</v>
      </c>
      <c r="AC8" s="8">
        <f t="shared" si="2"/>
        <v>1726.4109991888565</v>
      </c>
      <c r="AD8" s="8">
        <f t="shared" si="2"/>
        <v>7674.6979996412501</v>
      </c>
      <c r="AE8" s="8">
        <f t="shared" si="10"/>
        <v>0.46201995835714738</v>
      </c>
      <c r="AF8" s="8">
        <f t="shared" si="11"/>
        <v>6.3929028345661221E-2</v>
      </c>
      <c r="AG8" s="8">
        <f t="shared" si="12"/>
        <v>8.7054291534619868E-2</v>
      </c>
      <c r="AH8" s="8">
        <f t="shared" si="13"/>
        <v>0.38699672176257172</v>
      </c>
      <c r="AI8" s="8">
        <f>LN((AVERAGE(G26:G28))/G8)/1.04</f>
        <v>7.9554534432380683E-2</v>
      </c>
      <c r="AJ8" s="8">
        <f>LN((AVERAGE(H26:H28))/H8)/1.04</f>
        <v>5.7450870866606199E-3</v>
      </c>
      <c r="AK8" s="8">
        <f>LN((AVERAGE(I26:I28))/I8)/1.04</f>
        <v>-5.2710402355372991E-2</v>
      </c>
      <c r="AL8" s="8">
        <f>LN((AVERAGE(J26:J28))/J8)/1.04</f>
        <v>-2.264617343769108E-2</v>
      </c>
      <c r="AM8" s="15">
        <f t="shared" si="14"/>
        <v>2.377039890637736E-2</v>
      </c>
      <c r="AN8" s="10">
        <v>70</v>
      </c>
      <c r="AO8" s="50">
        <f t="shared" si="15"/>
        <v>0.64476516461413602</v>
      </c>
      <c r="AP8" s="50">
        <f t="shared" si="16"/>
        <v>0.48888888888888887</v>
      </c>
      <c r="AQ8" s="50">
        <f>LN((AVERAGE(AO26:AO28))/AO8)/1.04</f>
        <v>0.12543260793983529</v>
      </c>
      <c r="AR8" s="50">
        <f>LN((AVERAGE(AP26:AP28))/AP8)/1.04</f>
        <v>0.34126411750882379</v>
      </c>
      <c r="AS8" s="8">
        <f t="shared" si="17"/>
        <v>0.42341782122920824</v>
      </c>
      <c r="AT8" s="8">
        <f t="shared" si="18"/>
        <v>0.57658217877079176</v>
      </c>
      <c r="AU8" s="50">
        <f t="shared" si="19"/>
        <v>0.24987720997451168</v>
      </c>
      <c r="AV8" s="46">
        <f t="shared" si="20"/>
        <v>36544</v>
      </c>
      <c r="AW8" s="46">
        <f t="shared" si="3"/>
        <v>266200</v>
      </c>
      <c r="AX8" s="48">
        <f>LN((AVERAGE(AV26:AV28))/AV8)/1.04</f>
        <v>5.7450870866606199E-3</v>
      </c>
      <c r="AY8" s="48">
        <f>LN((AVERAGE(AW26:AW28))/AW8)/1.04</f>
        <v>-5.2710402355372991E-2</v>
      </c>
      <c r="AZ8" s="48">
        <f t="shared" si="4"/>
        <v>-2.7959306376940132E-2</v>
      </c>
    </row>
    <row r="9" spans="1:52" x14ac:dyDescent="0.2">
      <c r="A9" s="5" t="s">
        <v>403</v>
      </c>
      <c r="B9" s="10">
        <v>90</v>
      </c>
      <c r="C9" s="5">
        <v>35717</v>
      </c>
      <c r="D9" s="5">
        <v>5273</v>
      </c>
      <c r="E9" s="5">
        <v>2868</v>
      </c>
      <c r="F9" s="5">
        <v>80</v>
      </c>
      <c r="G9" s="5">
        <v>14250</v>
      </c>
      <c r="H9" s="5">
        <v>31408</v>
      </c>
      <c r="I9" s="7">
        <v>145500</v>
      </c>
      <c r="J9" s="7">
        <v>272200</v>
      </c>
      <c r="K9" s="5">
        <v>25473</v>
      </c>
      <c r="L9" s="5">
        <v>27137</v>
      </c>
      <c r="M9" s="7">
        <v>174600</v>
      </c>
      <c r="N9" s="7">
        <v>1460000</v>
      </c>
      <c r="O9" s="8">
        <f t="shared" si="5"/>
        <v>1.059078903298837</v>
      </c>
      <c r="P9" s="8">
        <f t="shared" si="5"/>
        <v>1.0661336069292113</v>
      </c>
      <c r="Q9" s="8">
        <f t="shared" si="0"/>
        <v>1.6913185597212035</v>
      </c>
      <c r="R9" s="8">
        <f t="shared" si="0"/>
        <v>7.1409075299634122</v>
      </c>
      <c r="S9" s="8">
        <f t="shared" si="6"/>
        <v>0.62167492238560196</v>
      </c>
      <c r="T9" s="8">
        <f t="shared" si="1"/>
        <v>0.63418110475602851</v>
      </c>
      <c r="U9" s="8">
        <f t="shared" si="1"/>
        <v>2.5319471808787082</v>
      </c>
      <c r="V9" s="8">
        <f t="shared" si="1"/>
        <v>190.5630194507024</v>
      </c>
      <c r="W9" s="8">
        <f t="shared" si="7"/>
        <v>0.16474385443218453</v>
      </c>
      <c r="X9" s="8">
        <f t="shared" si="8"/>
        <v>0.13974058369894918</v>
      </c>
      <c r="Y9" s="8">
        <f t="shared" si="8"/>
        <v>0.52712425629334902</v>
      </c>
      <c r="Z9" s="8">
        <f t="shared" si="8"/>
        <v>33.232043057910374</v>
      </c>
      <c r="AA9" s="8">
        <f t="shared" si="9"/>
        <v>5884.1562487543351</v>
      </c>
      <c r="AB9" s="8">
        <f t="shared" si="9"/>
        <v>736.85209784455901</v>
      </c>
      <c r="AC9" s="8">
        <f t="shared" si="2"/>
        <v>1511.7923670493251</v>
      </c>
      <c r="AD9" s="8">
        <f t="shared" si="2"/>
        <v>2658.5634446328299</v>
      </c>
      <c r="AE9" s="8">
        <f t="shared" si="10"/>
        <v>0.54526528457840673</v>
      </c>
      <c r="AF9" s="8">
        <f t="shared" si="11"/>
        <v>6.8281645122606247E-2</v>
      </c>
      <c r="AG9" s="8">
        <f t="shared" si="12"/>
        <v>0.14009279502343638</v>
      </c>
      <c r="AH9" s="8">
        <f t="shared" si="13"/>
        <v>0.24636027527555063</v>
      </c>
      <c r="AI9" s="8">
        <f>LN((AVERAGE(G29:G31))/G9)/1.04</f>
        <v>-1.6469530510681542E-2</v>
      </c>
      <c r="AJ9" s="8">
        <f>LN((AVERAGE(H29:H31))/H9)/1.04</f>
        <v>3.1965079462976477E-2</v>
      </c>
      <c r="AK9" s="8">
        <f>LN((AVERAGE(I29:I31))/I9)/1.04</f>
        <v>-4.4157986290482218E-3</v>
      </c>
      <c r="AL9" s="8">
        <f>LN((AVERAGE(J29:J31))/J9)/1.04</f>
        <v>4.3059437406821742E-2</v>
      </c>
      <c r="AM9" s="15">
        <f t="shared" si="14"/>
        <v>3.1918782519782685E-3</v>
      </c>
      <c r="AN9" s="10">
        <v>90</v>
      </c>
      <c r="AO9" s="50">
        <f t="shared" si="15"/>
        <v>1.1573865939492207</v>
      </c>
      <c r="AP9" s="50">
        <f t="shared" si="16"/>
        <v>0.83333333333333337</v>
      </c>
      <c r="AQ9" s="50">
        <f>LN((AVERAGE(AO29:AO31))/AO9)/1.04</f>
        <v>1.055593203358206E-2</v>
      </c>
      <c r="AR9" s="50">
        <f>LN((AVERAGE(AP29:AP31))/AP9)/1.04</f>
        <v>5.157089667340322E-2</v>
      </c>
      <c r="AS9" s="8">
        <f t="shared" si="17"/>
        <v>0.32768723973415326</v>
      </c>
      <c r="AT9" s="8">
        <f t="shared" si="18"/>
        <v>0.67231276026584674</v>
      </c>
      <c r="AU9" s="50">
        <f t="shared" si="19"/>
        <v>3.8130816122786321E-2</v>
      </c>
      <c r="AV9" s="46">
        <f t="shared" si="20"/>
        <v>31408</v>
      </c>
      <c r="AW9" s="46">
        <f t="shared" si="3"/>
        <v>145500</v>
      </c>
      <c r="AX9" s="48">
        <f>LN((AVERAGE(AV29:AV31))/AV9)/1.04</f>
        <v>3.1965079462976477E-2</v>
      </c>
      <c r="AY9" s="48">
        <f>LN((AVERAGE(AW29:AW31))/AW9)/1.04</f>
        <v>-4.4157986290482218E-3</v>
      </c>
      <c r="AZ9" s="48">
        <f t="shared" si="4"/>
        <v>7.5057508920320804E-3</v>
      </c>
    </row>
    <row r="10" spans="1:52" x14ac:dyDescent="0.2">
      <c r="A10" s="5" t="s">
        <v>404</v>
      </c>
      <c r="B10" s="10">
        <v>100</v>
      </c>
      <c r="C10" s="5">
        <v>12014</v>
      </c>
      <c r="D10" s="5">
        <v>5561</v>
      </c>
      <c r="E10" s="5">
        <v>2046</v>
      </c>
      <c r="F10" s="5">
        <v>74</v>
      </c>
      <c r="G10" s="5">
        <v>21125</v>
      </c>
      <c r="H10" s="5">
        <v>53543</v>
      </c>
      <c r="I10" s="7">
        <v>227700</v>
      </c>
      <c r="J10" s="7">
        <v>294100</v>
      </c>
      <c r="K10" s="5">
        <v>13797</v>
      </c>
      <c r="L10" s="5">
        <v>37955</v>
      </c>
      <c r="M10" s="7">
        <v>205800</v>
      </c>
      <c r="N10" s="7">
        <v>1295000</v>
      </c>
      <c r="O10" s="8">
        <f t="shared" ref="O10:O11" si="21">(224333+K10)/235871</f>
        <v>1.0095772689308986</v>
      </c>
      <c r="P10" s="8">
        <f t="shared" ref="P10:P11" si="22">(224333+L10)/235871</f>
        <v>1.1119976597377379</v>
      </c>
      <c r="Q10" s="8">
        <f t="shared" ref="Q10:Q11" si="23">(224333+M10)/235871</f>
        <v>1.8235942527907203</v>
      </c>
      <c r="R10" s="8">
        <f t="shared" ref="R10:R11" si="24">(224333+N10)/235871</f>
        <v>6.4413726146919288</v>
      </c>
      <c r="S10" s="8">
        <f t="shared" ref="S10:S11" si="25">4/3*3.14*((O10/2)^3)</f>
        <v>0.53851411209135447</v>
      </c>
      <c r="T10" s="8">
        <f t="shared" ref="T10:T11" si="26">4/3*3.14*((P10/2)^3)</f>
        <v>0.71959811567173226</v>
      </c>
      <c r="U10" s="8">
        <f t="shared" ref="U10:U11" si="27">4/3*3.14*((Q10/2)^3)</f>
        <v>3.1736793213480405</v>
      </c>
      <c r="V10" s="8">
        <f t="shared" ref="V10:V11" si="28">4/3*3.14*((R10/2)^3)</f>
        <v>139.86648649560493</v>
      </c>
      <c r="W10" s="8">
        <f t="shared" ref="W10:W11" si="29">(S10*265)/1000</f>
        <v>0.14270623970420895</v>
      </c>
      <c r="X10" s="8">
        <f t="shared" ref="X10:X11" si="30">(10^(-0.665+LOG(T10, 10)*0.959))</f>
        <v>0.15774272054941177</v>
      </c>
      <c r="Y10" s="8">
        <f t="shared" ref="Y10:Y11" si="31">(10^(-0.665+LOG(U10, 10)*0.959))</f>
        <v>0.65463460251886585</v>
      </c>
      <c r="Z10" s="8">
        <f t="shared" ref="Z10:Z11" si="32">(10^(-0.665+LOG(V10, 10)*0.959))</f>
        <v>24.702414516526723</v>
      </c>
      <c r="AA10" s="8">
        <f t="shared" ref="AA10:AA11" si="33">W10*C10</f>
        <v>1714.4727638063664</v>
      </c>
      <c r="AB10" s="8">
        <f t="shared" ref="AB10:AB11" si="34">X10*D10</f>
        <v>877.20726897527879</v>
      </c>
      <c r="AC10" s="8">
        <f t="shared" ref="AC10:AC11" si="35">Y10*E10</f>
        <v>1339.3823967535996</v>
      </c>
      <c r="AD10" s="8">
        <f t="shared" ref="AD10:AD11" si="36">Z10*F10</f>
        <v>1827.9786742229776</v>
      </c>
      <c r="AE10" s="8">
        <f t="shared" ref="AE10:AE11" si="37">AA10/(AA10+AB10+AC10+AD10)</f>
        <v>0.29770108129416534</v>
      </c>
      <c r="AF10" s="8">
        <f t="shared" ref="AF10:AF11" si="38">AB10/(AA10+AB10+AC10+AD10)</f>
        <v>0.15231828583456936</v>
      </c>
      <c r="AG10" s="8">
        <f t="shared" ref="AG10:AG11" si="39">AC10/(AA10+AB10+AC10+AD10)</f>
        <v>0.23257038326737212</v>
      </c>
      <c r="AH10" s="8">
        <f t="shared" ref="AH10:AH11" si="40">AD10/(AA10+AB10+AC10+AD10)</f>
        <v>0.31741024960389314</v>
      </c>
      <c r="AI10" s="8"/>
      <c r="AN10" s="10">
        <v>100</v>
      </c>
      <c r="AO10" s="50">
        <f t="shared" si="15"/>
        <v>1.4106968778817019</v>
      </c>
      <c r="AP10" s="50">
        <f t="shared" si="16"/>
        <v>1.1064139941690962</v>
      </c>
      <c r="AQ10" s="51"/>
      <c r="AR10" s="51"/>
      <c r="AU10" s="51"/>
      <c r="AV10" s="46">
        <f t="shared" si="20"/>
        <v>53543</v>
      </c>
      <c r="AW10" s="46">
        <f t="shared" si="3"/>
        <v>227700</v>
      </c>
    </row>
    <row r="11" spans="1:52" x14ac:dyDescent="0.2">
      <c r="A11" s="5" t="s">
        <v>405</v>
      </c>
      <c r="B11" s="10">
        <v>120</v>
      </c>
      <c r="C11" s="5">
        <v>2613</v>
      </c>
      <c r="D11" s="5">
        <v>1293</v>
      </c>
      <c r="E11" s="5">
        <v>641</v>
      </c>
      <c r="F11" s="5">
        <v>63</v>
      </c>
      <c r="G11" s="5">
        <v>28066</v>
      </c>
      <c r="H11" s="7">
        <v>117400</v>
      </c>
      <c r="I11" s="7">
        <v>294500</v>
      </c>
      <c r="J11" s="7">
        <v>293400</v>
      </c>
      <c r="K11" s="5">
        <v>56018</v>
      </c>
      <c r="L11" s="5">
        <v>82034</v>
      </c>
      <c r="M11" s="7">
        <v>274200</v>
      </c>
      <c r="N11" s="7">
        <v>1238000</v>
      </c>
      <c r="O11" s="8">
        <f t="shared" si="21"/>
        <v>1.1885776547350035</v>
      </c>
      <c r="P11" s="8">
        <f t="shared" si="22"/>
        <v>1.2988752326483544</v>
      </c>
      <c r="Q11" s="8">
        <f t="shared" si="23"/>
        <v>2.1135832722123533</v>
      </c>
      <c r="R11" s="8">
        <f t="shared" si="24"/>
        <v>6.1997150985072347</v>
      </c>
      <c r="S11" s="8">
        <f t="shared" si="25"/>
        <v>0.87874138734135676</v>
      </c>
      <c r="T11" s="8">
        <f t="shared" si="26"/>
        <v>1.1467815694468935</v>
      </c>
      <c r="U11" s="8">
        <f t="shared" si="27"/>
        <v>4.9412461273084114</v>
      </c>
      <c r="V11" s="8">
        <f t="shared" si="28"/>
        <v>124.70779342374266</v>
      </c>
      <c r="W11" s="8">
        <f t="shared" si="29"/>
        <v>0.23286646764545954</v>
      </c>
      <c r="X11" s="8">
        <f t="shared" si="30"/>
        <v>0.24662778112694</v>
      </c>
      <c r="Y11" s="8">
        <f t="shared" si="31"/>
        <v>1.0008965470712092</v>
      </c>
      <c r="Z11" s="8">
        <f t="shared" si="32"/>
        <v>22.129008596879526</v>
      </c>
      <c r="AA11" s="8">
        <f t="shared" si="33"/>
        <v>608.48007995758576</v>
      </c>
      <c r="AB11" s="8">
        <f t="shared" si="34"/>
        <v>318.88972099713345</v>
      </c>
      <c r="AC11" s="8">
        <f t="shared" si="35"/>
        <v>641.57468667264516</v>
      </c>
      <c r="AD11" s="8">
        <f t="shared" si="36"/>
        <v>1394.1275416034102</v>
      </c>
      <c r="AE11" s="8">
        <f t="shared" si="37"/>
        <v>0.20535446791536471</v>
      </c>
      <c r="AF11" s="8">
        <f t="shared" si="38"/>
        <v>0.10762131931025602</v>
      </c>
      <c r="AG11" s="8">
        <f t="shared" si="39"/>
        <v>0.21652348655162476</v>
      </c>
      <c r="AH11" s="8">
        <f t="shared" si="40"/>
        <v>0.47050072622275446</v>
      </c>
      <c r="AI11" s="8"/>
      <c r="AN11" s="10">
        <v>120</v>
      </c>
      <c r="AO11" s="50">
        <f t="shared" si="15"/>
        <v>1.4311139283711631</v>
      </c>
      <c r="AP11" s="50">
        <f t="shared" si="16"/>
        <v>1.0740335521517141</v>
      </c>
      <c r="AQ11" s="51"/>
      <c r="AR11" s="51"/>
      <c r="AU11" s="51"/>
      <c r="AV11" s="46">
        <f t="shared" si="20"/>
        <v>117400</v>
      </c>
      <c r="AW11" s="46">
        <f t="shared" si="3"/>
        <v>294500</v>
      </c>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406</v>
      </c>
      <c r="B14" s="10">
        <v>5</v>
      </c>
      <c r="C14" s="5">
        <v>4556</v>
      </c>
      <c r="D14" s="5">
        <v>748</v>
      </c>
      <c r="E14" s="5">
        <v>509</v>
      </c>
      <c r="F14" s="5">
        <v>98</v>
      </c>
      <c r="G14" s="5">
        <v>4092</v>
      </c>
      <c r="H14" s="5">
        <v>19684</v>
      </c>
      <c r="I14" s="7">
        <v>182700</v>
      </c>
      <c r="J14" s="7">
        <v>290700</v>
      </c>
      <c r="K14" s="5">
        <v>16869</v>
      </c>
      <c r="L14" s="5">
        <v>66686</v>
      </c>
      <c r="M14" s="7">
        <v>440200</v>
      </c>
      <c r="N14" s="7">
        <v>2169000</v>
      </c>
      <c r="O14" s="8">
        <f t="shared" ref="O14:R29" si="41">(224333+K14)/235871</f>
        <v>1.0226013371715896</v>
      </c>
      <c r="P14" s="8">
        <f t="shared" si="41"/>
        <v>1.2338057667114652</v>
      </c>
      <c r="Q14" s="8">
        <f t="shared" si="41"/>
        <v>2.8173577930309364</v>
      </c>
      <c r="R14" s="8">
        <f t="shared" si="41"/>
        <v>10.14678786285724</v>
      </c>
      <c r="S14" s="8">
        <f t="shared" ref="S14:V29" si="42">4/3*3.14*((O14/2)^3)</f>
        <v>0.55962546278768655</v>
      </c>
      <c r="T14" s="8">
        <f t="shared" si="42"/>
        <v>0.98292138742854118</v>
      </c>
      <c r="U14" s="8">
        <f t="shared" si="42"/>
        <v>11.7031941570466</v>
      </c>
      <c r="V14" s="8">
        <f t="shared" si="42"/>
        <v>546.71896581958924</v>
      </c>
      <c r="W14" s="8">
        <f t="shared" ref="W14:W31" si="43">(S14*265)/1000</f>
        <v>0.14830074763873693</v>
      </c>
      <c r="X14" s="8">
        <f t="shared" ref="X14:Z29" si="44">(10^(-0.665+LOG(T14, 10)*0.959))</f>
        <v>0.21272842017213595</v>
      </c>
      <c r="Y14" s="8">
        <f t="shared" si="44"/>
        <v>2.288252414357665</v>
      </c>
      <c r="Z14" s="8">
        <f t="shared" si="44"/>
        <v>91.309467529114372</v>
      </c>
      <c r="AA14" s="8">
        <f t="shared" ref="AA14:AA19" si="45">W14*C14</f>
        <v>675.6582062420855</v>
      </c>
      <c r="AB14" s="8">
        <f t="shared" ref="AB14:AB19" si="46">X14*D14</f>
        <v>159.12085828875769</v>
      </c>
      <c r="AC14" s="8">
        <f t="shared" ref="AC14:AC19" si="47">Y14*E14</f>
        <v>1164.7204789080515</v>
      </c>
      <c r="AD14" s="8">
        <f t="shared" ref="AD14:AD19" si="48">Z14*F14</f>
        <v>8948.3278178532091</v>
      </c>
      <c r="AE14" s="8">
        <f t="shared" ref="AE14:AE19" si="49">AA14/(AA14+AB14+AC14+AD14)</f>
        <v>6.1716191162366096E-2</v>
      </c>
      <c r="AF14" s="8">
        <f t="shared" ref="AF14:AF19" si="50">AB14/(AA14+AB14+AC14+AD14)</f>
        <v>1.4534469081176454E-2</v>
      </c>
      <c r="AG14" s="8">
        <f t="shared" ref="AG14:AG19" si="51">AC14/(AA14+AB14+AC14+AD14)</f>
        <v>0.10638827599950268</v>
      </c>
      <c r="AH14" s="8">
        <f t="shared" ref="AH14:AH19" si="52">AD14/(AA14+AB14+AC14+AD14)</f>
        <v>0.81736106375695472</v>
      </c>
      <c r="AI14" s="8"/>
      <c r="AN14" s="10">
        <v>5</v>
      </c>
      <c r="AO14" s="8">
        <f t="shared" ref="AO14:AO31" si="53">H14/L14</f>
        <v>0.29517439942416701</v>
      </c>
      <c r="AP14" s="8">
        <f t="shared" ref="AP14:AP31" si="54">I14/M14</f>
        <v>0.415038618809632</v>
      </c>
      <c r="AV14" s="5">
        <f t="shared" ref="AV14:AW29" si="55">H14</f>
        <v>19684</v>
      </c>
      <c r="AW14" s="5">
        <f t="shared" si="55"/>
        <v>182700</v>
      </c>
    </row>
    <row r="15" spans="1:52" x14ac:dyDescent="0.2">
      <c r="A15" s="5" t="s">
        <v>407</v>
      </c>
      <c r="B15" s="10">
        <v>5</v>
      </c>
      <c r="C15" s="5">
        <v>15570</v>
      </c>
      <c r="D15" s="5">
        <v>2434</v>
      </c>
      <c r="E15" s="5">
        <v>1522</v>
      </c>
      <c r="F15" s="5">
        <v>250</v>
      </c>
      <c r="G15" s="5">
        <v>4311</v>
      </c>
      <c r="H15" s="5">
        <v>18181</v>
      </c>
      <c r="I15" s="7">
        <v>179200</v>
      </c>
      <c r="J15" s="7">
        <v>291100</v>
      </c>
      <c r="K15" s="5">
        <v>4765</v>
      </c>
      <c r="L15" s="5">
        <v>59306</v>
      </c>
      <c r="M15" s="7">
        <v>445900</v>
      </c>
      <c r="N15" s="7">
        <v>2259000</v>
      </c>
      <c r="O15" s="8">
        <f t="shared" si="41"/>
        <v>0.97128515162949236</v>
      </c>
      <c r="P15" s="8">
        <f t="shared" si="41"/>
        <v>1.2025174777738679</v>
      </c>
      <c r="Q15" s="8">
        <f t="shared" si="41"/>
        <v>2.841523544649406</v>
      </c>
      <c r="R15" s="8">
        <f t="shared" si="41"/>
        <v>10.52835236209623</v>
      </c>
      <c r="S15" s="8">
        <f t="shared" si="42"/>
        <v>0.47953316238224808</v>
      </c>
      <c r="T15" s="8">
        <f t="shared" si="42"/>
        <v>0.91002346231708631</v>
      </c>
      <c r="U15" s="8">
        <f t="shared" si="42"/>
        <v>12.006935411938858</v>
      </c>
      <c r="V15" s="8">
        <f t="shared" si="42"/>
        <v>610.74459473690604</v>
      </c>
      <c r="W15" s="8">
        <f t="shared" si="43"/>
        <v>0.12707628803129575</v>
      </c>
      <c r="X15" s="8">
        <f t="shared" si="44"/>
        <v>0.19757474647014764</v>
      </c>
      <c r="Y15" s="8">
        <f t="shared" si="44"/>
        <v>2.3451760769652696</v>
      </c>
      <c r="Z15" s="8">
        <f t="shared" si="44"/>
        <v>101.54052092967741</v>
      </c>
      <c r="AA15" s="8">
        <f t="shared" si="45"/>
        <v>1978.5778046472749</v>
      </c>
      <c r="AB15" s="8">
        <f t="shared" si="46"/>
        <v>480.89693290833935</v>
      </c>
      <c r="AC15" s="8">
        <f t="shared" si="47"/>
        <v>3569.3579891411405</v>
      </c>
      <c r="AD15" s="8">
        <f t="shared" si="48"/>
        <v>25385.130232419353</v>
      </c>
      <c r="AE15" s="8">
        <f t="shared" si="49"/>
        <v>6.2984024244960982E-2</v>
      </c>
      <c r="AF15" s="8">
        <f t="shared" si="50"/>
        <v>1.5308381611521144E-2</v>
      </c>
      <c r="AG15" s="8">
        <f t="shared" si="51"/>
        <v>0.11362329527753322</v>
      </c>
      <c r="AH15" s="8">
        <f t="shared" si="52"/>
        <v>0.80808429886598465</v>
      </c>
      <c r="AI15" s="8"/>
      <c r="AN15" s="10">
        <v>5</v>
      </c>
      <c r="AO15" s="8">
        <f t="shared" si="53"/>
        <v>0.30656257376993895</v>
      </c>
      <c r="AP15" s="8">
        <f t="shared" si="54"/>
        <v>0.40188383045525905</v>
      </c>
      <c r="AV15" s="5">
        <f t="shared" si="55"/>
        <v>18181</v>
      </c>
      <c r="AW15" s="5">
        <f t="shared" si="55"/>
        <v>179200</v>
      </c>
    </row>
    <row r="16" spans="1:52" x14ac:dyDescent="0.2">
      <c r="A16" s="5" t="s">
        <v>408</v>
      </c>
      <c r="B16" s="10">
        <v>5</v>
      </c>
      <c r="C16" s="5">
        <v>15414</v>
      </c>
      <c r="D16" s="5">
        <v>2277</v>
      </c>
      <c r="E16" s="5">
        <v>1428</v>
      </c>
      <c r="F16" s="5">
        <v>211</v>
      </c>
      <c r="G16" s="5">
        <v>3917</v>
      </c>
      <c r="H16" s="5">
        <v>19838</v>
      </c>
      <c r="I16" s="7">
        <v>176500</v>
      </c>
      <c r="J16" s="7">
        <v>293000</v>
      </c>
      <c r="K16" s="5">
        <v>3228</v>
      </c>
      <c r="L16" s="5">
        <v>57384</v>
      </c>
      <c r="M16" s="7">
        <v>407500</v>
      </c>
      <c r="N16" s="7">
        <v>2181000</v>
      </c>
      <c r="O16" s="8">
        <f t="shared" si="41"/>
        <v>0.96476887790359989</v>
      </c>
      <c r="P16" s="8">
        <f t="shared" si="41"/>
        <v>1.1943689559123418</v>
      </c>
      <c r="Q16" s="8">
        <f t="shared" si="41"/>
        <v>2.6787226916407696</v>
      </c>
      <c r="R16" s="8">
        <f t="shared" si="41"/>
        <v>10.197663129422439</v>
      </c>
      <c r="S16" s="8">
        <f t="shared" si="42"/>
        <v>0.46994632046174734</v>
      </c>
      <c r="T16" s="8">
        <f t="shared" si="42"/>
        <v>0.89164898119472735</v>
      </c>
      <c r="U16" s="8">
        <f t="shared" si="42"/>
        <v>10.059158877904007</v>
      </c>
      <c r="V16" s="8">
        <f t="shared" si="42"/>
        <v>554.98389646182409</v>
      </c>
      <c r="W16" s="8">
        <f t="shared" si="43"/>
        <v>0.12453577492236305</v>
      </c>
      <c r="X16" s="8">
        <f t="shared" si="44"/>
        <v>0.1937474374149267</v>
      </c>
      <c r="Y16" s="8">
        <f t="shared" si="44"/>
        <v>1.9790494193984529</v>
      </c>
      <c r="Z16" s="8">
        <f t="shared" si="44"/>
        <v>92.632820146495192</v>
      </c>
      <c r="AA16" s="8">
        <f t="shared" si="45"/>
        <v>1919.594434653304</v>
      </c>
      <c r="AB16" s="8">
        <f t="shared" si="46"/>
        <v>441.16291499378809</v>
      </c>
      <c r="AC16" s="8">
        <f t="shared" si="47"/>
        <v>2826.082570900991</v>
      </c>
      <c r="AD16" s="8">
        <f t="shared" si="48"/>
        <v>19545.525050910484</v>
      </c>
      <c r="AE16" s="8">
        <f t="shared" si="49"/>
        <v>7.7614673601515166E-2</v>
      </c>
      <c r="AF16" s="8">
        <f t="shared" si="50"/>
        <v>1.7837473913347758E-2</v>
      </c>
      <c r="AG16" s="8">
        <f t="shared" si="51"/>
        <v>0.11426657232991355</v>
      </c>
      <c r="AH16" s="8">
        <f t="shared" si="52"/>
        <v>0.79028128015522348</v>
      </c>
      <c r="AI16" s="8"/>
      <c r="AN16" s="10">
        <v>5</v>
      </c>
      <c r="AO16" s="8">
        <f t="shared" si="53"/>
        <v>0.3457061201728705</v>
      </c>
      <c r="AP16" s="8">
        <f t="shared" si="54"/>
        <v>0.43312883435582822</v>
      </c>
      <c r="AV16" s="5">
        <f t="shared" si="55"/>
        <v>19838</v>
      </c>
      <c r="AW16" s="5">
        <f t="shared" si="55"/>
        <v>176500</v>
      </c>
    </row>
    <row r="17" spans="1:49" x14ac:dyDescent="0.2">
      <c r="A17" s="5" t="s">
        <v>409</v>
      </c>
      <c r="B17" s="10">
        <v>12</v>
      </c>
      <c r="C17" s="5">
        <v>4382</v>
      </c>
      <c r="D17" s="5">
        <v>874</v>
      </c>
      <c r="E17" s="5">
        <v>513</v>
      </c>
      <c r="F17" s="5">
        <v>107</v>
      </c>
      <c r="G17" s="5">
        <v>4744</v>
      </c>
      <c r="H17" s="5">
        <v>17339</v>
      </c>
      <c r="I17" s="7">
        <v>181700</v>
      </c>
      <c r="J17" s="7">
        <v>287700</v>
      </c>
      <c r="K17" s="5">
        <v>3966</v>
      </c>
      <c r="L17" s="5">
        <v>54715</v>
      </c>
      <c r="M17" s="7">
        <v>461100</v>
      </c>
      <c r="N17" s="7">
        <v>1748000</v>
      </c>
      <c r="O17" s="8">
        <f t="shared" si="41"/>
        <v>0.96789770679735954</v>
      </c>
      <c r="P17" s="8">
        <f t="shared" si="41"/>
        <v>1.1830534487071322</v>
      </c>
      <c r="Q17" s="8">
        <f t="shared" si="41"/>
        <v>2.9059655489653244</v>
      </c>
      <c r="R17" s="8">
        <f t="shared" si="41"/>
        <v>8.3619139275281835</v>
      </c>
      <c r="S17" s="8">
        <f t="shared" si="42"/>
        <v>0.47453339428684183</v>
      </c>
      <c r="T17" s="8">
        <f t="shared" si="42"/>
        <v>0.86654574754729241</v>
      </c>
      <c r="U17" s="8">
        <f t="shared" si="42"/>
        <v>12.842506127781213</v>
      </c>
      <c r="V17" s="8">
        <f t="shared" si="42"/>
        <v>305.98171628761656</v>
      </c>
      <c r="W17" s="8">
        <f t="shared" si="43"/>
        <v>0.12575134948601308</v>
      </c>
      <c r="X17" s="8">
        <f t="shared" si="44"/>
        <v>0.18851332086279543</v>
      </c>
      <c r="Y17" s="8">
        <f t="shared" si="44"/>
        <v>2.5014690887547828</v>
      </c>
      <c r="Z17" s="8">
        <f t="shared" si="44"/>
        <v>52.333762815060609</v>
      </c>
      <c r="AA17" s="8">
        <f t="shared" si="45"/>
        <v>551.04241344770935</v>
      </c>
      <c r="AB17" s="8">
        <f t="shared" si="46"/>
        <v>164.76064243408319</v>
      </c>
      <c r="AC17" s="8">
        <f t="shared" si="47"/>
        <v>1283.2536425312035</v>
      </c>
      <c r="AD17" s="8">
        <f t="shared" si="48"/>
        <v>5599.7126212114854</v>
      </c>
      <c r="AE17" s="8">
        <f t="shared" si="49"/>
        <v>7.2517323565092898E-2</v>
      </c>
      <c r="AF17" s="8">
        <f t="shared" si="50"/>
        <v>2.1682542988714571E-2</v>
      </c>
      <c r="AG17" s="8">
        <f t="shared" si="51"/>
        <v>0.16887650993919365</v>
      </c>
      <c r="AH17" s="8">
        <f t="shared" si="52"/>
        <v>0.7369236235069988</v>
      </c>
      <c r="AI17" s="8"/>
      <c r="AN17" s="10">
        <v>12</v>
      </c>
      <c r="AO17" s="8">
        <f t="shared" si="53"/>
        <v>0.31689664625788178</v>
      </c>
      <c r="AP17" s="8">
        <f t="shared" si="54"/>
        <v>0.39405768813706354</v>
      </c>
      <c r="AV17" s="5">
        <f t="shared" si="55"/>
        <v>17339</v>
      </c>
      <c r="AW17" s="5">
        <f t="shared" si="55"/>
        <v>181700</v>
      </c>
    </row>
    <row r="18" spans="1:49" x14ac:dyDescent="0.2">
      <c r="A18" s="5" t="s">
        <v>410</v>
      </c>
      <c r="B18" s="10">
        <v>12</v>
      </c>
      <c r="C18" s="5">
        <v>15965</v>
      </c>
      <c r="D18" s="5">
        <v>2493</v>
      </c>
      <c r="E18" s="5">
        <v>1365</v>
      </c>
      <c r="F18" s="5">
        <v>253</v>
      </c>
      <c r="G18" s="5">
        <v>4622</v>
      </c>
      <c r="H18" s="5">
        <v>17552</v>
      </c>
      <c r="I18" s="7">
        <v>181900</v>
      </c>
      <c r="J18" s="7">
        <v>289600</v>
      </c>
      <c r="K18" s="5">
        <v>4776</v>
      </c>
      <c r="L18" s="5">
        <v>53256</v>
      </c>
      <c r="M18" s="7">
        <v>457200</v>
      </c>
      <c r="N18" s="7">
        <v>2044000</v>
      </c>
      <c r="O18" s="8">
        <f t="shared" si="41"/>
        <v>0.97133178729051051</v>
      </c>
      <c r="P18" s="8">
        <f t="shared" si="41"/>
        <v>1.1768678642139134</v>
      </c>
      <c r="Q18" s="8">
        <f t="shared" si="41"/>
        <v>2.8894310873316345</v>
      </c>
      <c r="R18" s="8">
        <f t="shared" si="41"/>
        <v>9.6168371694697523</v>
      </c>
      <c r="S18" s="8">
        <f t="shared" si="42"/>
        <v>0.47960223917112876</v>
      </c>
      <c r="T18" s="8">
        <f t="shared" si="42"/>
        <v>0.85302450995388424</v>
      </c>
      <c r="U18" s="8">
        <f t="shared" si="42"/>
        <v>12.62453587545585</v>
      </c>
      <c r="V18" s="8">
        <f t="shared" si="42"/>
        <v>465.45230551857895</v>
      </c>
      <c r="W18" s="8">
        <f t="shared" si="43"/>
        <v>0.12709459338034912</v>
      </c>
      <c r="X18" s="8">
        <f t="shared" si="44"/>
        <v>0.18569152719007237</v>
      </c>
      <c r="Y18" s="8">
        <f t="shared" si="44"/>
        <v>2.4607392049086894</v>
      </c>
      <c r="Z18" s="8">
        <f t="shared" si="44"/>
        <v>78.251433682446773</v>
      </c>
      <c r="AA18" s="8">
        <f t="shared" si="45"/>
        <v>2029.0651833172737</v>
      </c>
      <c r="AB18" s="8">
        <f t="shared" si="46"/>
        <v>462.92897728485042</v>
      </c>
      <c r="AC18" s="8">
        <f t="shared" si="47"/>
        <v>3358.9090147003608</v>
      </c>
      <c r="AD18" s="8">
        <f t="shared" si="48"/>
        <v>19797.612721659032</v>
      </c>
      <c r="AE18" s="8">
        <f t="shared" si="49"/>
        <v>7.9110432411321291E-2</v>
      </c>
      <c r="AF18" s="8">
        <f t="shared" si="50"/>
        <v>1.8048957652933514E-2</v>
      </c>
      <c r="AG18" s="8">
        <f t="shared" si="51"/>
        <v>0.130959195775467</v>
      </c>
      <c r="AH18" s="8">
        <f t="shared" si="52"/>
        <v>0.77188141416027822</v>
      </c>
      <c r="AI18" s="8"/>
      <c r="AN18" s="10">
        <v>12</v>
      </c>
      <c r="AO18" s="8">
        <f t="shared" si="53"/>
        <v>0.32957788793750936</v>
      </c>
      <c r="AP18" s="8">
        <f t="shared" si="54"/>
        <v>0.39785651793525811</v>
      </c>
      <c r="AV18" s="5">
        <f t="shared" si="55"/>
        <v>17552</v>
      </c>
      <c r="AW18" s="5">
        <f t="shared" si="55"/>
        <v>181900</v>
      </c>
    </row>
    <row r="19" spans="1:49" x14ac:dyDescent="0.2">
      <c r="A19" s="5" t="s">
        <v>411</v>
      </c>
      <c r="B19" s="10">
        <v>12</v>
      </c>
      <c r="C19" s="5">
        <v>16658</v>
      </c>
      <c r="D19" s="5">
        <v>2740</v>
      </c>
      <c r="E19" s="5">
        <v>1395</v>
      </c>
      <c r="F19" s="5">
        <v>266</v>
      </c>
      <c r="G19" s="5">
        <v>4101</v>
      </c>
      <c r="H19" s="5">
        <v>16859</v>
      </c>
      <c r="I19" s="7">
        <v>171300</v>
      </c>
      <c r="J19" s="7">
        <v>284200</v>
      </c>
      <c r="K19" s="5">
        <v>2625</v>
      </c>
      <c r="L19" s="5">
        <v>60734</v>
      </c>
      <c r="M19" s="7">
        <v>358700</v>
      </c>
      <c r="N19" s="7">
        <v>1794000</v>
      </c>
      <c r="O19" s="8">
        <f t="shared" si="41"/>
        <v>0.96221239575869866</v>
      </c>
      <c r="P19" s="8">
        <f t="shared" si="41"/>
        <v>1.2085716344951265</v>
      </c>
      <c r="Q19" s="8">
        <f t="shared" si="41"/>
        <v>2.4718299409422948</v>
      </c>
      <c r="R19" s="8">
        <f t="shared" si="41"/>
        <v>8.5569357826947776</v>
      </c>
      <c r="S19" s="8">
        <f t="shared" si="42"/>
        <v>0.46622036492348173</v>
      </c>
      <c r="T19" s="8">
        <f t="shared" si="42"/>
        <v>0.923837503830375</v>
      </c>
      <c r="U19" s="8">
        <f t="shared" si="42"/>
        <v>7.9037676225122837</v>
      </c>
      <c r="V19" s="8">
        <f t="shared" si="42"/>
        <v>327.89380835864961</v>
      </c>
      <c r="W19" s="8">
        <f t="shared" si="43"/>
        <v>0.12354839670472266</v>
      </c>
      <c r="X19" s="8">
        <f t="shared" si="44"/>
        <v>0.20045005032380689</v>
      </c>
      <c r="Y19" s="8">
        <f t="shared" si="44"/>
        <v>1.5704458363189322</v>
      </c>
      <c r="Z19" s="8">
        <f t="shared" si="44"/>
        <v>55.922702922402863</v>
      </c>
      <c r="AA19" s="8">
        <f t="shared" si="45"/>
        <v>2058.06919230727</v>
      </c>
      <c r="AB19" s="8">
        <f t="shared" si="46"/>
        <v>549.2331378872309</v>
      </c>
      <c r="AC19" s="8">
        <f t="shared" si="47"/>
        <v>2190.7719416649106</v>
      </c>
      <c r="AD19" s="8">
        <f t="shared" si="48"/>
        <v>14875.438977359161</v>
      </c>
      <c r="AE19" s="8">
        <f t="shared" si="49"/>
        <v>0.10461116762604747</v>
      </c>
      <c r="AF19" s="8">
        <f t="shared" si="50"/>
        <v>2.7917389788478492E-2</v>
      </c>
      <c r="AG19" s="8">
        <f t="shared" si="51"/>
        <v>0.11135641681853278</v>
      </c>
      <c r="AH19" s="8">
        <f t="shared" si="52"/>
        <v>0.75611502576694123</v>
      </c>
      <c r="AI19" s="8"/>
      <c r="AN19" s="10">
        <v>12</v>
      </c>
      <c r="AO19" s="8">
        <f t="shared" si="53"/>
        <v>0.27758751276056243</v>
      </c>
      <c r="AP19" s="8">
        <f t="shared" si="54"/>
        <v>0.47755784778366323</v>
      </c>
      <c r="AV19" s="5">
        <f t="shared" si="55"/>
        <v>16859</v>
      </c>
      <c r="AW19" s="5">
        <f t="shared" si="55"/>
        <v>171300</v>
      </c>
    </row>
    <row r="20" spans="1:49" x14ac:dyDescent="0.2">
      <c r="A20" s="5" t="s">
        <v>412</v>
      </c>
      <c r="B20" s="10">
        <v>25</v>
      </c>
      <c r="C20" s="5">
        <v>17027</v>
      </c>
      <c r="D20" s="5">
        <v>1853</v>
      </c>
      <c r="E20" s="5">
        <v>523</v>
      </c>
      <c r="F20" s="5">
        <v>92</v>
      </c>
      <c r="G20" s="5">
        <v>6233</v>
      </c>
      <c r="H20" s="5">
        <v>15337</v>
      </c>
      <c r="I20" s="7">
        <v>174200</v>
      </c>
      <c r="J20" s="7">
        <v>271900</v>
      </c>
      <c r="K20" s="5">
        <v>3872</v>
      </c>
      <c r="L20" s="5">
        <v>48588</v>
      </c>
      <c r="M20" s="7">
        <v>365700</v>
      </c>
      <c r="N20" s="7">
        <v>1446000</v>
      </c>
      <c r="O20" s="8">
        <f t="shared" si="41"/>
        <v>0.96749918387593214</v>
      </c>
      <c r="P20" s="8">
        <f t="shared" si="41"/>
        <v>1.1570773855200511</v>
      </c>
      <c r="Q20" s="8">
        <f t="shared" si="41"/>
        <v>2.5015071797719939</v>
      </c>
      <c r="R20" s="8">
        <f t="shared" si="41"/>
        <v>7.081553052304014</v>
      </c>
      <c r="S20" s="8">
        <f t="shared" si="42"/>
        <v>0.47394748139954762</v>
      </c>
      <c r="T20" s="8">
        <f t="shared" si="42"/>
        <v>0.81071015773197208</v>
      </c>
      <c r="U20" s="8">
        <f t="shared" si="42"/>
        <v>8.1918814526319021</v>
      </c>
      <c r="V20" s="8">
        <f t="shared" si="42"/>
        <v>185.85058689845903</v>
      </c>
      <c r="W20" s="8">
        <f t="shared" si="43"/>
        <v>0.12559608257088012</v>
      </c>
      <c r="X20" s="8">
        <f t="shared" si="44"/>
        <v>0.17684880286773125</v>
      </c>
      <c r="Y20" s="8">
        <f t="shared" si="44"/>
        <v>1.625305214994601</v>
      </c>
      <c r="Z20" s="8">
        <f t="shared" si="44"/>
        <v>32.443538531607153</v>
      </c>
      <c r="AA20" s="8">
        <f t="shared" ref="AA20:AA31" si="56">W20*C20</f>
        <v>2138.5244979343756</v>
      </c>
      <c r="AB20" s="8">
        <f t="shared" ref="AB20:AB31" si="57">X20*D20</f>
        <v>327.70083171390598</v>
      </c>
      <c r="AC20" s="8">
        <f t="shared" ref="AC20:AC31" si="58">Y20*E20</f>
        <v>850.03462744217632</v>
      </c>
      <c r="AD20" s="8">
        <f t="shared" ref="AD20:AD31" si="59">Z20*F20</f>
        <v>2984.8055449078579</v>
      </c>
      <c r="AE20" s="8">
        <f t="shared" ref="AE20:AE31" si="60">AA20/(AA20+AB20+AC20+AD20)</f>
        <v>0.33939093273291088</v>
      </c>
      <c r="AF20" s="8">
        <f t="shared" ref="AF20:AF31" si="61">AB20/(AA20+AB20+AC20+AD20)</f>
        <v>5.2007209195012991E-2</v>
      </c>
      <c r="AG20" s="8">
        <f t="shared" ref="AG20:AG31" si="62">AC20/(AA20+AB20+AC20+AD20)</f>
        <v>0.13490331550633727</v>
      </c>
      <c r="AH20" s="8">
        <f t="shared" ref="AH20:AH31" si="63">AD20/(AA20+AB20+AC20+AD20)</f>
        <v>0.47369854256573884</v>
      </c>
      <c r="AN20" s="10">
        <v>25</v>
      </c>
      <c r="AO20" s="8">
        <f t="shared" si="53"/>
        <v>0.31565407096402404</v>
      </c>
      <c r="AP20" s="8">
        <f t="shared" si="54"/>
        <v>0.47634673229423025</v>
      </c>
      <c r="AV20" s="5">
        <f t="shared" si="55"/>
        <v>15337</v>
      </c>
      <c r="AW20" s="5">
        <f t="shared" si="55"/>
        <v>174200</v>
      </c>
    </row>
    <row r="21" spans="1:49" x14ac:dyDescent="0.2">
      <c r="A21" s="5" t="s">
        <v>413</v>
      </c>
      <c r="B21" s="10">
        <v>25</v>
      </c>
      <c r="C21" s="5">
        <v>60829</v>
      </c>
      <c r="D21" s="5">
        <v>4586</v>
      </c>
      <c r="E21" s="5">
        <v>1131</v>
      </c>
      <c r="F21" s="5">
        <v>194</v>
      </c>
      <c r="G21" s="5">
        <v>6326</v>
      </c>
      <c r="H21" s="5">
        <v>14270</v>
      </c>
      <c r="I21" s="7">
        <v>179800</v>
      </c>
      <c r="J21" s="7">
        <v>285600</v>
      </c>
      <c r="K21" s="5">
        <v>1839</v>
      </c>
      <c r="L21" s="5">
        <v>38456</v>
      </c>
      <c r="M21" s="7">
        <v>449700</v>
      </c>
      <c r="N21" s="7">
        <v>1958000</v>
      </c>
      <c r="O21" s="8">
        <f t="shared" si="41"/>
        <v>0.95888006579867813</v>
      </c>
      <c r="P21" s="8">
        <f t="shared" si="41"/>
        <v>1.114121702116835</v>
      </c>
      <c r="Q21" s="8">
        <f t="shared" si="41"/>
        <v>2.8576340457283855</v>
      </c>
      <c r="R21" s="8">
        <f t="shared" si="41"/>
        <v>9.2522310924191622</v>
      </c>
      <c r="S21" s="8">
        <f t="shared" si="42"/>
        <v>0.46139328343932262</v>
      </c>
      <c r="T21" s="8">
        <f t="shared" si="42"/>
        <v>0.72372954058821692</v>
      </c>
      <c r="U21" s="8">
        <f t="shared" si="42"/>
        <v>12.212321582863375</v>
      </c>
      <c r="V21" s="8">
        <f t="shared" si="42"/>
        <v>414.49358399568928</v>
      </c>
      <c r="W21" s="8">
        <f t="shared" si="43"/>
        <v>0.1222692201114205</v>
      </c>
      <c r="X21" s="8">
        <f t="shared" si="44"/>
        <v>0.15861113444580838</v>
      </c>
      <c r="Y21" s="8">
        <f t="shared" si="44"/>
        <v>2.3836336314525335</v>
      </c>
      <c r="Z21" s="8">
        <f t="shared" si="44"/>
        <v>70.016368567761404</v>
      </c>
      <c r="AA21" s="8">
        <f t="shared" si="56"/>
        <v>7437.5143901575975</v>
      </c>
      <c r="AB21" s="8">
        <f t="shared" si="57"/>
        <v>727.39066256847718</v>
      </c>
      <c r="AC21" s="8">
        <f t="shared" si="58"/>
        <v>2695.8896371728156</v>
      </c>
      <c r="AD21" s="8">
        <f t="shared" si="59"/>
        <v>13583.175502145712</v>
      </c>
      <c r="AE21" s="8">
        <f t="shared" si="60"/>
        <v>0.30426785549665614</v>
      </c>
      <c r="AF21" s="8">
        <f t="shared" si="61"/>
        <v>2.9757468073055075E-2</v>
      </c>
      <c r="AG21" s="8">
        <f t="shared" si="62"/>
        <v>0.11028853398169355</v>
      </c>
      <c r="AH21" s="8">
        <f t="shared" si="63"/>
        <v>0.55568614244859516</v>
      </c>
      <c r="AN21" s="10">
        <v>25</v>
      </c>
      <c r="AO21" s="8">
        <f t="shared" si="53"/>
        <v>0.37107343457457875</v>
      </c>
      <c r="AP21" s="8">
        <f t="shared" si="54"/>
        <v>0.39982210362463866</v>
      </c>
      <c r="AV21" s="5">
        <f t="shared" si="55"/>
        <v>14270</v>
      </c>
      <c r="AW21" s="5">
        <f t="shared" si="55"/>
        <v>179800</v>
      </c>
    </row>
    <row r="22" spans="1:49" x14ac:dyDescent="0.2">
      <c r="A22" s="5" t="s">
        <v>414</v>
      </c>
      <c r="B22" s="10">
        <v>25</v>
      </c>
      <c r="C22" s="5">
        <v>67384</v>
      </c>
      <c r="D22" s="5">
        <v>4331</v>
      </c>
      <c r="E22" s="5">
        <v>1113</v>
      </c>
      <c r="F22" s="5">
        <v>120</v>
      </c>
      <c r="G22" s="5">
        <v>5426</v>
      </c>
      <c r="H22" s="5">
        <v>15775</v>
      </c>
      <c r="I22" s="7">
        <v>172100</v>
      </c>
      <c r="J22" s="7">
        <v>279200</v>
      </c>
      <c r="K22" s="5">
        <v>1274</v>
      </c>
      <c r="L22" s="5">
        <v>42679</v>
      </c>
      <c r="M22" s="7">
        <v>368600</v>
      </c>
      <c r="N22" s="7">
        <v>2068000</v>
      </c>
      <c r="O22" s="8">
        <f t="shared" si="41"/>
        <v>0.9564846886645666</v>
      </c>
      <c r="P22" s="8">
        <f t="shared" si="41"/>
        <v>1.1320255563422379</v>
      </c>
      <c r="Q22" s="8">
        <f t="shared" si="41"/>
        <v>2.5138020358585837</v>
      </c>
      <c r="R22" s="8">
        <f t="shared" si="41"/>
        <v>9.7185877026001499</v>
      </c>
      <c r="S22" s="8">
        <f t="shared" si="42"/>
        <v>0.45794409620540005</v>
      </c>
      <c r="T22" s="8">
        <f t="shared" si="42"/>
        <v>0.75918407957526934</v>
      </c>
      <c r="U22" s="8">
        <f t="shared" si="42"/>
        <v>8.3132648837229866</v>
      </c>
      <c r="V22" s="8">
        <f t="shared" si="42"/>
        <v>480.38326794677533</v>
      </c>
      <c r="W22" s="8">
        <f t="shared" si="43"/>
        <v>0.12135518549443101</v>
      </c>
      <c r="X22" s="8">
        <f t="shared" si="44"/>
        <v>0.16605534581494527</v>
      </c>
      <c r="Y22" s="8">
        <f t="shared" si="44"/>
        <v>1.6483938372717908</v>
      </c>
      <c r="Z22" s="8">
        <f t="shared" si="44"/>
        <v>80.657130912392759</v>
      </c>
      <c r="AA22" s="8">
        <f t="shared" si="56"/>
        <v>8177.3978193567391</v>
      </c>
      <c r="AB22" s="8">
        <f t="shared" si="57"/>
        <v>719.18570272452791</v>
      </c>
      <c r="AC22" s="8">
        <f t="shared" si="58"/>
        <v>1834.6623408835032</v>
      </c>
      <c r="AD22" s="8">
        <f t="shared" si="59"/>
        <v>9678.8557094871303</v>
      </c>
      <c r="AE22" s="8">
        <f t="shared" si="60"/>
        <v>0.40065444017162594</v>
      </c>
      <c r="AF22" s="8">
        <f t="shared" si="61"/>
        <v>3.5236752750668981E-2</v>
      </c>
      <c r="AG22" s="8">
        <f t="shared" si="62"/>
        <v>8.98899172241161E-2</v>
      </c>
      <c r="AH22" s="8">
        <f t="shared" si="63"/>
        <v>0.4742188898535889</v>
      </c>
      <c r="AN22" s="10">
        <v>25</v>
      </c>
      <c r="AO22" s="8">
        <f t="shared" si="53"/>
        <v>0.36961971929988985</v>
      </c>
      <c r="AP22" s="8">
        <f t="shared" si="54"/>
        <v>0.46690179055887143</v>
      </c>
      <c r="AV22" s="5">
        <f t="shared" si="55"/>
        <v>15775</v>
      </c>
      <c r="AW22" s="5">
        <f t="shared" si="55"/>
        <v>172100</v>
      </c>
    </row>
    <row r="23" spans="1:49" x14ac:dyDescent="0.2">
      <c r="A23" s="5" t="s">
        <v>415</v>
      </c>
      <c r="B23" s="10">
        <v>45</v>
      </c>
      <c r="C23" s="5">
        <v>22794</v>
      </c>
      <c r="D23" s="5">
        <v>1588</v>
      </c>
      <c r="E23" s="5">
        <v>366</v>
      </c>
      <c r="F23" s="5">
        <v>40</v>
      </c>
      <c r="G23" s="5">
        <v>6525</v>
      </c>
      <c r="H23" s="5">
        <v>16568</v>
      </c>
      <c r="I23" s="7">
        <v>182900</v>
      </c>
      <c r="J23" s="7">
        <v>290000</v>
      </c>
      <c r="K23" s="5">
        <v>2882</v>
      </c>
      <c r="L23" s="5">
        <v>37248</v>
      </c>
      <c r="M23" s="7">
        <v>415800</v>
      </c>
      <c r="N23" s="7">
        <v>2240000</v>
      </c>
      <c r="O23" s="8">
        <f t="shared" si="41"/>
        <v>0.96330197438430332</v>
      </c>
      <c r="P23" s="8">
        <f t="shared" si="41"/>
        <v>1.1090002586159384</v>
      </c>
      <c r="Q23" s="8">
        <f t="shared" si="41"/>
        <v>2.713911417681699</v>
      </c>
      <c r="R23" s="8">
        <f t="shared" si="41"/>
        <v>10.447799856701332</v>
      </c>
      <c r="S23" s="8">
        <f t="shared" si="42"/>
        <v>0.46780595825525068</v>
      </c>
      <c r="T23" s="8">
        <f t="shared" si="42"/>
        <v>0.71379473454170461</v>
      </c>
      <c r="U23" s="8">
        <f t="shared" si="42"/>
        <v>10.46081212098275</v>
      </c>
      <c r="V23" s="8">
        <f t="shared" si="42"/>
        <v>596.83314149230534</v>
      </c>
      <c r="W23" s="8">
        <f t="shared" si="43"/>
        <v>0.12396857893764142</v>
      </c>
      <c r="X23" s="8">
        <f t="shared" si="44"/>
        <v>0.15652252058971849</v>
      </c>
      <c r="Y23" s="8">
        <f t="shared" si="44"/>
        <v>2.0547700203864316</v>
      </c>
      <c r="Z23" s="8">
        <f t="shared" si="44"/>
        <v>99.321429334827116</v>
      </c>
      <c r="AA23" s="8">
        <f t="shared" si="56"/>
        <v>2825.7397883045983</v>
      </c>
      <c r="AB23" s="8">
        <f t="shared" si="57"/>
        <v>248.55776269647296</v>
      </c>
      <c r="AC23" s="8">
        <f t="shared" si="58"/>
        <v>752.04582746143399</v>
      </c>
      <c r="AD23" s="8">
        <f t="shared" si="59"/>
        <v>3972.8571733930848</v>
      </c>
      <c r="AE23" s="8">
        <f t="shared" si="60"/>
        <v>0.36231146635052192</v>
      </c>
      <c r="AF23" s="8">
        <f t="shared" si="61"/>
        <v>3.1869646259748502E-2</v>
      </c>
      <c r="AG23" s="8">
        <f t="shared" si="62"/>
        <v>9.6426014751282027E-2</v>
      </c>
      <c r="AH23" s="8">
        <f t="shared" si="63"/>
        <v>0.50939287263844757</v>
      </c>
      <c r="AN23" s="10">
        <v>45</v>
      </c>
      <c r="AO23" s="8">
        <f t="shared" si="53"/>
        <v>0.44480240549828176</v>
      </c>
      <c r="AP23" s="8">
        <f t="shared" si="54"/>
        <v>0.43987493987493986</v>
      </c>
      <c r="AV23" s="5">
        <f t="shared" si="55"/>
        <v>16568</v>
      </c>
      <c r="AW23" s="5">
        <f t="shared" si="55"/>
        <v>182900</v>
      </c>
    </row>
    <row r="24" spans="1:49" x14ac:dyDescent="0.2">
      <c r="A24" s="5" t="s">
        <v>416</v>
      </c>
      <c r="B24" s="10">
        <v>45</v>
      </c>
      <c r="C24" s="5">
        <v>79308</v>
      </c>
      <c r="D24" s="5">
        <v>5337</v>
      </c>
      <c r="E24" s="5">
        <v>1019</v>
      </c>
      <c r="F24" s="5">
        <v>111</v>
      </c>
      <c r="G24" s="5">
        <v>6940</v>
      </c>
      <c r="H24" s="5">
        <v>17115</v>
      </c>
      <c r="I24" s="7">
        <v>183500</v>
      </c>
      <c r="J24" s="7">
        <v>290900</v>
      </c>
      <c r="K24" s="5">
        <v>1789</v>
      </c>
      <c r="L24" s="5">
        <v>35482</v>
      </c>
      <c r="M24" s="7">
        <v>428700</v>
      </c>
      <c r="N24" s="7">
        <v>2112000</v>
      </c>
      <c r="O24" s="8">
        <f t="shared" si="41"/>
        <v>0.9586680855213231</v>
      </c>
      <c r="P24" s="8">
        <f t="shared" si="41"/>
        <v>1.1015131152197599</v>
      </c>
      <c r="Q24" s="8">
        <f t="shared" si="41"/>
        <v>2.7686023292392874</v>
      </c>
      <c r="R24" s="8">
        <f t="shared" si="41"/>
        <v>9.9051303466725464</v>
      </c>
      <c r="S24" s="8">
        <f t="shared" si="42"/>
        <v>0.46108734948833102</v>
      </c>
      <c r="T24" s="8">
        <f t="shared" si="42"/>
        <v>0.69943508745964356</v>
      </c>
      <c r="U24" s="8">
        <f t="shared" si="42"/>
        <v>11.106063122280698</v>
      </c>
      <c r="V24" s="8">
        <f t="shared" si="42"/>
        <v>508.57965485501092</v>
      </c>
      <c r="W24" s="8">
        <f t="shared" si="43"/>
        <v>0.12218814761440773</v>
      </c>
      <c r="X24" s="8">
        <f t="shared" si="44"/>
        <v>0.15350155208325356</v>
      </c>
      <c r="Y24" s="8">
        <f t="shared" si="44"/>
        <v>2.1761667575015222</v>
      </c>
      <c r="Z24" s="8">
        <f t="shared" si="44"/>
        <v>85.191892192584547</v>
      </c>
      <c r="AA24" s="8">
        <f t="shared" si="56"/>
        <v>9690.4976110034477</v>
      </c>
      <c r="AB24" s="8">
        <f t="shared" si="57"/>
        <v>819.23778346832421</v>
      </c>
      <c r="AC24" s="8">
        <f t="shared" si="58"/>
        <v>2217.5139258940512</v>
      </c>
      <c r="AD24" s="8">
        <f t="shared" si="59"/>
        <v>9456.300033376885</v>
      </c>
      <c r="AE24" s="8">
        <f t="shared" si="60"/>
        <v>0.43683260313654498</v>
      </c>
      <c r="AF24" s="8">
        <f t="shared" si="61"/>
        <v>3.6929968708100627E-2</v>
      </c>
      <c r="AG24" s="8">
        <f t="shared" si="62"/>
        <v>9.9962088596968465E-2</v>
      </c>
      <c r="AH24" s="8">
        <f t="shared" si="63"/>
        <v>0.42627533955838587</v>
      </c>
      <c r="AN24" s="10">
        <v>45</v>
      </c>
      <c r="AO24" s="8">
        <f t="shared" si="53"/>
        <v>0.48235725156417336</v>
      </c>
      <c r="AP24" s="8">
        <f t="shared" si="54"/>
        <v>0.42803825519010963</v>
      </c>
      <c r="AV24" s="5">
        <f t="shared" si="55"/>
        <v>17115</v>
      </c>
      <c r="AW24" s="5">
        <f t="shared" si="55"/>
        <v>183500</v>
      </c>
    </row>
    <row r="25" spans="1:49" x14ac:dyDescent="0.2">
      <c r="A25" s="5" t="s">
        <v>417</v>
      </c>
      <c r="B25" s="10">
        <v>45</v>
      </c>
      <c r="C25" s="5">
        <v>89660</v>
      </c>
      <c r="D25" s="5">
        <v>5088</v>
      </c>
      <c r="E25" s="5">
        <v>1077</v>
      </c>
      <c r="F25" s="5">
        <v>100</v>
      </c>
      <c r="G25" s="5">
        <v>5788</v>
      </c>
      <c r="H25" s="5">
        <v>17098</v>
      </c>
      <c r="I25" s="7">
        <v>168600</v>
      </c>
      <c r="J25" s="7">
        <v>280400</v>
      </c>
      <c r="K25" s="5">
        <v>8744</v>
      </c>
      <c r="L25" s="5">
        <v>44873</v>
      </c>
      <c r="M25" s="7">
        <v>253900</v>
      </c>
      <c r="N25" s="7">
        <v>1690000</v>
      </c>
      <c r="O25" s="8">
        <f t="shared" si="41"/>
        <v>0.98815454210140286</v>
      </c>
      <c r="P25" s="8">
        <f t="shared" si="41"/>
        <v>1.1413272509125751</v>
      </c>
      <c r="Q25" s="8">
        <f t="shared" si="41"/>
        <v>2.0275192796062256</v>
      </c>
      <c r="R25" s="8">
        <f t="shared" si="41"/>
        <v>8.116016805796388</v>
      </c>
      <c r="S25" s="8">
        <f t="shared" si="42"/>
        <v>0.50495538895372416</v>
      </c>
      <c r="T25" s="8">
        <f t="shared" si="42"/>
        <v>0.77805259972529128</v>
      </c>
      <c r="U25" s="8">
        <f t="shared" si="42"/>
        <v>4.3618766049537925</v>
      </c>
      <c r="V25" s="8">
        <f t="shared" si="42"/>
        <v>279.77390887137739</v>
      </c>
      <c r="W25" s="8">
        <f t="shared" si="43"/>
        <v>0.13381317807273688</v>
      </c>
      <c r="X25" s="8">
        <f t="shared" si="44"/>
        <v>0.17001122274682265</v>
      </c>
      <c r="Y25" s="8">
        <f t="shared" si="44"/>
        <v>0.88806911604952588</v>
      </c>
      <c r="Z25" s="8">
        <f t="shared" si="44"/>
        <v>48.027293681864677</v>
      </c>
      <c r="AA25" s="8">
        <f t="shared" si="56"/>
        <v>11997.689546001588</v>
      </c>
      <c r="AB25" s="8">
        <f t="shared" si="57"/>
        <v>865.01710133583367</v>
      </c>
      <c r="AC25" s="8">
        <f t="shared" si="58"/>
        <v>956.45043798533936</v>
      </c>
      <c r="AD25" s="8">
        <f t="shared" si="59"/>
        <v>4802.7293681864676</v>
      </c>
      <c r="AE25" s="8">
        <f t="shared" si="60"/>
        <v>0.64427895508624289</v>
      </c>
      <c r="AF25" s="8">
        <f t="shared" si="61"/>
        <v>4.6451636545814308E-2</v>
      </c>
      <c r="AG25" s="8">
        <f t="shared" si="62"/>
        <v>5.13616297883236E-2</v>
      </c>
      <c r="AH25" s="8">
        <f t="shared" si="63"/>
        <v>0.25790777857961916</v>
      </c>
      <c r="AN25" s="10">
        <v>45</v>
      </c>
      <c r="AO25" s="8">
        <f t="shared" si="53"/>
        <v>0.38103090945557461</v>
      </c>
      <c r="AP25" s="8">
        <f t="shared" si="54"/>
        <v>0.66404096100827092</v>
      </c>
      <c r="AV25" s="5">
        <f t="shared" si="55"/>
        <v>17098</v>
      </c>
      <c r="AW25" s="5">
        <f t="shared" si="55"/>
        <v>168600</v>
      </c>
    </row>
    <row r="26" spans="1:49" x14ac:dyDescent="0.2">
      <c r="A26" s="5" t="s">
        <v>418</v>
      </c>
      <c r="B26" s="10">
        <v>70</v>
      </c>
      <c r="C26" s="5">
        <v>21796</v>
      </c>
      <c r="D26" s="5">
        <v>1939</v>
      </c>
      <c r="E26" s="5">
        <v>148</v>
      </c>
      <c r="F26" s="5">
        <v>29</v>
      </c>
      <c r="G26" s="5">
        <v>8592</v>
      </c>
      <c r="H26" s="5">
        <v>36201</v>
      </c>
      <c r="I26" s="7">
        <v>247200</v>
      </c>
      <c r="J26" s="7">
        <v>290400</v>
      </c>
      <c r="K26" s="5">
        <v>3329</v>
      </c>
      <c r="L26" s="5">
        <v>53256</v>
      </c>
      <c r="M26" s="7">
        <v>370800</v>
      </c>
      <c r="N26" s="7">
        <v>2156000</v>
      </c>
      <c r="O26" s="8">
        <f t="shared" si="41"/>
        <v>0.96519707806385691</v>
      </c>
      <c r="P26" s="8">
        <f t="shared" si="41"/>
        <v>1.1768678642139134</v>
      </c>
      <c r="Q26" s="8">
        <f t="shared" si="41"/>
        <v>2.5231291680622037</v>
      </c>
      <c r="R26" s="8">
        <f t="shared" si="41"/>
        <v>10.091672990744941</v>
      </c>
      <c r="S26" s="8">
        <f t="shared" si="42"/>
        <v>0.47057233697627959</v>
      </c>
      <c r="T26" s="8">
        <f t="shared" si="42"/>
        <v>0.85302450995388424</v>
      </c>
      <c r="U26" s="8">
        <f t="shared" si="42"/>
        <v>8.4061444820017801</v>
      </c>
      <c r="V26" s="8">
        <f t="shared" si="42"/>
        <v>537.85833787819161</v>
      </c>
      <c r="W26" s="8">
        <f t="shared" si="43"/>
        <v>0.1247016692987141</v>
      </c>
      <c r="X26" s="8">
        <f t="shared" si="44"/>
        <v>0.18569152719007237</v>
      </c>
      <c r="Y26" s="8">
        <f t="shared" si="44"/>
        <v>1.6660513367657679</v>
      </c>
      <c r="Z26" s="8">
        <f t="shared" si="44"/>
        <v>89.889822182991864</v>
      </c>
      <c r="AA26" s="8">
        <f t="shared" si="56"/>
        <v>2717.9975840347724</v>
      </c>
      <c r="AB26" s="8">
        <f t="shared" si="57"/>
        <v>360.05587122155032</v>
      </c>
      <c r="AC26" s="8">
        <f t="shared" si="58"/>
        <v>246.57559784133366</v>
      </c>
      <c r="AD26" s="8">
        <f t="shared" si="59"/>
        <v>2606.8048433067643</v>
      </c>
      <c r="AE26" s="8">
        <f t="shared" si="60"/>
        <v>0.45823617551944684</v>
      </c>
      <c r="AF26" s="8">
        <f t="shared" si="61"/>
        <v>6.0703006643943694E-2</v>
      </c>
      <c r="AG26" s="8">
        <f t="shared" si="62"/>
        <v>4.1570993143969032E-2</v>
      </c>
      <c r="AH26" s="8">
        <f t="shared" si="63"/>
        <v>0.43948982469264053</v>
      </c>
      <c r="AN26" s="10">
        <v>70</v>
      </c>
      <c r="AO26" s="8">
        <f t="shared" si="53"/>
        <v>0.67975439387111314</v>
      </c>
      <c r="AP26" s="8">
        <f t="shared" si="54"/>
        <v>0.66666666666666663</v>
      </c>
      <c r="AV26" s="5">
        <f t="shared" si="55"/>
        <v>36201</v>
      </c>
      <c r="AW26" s="5">
        <f t="shared" si="55"/>
        <v>247200</v>
      </c>
    </row>
    <row r="27" spans="1:49" x14ac:dyDescent="0.2">
      <c r="A27" s="5" t="s">
        <v>419</v>
      </c>
      <c r="B27" s="10">
        <v>70</v>
      </c>
      <c r="C27" s="5">
        <v>75091</v>
      </c>
      <c r="D27" s="5">
        <v>6646</v>
      </c>
      <c r="E27" s="5">
        <v>484</v>
      </c>
      <c r="F27" s="5">
        <v>88</v>
      </c>
      <c r="G27" s="5">
        <v>9936</v>
      </c>
      <c r="H27" s="5">
        <v>37503</v>
      </c>
      <c r="I27" s="7">
        <v>258000</v>
      </c>
      <c r="J27" s="7">
        <v>284400</v>
      </c>
      <c r="K27" s="5">
        <v>2206</v>
      </c>
      <c r="L27" s="5">
        <v>50198</v>
      </c>
      <c r="M27" s="7">
        <v>370000</v>
      </c>
      <c r="N27" s="7">
        <v>1637000</v>
      </c>
      <c r="O27" s="8">
        <f t="shared" si="41"/>
        <v>0.9604360010344638</v>
      </c>
      <c r="P27" s="8">
        <f t="shared" si="41"/>
        <v>1.1639031504508821</v>
      </c>
      <c r="Q27" s="8">
        <f t="shared" si="41"/>
        <v>2.5197374836245237</v>
      </c>
      <c r="R27" s="8">
        <f t="shared" si="41"/>
        <v>7.8913177118000943</v>
      </c>
      <c r="S27" s="8">
        <f t="shared" si="42"/>
        <v>0.46364298168620399</v>
      </c>
      <c r="T27" s="8">
        <f t="shared" si="42"/>
        <v>0.82514244742626419</v>
      </c>
      <c r="U27" s="8">
        <f t="shared" si="42"/>
        <v>8.3722904707796388</v>
      </c>
      <c r="V27" s="8">
        <f t="shared" si="42"/>
        <v>257.17395523306254</v>
      </c>
      <c r="W27" s="8">
        <f t="shared" si="43"/>
        <v>0.12286539014684407</v>
      </c>
      <c r="X27" s="8">
        <f t="shared" si="44"/>
        <v>0.179866897161399</v>
      </c>
      <c r="Y27" s="8">
        <f t="shared" si="44"/>
        <v>1.6596162238171597</v>
      </c>
      <c r="Z27" s="8">
        <f t="shared" si="44"/>
        <v>44.300403084702495</v>
      </c>
      <c r="AA27" s="8">
        <f t="shared" si="56"/>
        <v>9226.0850115166686</v>
      </c>
      <c r="AB27" s="8">
        <f t="shared" si="57"/>
        <v>1195.3953985346577</v>
      </c>
      <c r="AC27" s="8">
        <f t="shared" si="58"/>
        <v>803.25425232750524</v>
      </c>
      <c r="AD27" s="8">
        <f t="shared" si="59"/>
        <v>3898.4354714538194</v>
      </c>
      <c r="AE27" s="8">
        <f t="shared" si="60"/>
        <v>0.61006289884133635</v>
      </c>
      <c r="AF27" s="8">
        <f t="shared" si="61"/>
        <v>7.9043969482323714E-2</v>
      </c>
      <c r="AG27" s="8">
        <f t="shared" si="62"/>
        <v>5.3114145064764751E-2</v>
      </c>
      <c r="AH27" s="8">
        <f t="shared" si="63"/>
        <v>0.25777898661157506</v>
      </c>
      <c r="AN27" s="10">
        <v>70</v>
      </c>
      <c r="AO27" s="8">
        <f t="shared" si="53"/>
        <v>0.74710147814653971</v>
      </c>
      <c r="AP27" s="8">
        <f t="shared" si="54"/>
        <v>0.69729729729729728</v>
      </c>
      <c r="AV27" s="5">
        <f t="shared" si="55"/>
        <v>37503</v>
      </c>
      <c r="AW27" s="5">
        <f t="shared" si="55"/>
        <v>258000</v>
      </c>
    </row>
    <row r="28" spans="1:49" x14ac:dyDescent="0.2">
      <c r="A28" s="5" t="s">
        <v>420</v>
      </c>
      <c r="B28" s="10">
        <v>70</v>
      </c>
      <c r="C28" s="5">
        <v>82964</v>
      </c>
      <c r="D28" s="5">
        <v>7412</v>
      </c>
      <c r="E28" s="5">
        <v>604</v>
      </c>
      <c r="F28" s="5">
        <v>124</v>
      </c>
      <c r="G28" s="5">
        <v>9442</v>
      </c>
      <c r="H28" s="5">
        <v>36585</v>
      </c>
      <c r="I28" s="7">
        <v>250800</v>
      </c>
      <c r="J28" s="7">
        <v>289600</v>
      </c>
      <c r="K28" s="5">
        <v>1595</v>
      </c>
      <c r="L28" s="5">
        <v>47087</v>
      </c>
      <c r="M28" s="7">
        <v>344700</v>
      </c>
      <c r="N28" s="7">
        <v>1855000</v>
      </c>
      <c r="O28" s="8">
        <f t="shared" si="41"/>
        <v>0.95784560204518576</v>
      </c>
      <c r="P28" s="8">
        <f t="shared" si="41"/>
        <v>1.1507137375938543</v>
      </c>
      <c r="Q28" s="8">
        <f t="shared" si="41"/>
        <v>2.4124754632828962</v>
      </c>
      <c r="R28" s="8">
        <f t="shared" si="41"/>
        <v>8.8155517210678713</v>
      </c>
      <c r="S28" s="8">
        <f t="shared" si="42"/>
        <v>0.45990160607745967</v>
      </c>
      <c r="T28" s="8">
        <f t="shared" si="42"/>
        <v>0.79740745449342587</v>
      </c>
      <c r="U28" s="8">
        <f t="shared" si="42"/>
        <v>7.3479655665977228</v>
      </c>
      <c r="V28" s="8">
        <f t="shared" si="42"/>
        <v>358.53114747342909</v>
      </c>
      <c r="W28" s="8">
        <f t="shared" si="43"/>
        <v>0.12187392561052682</v>
      </c>
      <c r="X28" s="8">
        <f t="shared" si="44"/>
        <v>0.17406497792944992</v>
      </c>
      <c r="Y28" s="8">
        <f t="shared" si="44"/>
        <v>1.4643815917494103</v>
      </c>
      <c r="Z28" s="8">
        <f t="shared" si="44"/>
        <v>60.924403887361997</v>
      </c>
      <c r="AA28" s="8">
        <f t="shared" si="56"/>
        <v>10111.148364351748</v>
      </c>
      <c r="AB28" s="8">
        <f t="shared" si="57"/>
        <v>1290.1696164130828</v>
      </c>
      <c r="AC28" s="8">
        <f t="shared" si="58"/>
        <v>884.48648141664387</v>
      </c>
      <c r="AD28" s="8">
        <f t="shared" si="59"/>
        <v>7554.626082032888</v>
      </c>
      <c r="AE28" s="8">
        <f t="shared" si="60"/>
        <v>0.50962343492592432</v>
      </c>
      <c r="AF28" s="8">
        <f t="shared" si="61"/>
        <v>6.5027299359151636E-2</v>
      </c>
      <c r="AG28" s="8">
        <f t="shared" si="62"/>
        <v>4.4580004423067712E-2</v>
      </c>
      <c r="AH28" s="8">
        <f t="shared" si="63"/>
        <v>0.38076926129185651</v>
      </c>
      <c r="AN28" s="10">
        <v>70</v>
      </c>
      <c r="AO28" s="8">
        <f t="shared" si="53"/>
        <v>0.77696604158260241</v>
      </c>
      <c r="AP28" s="8">
        <f t="shared" si="54"/>
        <v>0.72758920800696258</v>
      </c>
      <c r="AV28" s="5">
        <f t="shared" si="55"/>
        <v>36585</v>
      </c>
      <c r="AW28" s="5">
        <f t="shared" si="55"/>
        <v>250800</v>
      </c>
    </row>
    <row r="29" spans="1:49" x14ac:dyDescent="0.2">
      <c r="A29" s="5" t="s">
        <v>421</v>
      </c>
      <c r="B29" s="10">
        <v>90</v>
      </c>
      <c r="C29" s="5">
        <v>14123</v>
      </c>
      <c r="D29" s="5">
        <v>1935</v>
      </c>
      <c r="E29" s="5">
        <v>822</v>
      </c>
      <c r="F29" s="5">
        <v>29</v>
      </c>
      <c r="G29" s="5">
        <v>12058</v>
      </c>
      <c r="H29" s="5">
        <v>31416</v>
      </c>
      <c r="I29" s="7">
        <v>141100</v>
      </c>
      <c r="J29" s="7">
        <v>288400</v>
      </c>
      <c r="K29" s="5">
        <v>3293</v>
      </c>
      <c r="L29" s="5">
        <v>29703</v>
      </c>
      <c r="M29" s="7">
        <v>174800</v>
      </c>
      <c r="N29" s="7">
        <v>1247000</v>
      </c>
      <c r="O29" s="8">
        <f t="shared" si="41"/>
        <v>0.96504445226416136</v>
      </c>
      <c r="P29" s="8">
        <f t="shared" si="41"/>
        <v>1.0770124347630696</v>
      </c>
      <c r="Q29" s="8">
        <f t="shared" si="41"/>
        <v>1.6921664808306236</v>
      </c>
      <c r="R29" s="8">
        <f t="shared" si="41"/>
        <v>6.2378715484311336</v>
      </c>
      <c r="S29" s="8">
        <f t="shared" si="42"/>
        <v>0.47034913865417621</v>
      </c>
      <c r="T29" s="8">
        <f t="shared" si="42"/>
        <v>0.65379342733585144</v>
      </c>
      <c r="U29" s="8">
        <f t="shared" si="42"/>
        <v>2.5357571691513434</v>
      </c>
      <c r="V29" s="8">
        <f t="shared" si="42"/>
        <v>127.02455436803797</v>
      </c>
      <c r="W29" s="8">
        <f t="shared" si="43"/>
        <v>0.1246425217433567</v>
      </c>
      <c r="X29" s="8">
        <f t="shared" si="44"/>
        <v>0.14388233848623536</v>
      </c>
      <c r="Y29" s="8">
        <f t="shared" si="44"/>
        <v>0.52788491040220309</v>
      </c>
      <c r="Z29" s="8">
        <f t="shared" si="44"/>
        <v>22.523106225735994</v>
      </c>
      <c r="AA29" s="8">
        <f t="shared" si="56"/>
        <v>1760.3263345814266</v>
      </c>
      <c r="AB29" s="8">
        <f t="shared" si="57"/>
        <v>278.41232497086543</v>
      </c>
      <c r="AC29" s="8">
        <f t="shared" si="58"/>
        <v>433.92139635061096</v>
      </c>
      <c r="AD29" s="8">
        <f t="shared" si="59"/>
        <v>653.1700805463438</v>
      </c>
      <c r="AE29" s="8">
        <f t="shared" si="60"/>
        <v>0.5631548285541359</v>
      </c>
      <c r="AF29" s="8">
        <f t="shared" si="61"/>
        <v>8.9068283565505876E-2</v>
      </c>
      <c r="AG29" s="8">
        <f t="shared" si="62"/>
        <v>0.13881797071785842</v>
      </c>
      <c r="AH29" s="8">
        <f t="shared" si="63"/>
        <v>0.20895891716249987</v>
      </c>
      <c r="AN29" s="10">
        <v>90</v>
      </c>
      <c r="AO29" s="8">
        <f t="shared" si="53"/>
        <v>1.0576709423290576</v>
      </c>
      <c r="AP29" s="8">
        <f t="shared" si="54"/>
        <v>0.80720823798627006</v>
      </c>
      <c r="AV29" s="5">
        <f t="shared" si="55"/>
        <v>31416</v>
      </c>
      <c r="AW29" s="5">
        <f t="shared" si="55"/>
        <v>141100</v>
      </c>
    </row>
    <row r="30" spans="1:49" x14ac:dyDescent="0.2">
      <c r="A30" s="5" t="s">
        <v>422</v>
      </c>
      <c r="B30" s="10">
        <v>90</v>
      </c>
      <c r="C30" s="5">
        <v>39980</v>
      </c>
      <c r="D30" s="5">
        <v>5898</v>
      </c>
      <c r="E30" s="5">
        <v>2670</v>
      </c>
      <c r="F30" s="5">
        <v>85</v>
      </c>
      <c r="G30" s="5">
        <v>15011</v>
      </c>
      <c r="H30" s="5">
        <v>32864</v>
      </c>
      <c r="I30" s="7">
        <v>144400</v>
      </c>
      <c r="J30" s="7">
        <v>283400</v>
      </c>
      <c r="K30" s="5">
        <v>3672</v>
      </c>
      <c r="L30" s="5">
        <v>26722</v>
      </c>
      <c r="M30" s="7">
        <v>161200</v>
      </c>
      <c r="N30" s="7">
        <v>1498000</v>
      </c>
      <c r="O30" s="8">
        <f t="shared" ref="O30:O31" si="64">(224333+K30)/235871</f>
        <v>0.96665126276651225</v>
      </c>
      <c r="P30" s="8">
        <f t="shared" ref="P30:P31" si="65">(224333+L30)/235871</f>
        <v>1.0643741706271648</v>
      </c>
      <c r="Q30" s="8">
        <f t="shared" ref="Q30:Q31" si="66">(224333+M30)/235871</f>
        <v>1.634507845390065</v>
      </c>
      <c r="R30" s="8">
        <f t="shared" ref="R30:R31" si="67">(224333+N30)/235871</f>
        <v>7.3020125407532079</v>
      </c>
      <c r="S30" s="8">
        <f t="shared" ref="S30:S31" si="68">4/3*3.14*((O30/2)^3)</f>
        <v>0.47270246336889765</v>
      </c>
      <c r="T30" s="8">
        <f t="shared" ref="T30:T31" si="69">4/3*3.14*((P30/2)^3)</f>
        <v>0.63104652332781186</v>
      </c>
      <c r="U30" s="8">
        <f t="shared" ref="U30:U31" si="70">4/3*3.14*((Q30/2)^3)</f>
        <v>2.2852800381331715</v>
      </c>
      <c r="V30" s="8">
        <f t="shared" ref="V30:V31" si="71">4/3*3.14*((R30/2)^3)</f>
        <v>203.75398958419939</v>
      </c>
      <c r="W30" s="8">
        <f t="shared" si="43"/>
        <v>0.12526615279275788</v>
      </c>
      <c r="X30" s="8">
        <f t="shared" ref="X30:X31" si="72">(10^(-0.665+LOG(T30, 10)*0.959))</f>
        <v>0.13907813615118272</v>
      </c>
      <c r="Y30" s="8">
        <f t="shared" ref="Y30:Y31" si="73">(10^(-0.665+LOG(U30, 10)*0.959))</f>
        <v>0.47777443724831886</v>
      </c>
      <c r="Z30" s="8">
        <f t="shared" ref="Z30:Z31" si="74">(10^(-0.665+LOG(V30, 10)*0.959))</f>
        <v>35.435027177458473</v>
      </c>
      <c r="AA30" s="8">
        <f t="shared" si="56"/>
        <v>5008.1407886544603</v>
      </c>
      <c r="AB30" s="8">
        <f t="shared" si="57"/>
        <v>820.28284701967573</v>
      </c>
      <c r="AC30" s="8">
        <f t="shared" si="58"/>
        <v>1275.6577474530113</v>
      </c>
      <c r="AD30" s="8">
        <f t="shared" si="59"/>
        <v>3011.9773100839702</v>
      </c>
      <c r="AE30" s="8">
        <f t="shared" si="60"/>
        <v>0.49506837994281516</v>
      </c>
      <c r="AF30" s="8">
        <f t="shared" si="61"/>
        <v>8.108719728664357E-2</v>
      </c>
      <c r="AG30" s="8">
        <f t="shared" si="62"/>
        <v>0.12610224852778926</v>
      </c>
      <c r="AH30" s="8">
        <f t="shared" si="63"/>
        <v>0.29774217424275196</v>
      </c>
      <c r="AN30" s="10">
        <v>90</v>
      </c>
      <c r="AO30" s="8">
        <f t="shared" si="53"/>
        <v>1.229848065264576</v>
      </c>
      <c r="AP30" s="8">
        <f t="shared" si="54"/>
        <v>0.8957816377171216</v>
      </c>
      <c r="AV30" s="5">
        <f t="shared" ref="AV30:AW31" si="75">H30</f>
        <v>32864</v>
      </c>
      <c r="AW30" s="5">
        <f t="shared" si="75"/>
        <v>144400</v>
      </c>
    </row>
    <row r="31" spans="1:49" x14ac:dyDescent="0.2">
      <c r="A31" s="5" t="s">
        <v>423</v>
      </c>
      <c r="B31" s="10">
        <v>90</v>
      </c>
      <c r="C31" s="5">
        <v>39022</v>
      </c>
      <c r="D31" s="5">
        <v>5685</v>
      </c>
      <c r="E31" s="5">
        <v>2603</v>
      </c>
      <c r="F31" s="5">
        <v>79</v>
      </c>
      <c r="G31" s="5">
        <v>14955</v>
      </c>
      <c r="H31" s="5">
        <v>33129</v>
      </c>
      <c r="I31" s="7">
        <v>149000</v>
      </c>
      <c r="J31" s="7">
        <v>282200</v>
      </c>
      <c r="K31" s="5">
        <v>3340</v>
      </c>
      <c r="L31" s="5">
        <v>27089</v>
      </c>
      <c r="M31" s="7">
        <v>159400</v>
      </c>
      <c r="N31" s="7">
        <v>1200000</v>
      </c>
      <c r="O31" s="8">
        <f t="shared" si="64"/>
        <v>0.96524371372487505</v>
      </c>
      <c r="P31" s="8">
        <f t="shared" si="65"/>
        <v>1.0659301058629504</v>
      </c>
      <c r="Q31" s="8">
        <f t="shared" si="66"/>
        <v>1.6268765554052851</v>
      </c>
      <c r="R31" s="8">
        <f t="shared" si="67"/>
        <v>6.0386100877174389</v>
      </c>
      <c r="S31" s="8">
        <f t="shared" si="68"/>
        <v>0.47064055054483878</v>
      </c>
      <c r="T31" s="8">
        <f t="shared" si="69"/>
        <v>0.63381802109256535</v>
      </c>
      <c r="U31" s="8">
        <f t="shared" si="70"/>
        <v>2.25342028621409</v>
      </c>
      <c r="V31" s="8">
        <f t="shared" si="71"/>
        <v>115.23631503976752</v>
      </c>
      <c r="W31" s="8">
        <f t="shared" si="43"/>
        <v>0.12471974589438227</v>
      </c>
      <c r="X31" s="8">
        <f t="shared" si="72"/>
        <v>0.13966385820926736</v>
      </c>
      <c r="Y31" s="8">
        <f t="shared" si="73"/>
        <v>0.47138490322339094</v>
      </c>
      <c r="Z31" s="8">
        <f t="shared" si="74"/>
        <v>20.514654085248253</v>
      </c>
      <c r="AA31" s="8">
        <f t="shared" si="56"/>
        <v>4866.8139242905845</v>
      </c>
      <c r="AB31" s="8">
        <f t="shared" si="57"/>
        <v>793.98903391968497</v>
      </c>
      <c r="AC31" s="8">
        <f t="shared" si="58"/>
        <v>1227.0149030904865</v>
      </c>
      <c r="AD31" s="8">
        <f t="shared" si="59"/>
        <v>1620.6576727346119</v>
      </c>
      <c r="AE31" s="8">
        <f t="shared" si="60"/>
        <v>0.57199599444371552</v>
      </c>
      <c r="AF31" s="8">
        <f t="shared" si="61"/>
        <v>9.3317425753131913E-2</v>
      </c>
      <c r="AG31" s="8">
        <f t="shared" si="62"/>
        <v>0.14421089867182615</v>
      </c>
      <c r="AH31" s="8">
        <f t="shared" si="63"/>
        <v>0.19047568113132626</v>
      </c>
      <c r="AN31" s="10">
        <v>90</v>
      </c>
      <c r="AO31" s="8">
        <f t="shared" si="53"/>
        <v>1.2229687326959282</v>
      </c>
      <c r="AP31" s="8">
        <f t="shared" si="54"/>
        <v>0.93475533249686327</v>
      </c>
      <c r="AV31" s="5">
        <f t="shared" si="75"/>
        <v>33129</v>
      </c>
      <c r="AW31" s="5">
        <f t="shared" si="75"/>
        <v>149000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398</v>
      </c>
      <c r="B38" s="10">
        <v>5</v>
      </c>
      <c r="C38" s="31">
        <f>1-0.26-0.025</f>
        <v>0.71499999999999997</v>
      </c>
      <c r="D38" s="12">
        <f>H38/$C38</f>
        <v>22457.342657342659</v>
      </c>
      <c r="E38" s="12">
        <f t="shared" ref="E38:G45" si="76">I38/$C38</f>
        <v>3535.6643356643358</v>
      </c>
      <c r="F38" s="12">
        <f t="shared" si="76"/>
        <v>1262.937062937063</v>
      </c>
      <c r="G38" s="12">
        <f>K38/$C38</f>
        <v>251.74825174825176</v>
      </c>
      <c r="H38" s="5">
        <v>16057</v>
      </c>
      <c r="I38" s="5">
        <v>2528</v>
      </c>
      <c r="J38" s="5">
        <v>903</v>
      </c>
      <c r="K38" s="5">
        <v>180</v>
      </c>
      <c r="L38" s="26">
        <f t="shared" ref="L38:O45" si="77">W4*D38*1000/1000000</f>
        <v>2.9648877640122984</v>
      </c>
      <c r="M38" s="26">
        <f t="shared" si="77"/>
        <v>0.68494195904289457</v>
      </c>
      <c r="N38" s="26">
        <f t="shared" si="77"/>
        <v>2.9364535777493739</v>
      </c>
      <c r="O38" s="26">
        <f t="shared" si="77"/>
        <v>33.438806458507962</v>
      </c>
      <c r="P38" s="26">
        <f>SUM(L38:O38)</f>
        <v>40.025089759312529</v>
      </c>
      <c r="Q38" s="26">
        <f>SUM(L38:N38)</f>
        <v>6.5862833008045669</v>
      </c>
      <c r="R38" s="26">
        <f>(LN(L48/(L38*0.25)))/$B$1</f>
        <v>0.16852565893440075</v>
      </c>
      <c r="S38" s="26">
        <f>(R38-R39)/(1-0.25)</f>
        <v>0.33976514413533693</v>
      </c>
      <c r="T38" s="26">
        <f>S38+R40</f>
        <v>0.21780315705191167</v>
      </c>
      <c r="V38" s="26">
        <f>(LN(L51/(L39*0.25)))/$B$1</f>
        <v>-4.5931128490102856E-2</v>
      </c>
      <c r="W38" s="26">
        <f>(V38-V39)/(1-0.25)</f>
        <v>0.10612266355218918</v>
      </c>
      <c r="X38" s="26">
        <f>W38+V40</f>
        <v>-5.7532781544194361E-3</v>
      </c>
      <c r="Z38" s="26">
        <f>(LN(L54/(L40*0.25)))/$B$1</f>
        <v>0.19853506269185345</v>
      </c>
      <c r="AA38" s="26">
        <f>(Z38-Z39)/(1-0.25)</f>
        <v>0.18784397748633816</v>
      </c>
      <c r="AB38" s="26">
        <f>AA38+Z40</f>
        <v>0.36906384017679383</v>
      </c>
    </row>
    <row r="39" spans="1:28" x14ac:dyDescent="0.2">
      <c r="A39" s="5" t="s">
        <v>399</v>
      </c>
      <c r="B39" s="10">
        <v>12</v>
      </c>
      <c r="C39" s="31">
        <f>1-0.22-0.025</f>
        <v>0.755</v>
      </c>
      <c r="D39" s="12">
        <f t="shared" ref="D39:D44" si="78">H39/$C39</f>
        <v>23821.192052980132</v>
      </c>
      <c r="E39" s="12">
        <f t="shared" si="76"/>
        <v>3349.6688741721855</v>
      </c>
      <c r="F39" s="12">
        <f t="shared" si="76"/>
        <v>1634.4370860927152</v>
      </c>
      <c r="G39" s="12">
        <f t="shared" si="76"/>
        <v>360.26490066225165</v>
      </c>
      <c r="H39" s="5">
        <v>17985</v>
      </c>
      <c r="I39" s="5">
        <v>2529</v>
      </c>
      <c r="J39" s="5">
        <v>1234</v>
      </c>
      <c r="K39" s="5">
        <v>272</v>
      </c>
      <c r="L39" s="26">
        <f t="shared" si="77"/>
        <v>3.1455980061957356</v>
      </c>
      <c r="M39" s="26">
        <f t="shared" si="77"/>
        <v>0.66773450653526334</v>
      </c>
      <c r="N39" s="26">
        <f t="shared" si="77"/>
        <v>7.4257369551277828</v>
      </c>
      <c r="O39" s="26">
        <f t="shared" si="77"/>
        <v>62.911368302240525</v>
      </c>
      <c r="P39" s="26">
        <f t="shared" ref="P39:P44" si="79">SUM(L39:O39)</f>
        <v>74.150437770099302</v>
      </c>
      <c r="Q39" s="26">
        <f t="shared" ref="Q39:Q44" si="80">SUM(L39:N39)</f>
        <v>11.239069467858782</v>
      </c>
      <c r="R39" s="26">
        <f>(LN(L49/L38))/$B$1</f>
        <v>-8.6298199167101977E-2</v>
      </c>
      <c r="V39" s="26">
        <f>(LN(L52/L39))/$B$1</f>
        <v>-0.12552312615424474</v>
      </c>
      <c r="Z39" s="26">
        <f>(LN(L55/L40))/$B$1</f>
        <v>5.7652079577099835E-2</v>
      </c>
    </row>
    <row r="40" spans="1:28" x14ac:dyDescent="0.2">
      <c r="A40" s="5" t="s">
        <v>400</v>
      </c>
      <c r="B40" s="10">
        <v>25</v>
      </c>
      <c r="C40" s="31">
        <f>1-0.245-0.025</f>
        <v>0.73</v>
      </c>
      <c r="D40" s="12">
        <f t="shared" si="78"/>
        <v>76078.082191780821</v>
      </c>
      <c r="E40" s="12">
        <f t="shared" si="76"/>
        <v>6005.4794520547948</v>
      </c>
      <c r="F40" s="12">
        <f t="shared" si="76"/>
        <v>1579.4520547945206</v>
      </c>
      <c r="G40" s="12">
        <f t="shared" si="76"/>
        <v>221.91780821917808</v>
      </c>
      <c r="H40" s="5">
        <v>55537</v>
      </c>
      <c r="I40" s="5">
        <v>4384</v>
      </c>
      <c r="J40" s="5">
        <v>1153</v>
      </c>
      <c r="K40" s="5">
        <v>162</v>
      </c>
      <c r="L40" s="26">
        <f t="shared" si="77"/>
        <v>9.277722279514018</v>
      </c>
      <c r="M40" s="26">
        <f t="shared" si="77"/>
        <v>0.99178250105650945</v>
      </c>
      <c r="N40" s="26">
        <f t="shared" si="77"/>
        <v>5.7205544774454333</v>
      </c>
      <c r="O40" s="26">
        <f t="shared" si="77"/>
        <v>47.000532256791452</v>
      </c>
      <c r="P40" s="26">
        <f t="shared" si="79"/>
        <v>62.990591514807413</v>
      </c>
      <c r="Q40" s="26">
        <f t="shared" si="80"/>
        <v>15.990059258015961</v>
      </c>
      <c r="R40" s="26">
        <f>LN(L50/L38)/$B$1</f>
        <v>-0.12196198708342527</v>
      </c>
      <c r="V40" s="26">
        <f>LN(L53/L39)/$B$1</f>
        <v>-0.11187594170660861</v>
      </c>
      <c r="Z40" s="26">
        <f>LN(L56/L40)/$B$1</f>
        <v>0.1812198626904557</v>
      </c>
    </row>
    <row r="41" spans="1:28" x14ac:dyDescent="0.2">
      <c r="A41" s="5" t="s">
        <v>401</v>
      </c>
      <c r="B41" s="10">
        <v>45</v>
      </c>
      <c r="C41" s="31">
        <f>1-0.25-0.025</f>
        <v>0.72499999999999998</v>
      </c>
      <c r="D41" s="12">
        <f t="shared" si="78"/>
        <v>103590.3448275862</v>
      </c>
      <c r="E41" s="12">
        <f t="shared" si="76"/>
        <v>6957.2413793103451</v>
      </c>
      <c r="F41" s="12">
        <f t="shared" si="76"/>
        <v>1296.5517241379312</v>
      </c>
      <c r="G41" s="12">
        <f t="shared" si="76"/>
        <v>169.65517241379311</v>
      </c>
      <c r="H41" s="5">
        <v>75103</v>
      </c>
      <c r="I41" s="5">
        <v>5044</v>
      </c>
      <c r="J41" s="5">
        <v>940</v>
      </c>
      <c r="K41" s="5">
        <v>123</v>
      </c>
      <c r="L41" s="26">
        <f t="shared" si="77"/>
        <v>12.614068423268966</v>
      </c>
      <c r="M41" s="26">
        <f t="shared" si="77"/>
        <v>1.1264957529611335</v>
      </c>
      <c r="N41" s="26">
        <f t="shared" si="77"/>
        <v>4.8748857029737032</v>
      </c>
      <c r="O41" s="26">
        <f t="shared" si="77"/>
        <v>14.01275028739007</v>
      </c>
      <c r="P41" s="26">
        <f t="shared" si="79"/>
        <v>32.628200166593871</v>
      </c>
      <c r="Q41" s="26">
        <f t="shared" si="80"/>
        <v>18.615449879203801</v>
      </c>
      <c r="R41" s="5" t="s">
        <v>535</v>
      </c>
      <c r="V41" s="5" t="s">
        <v>535</v>
      </c>
      <c r="Z41" s="5" t="s">
        <v>535</v>
      </c>
    </row>
    <row r="42" spans="1:28" x14ac:dyDescent="0.2">
      <c r="A42" s="5" t="s">
        <v>402</v>
      </c>
      <c r="B42" s="10">
        <v>70</v>
      </c>
      <c r="C42" s="31">
        <f>1-0.255-0.025</f>
        <v>0.72</v>
      </c>
      <c r="D42" s="12">
        <f t="shared" si="78"/>
        <v>101712.5</v>
      </c>
      <c r="E42" s="12">
        <f t="shared" si="76"/>
        <v>9154.1666666666679</v>
      </c>
      <c r="F42" s="12">
        <f t="shared" si="76"/>
        <v>688.88888888888891</v>
      </c>
      <c r="G42" s="12">
        <f t="shared" si="76"/>
        <v>127.77777777777779</v>
      </c>
      <c r="H42" s="5">
        <v>73233</v>
      </c>
      <c r="I42" s="5">
        <v>6591</v>
      </c>
      <c r="J42" s="5">
        <v>496</v>
      </c>
      <c r="K42" s="5">
        <v>92</v>
      </c>
      <c r="L42" s="26">
        <f t="shared" si="77"/>
        <v>12.725716649084051</v>
      </c>
      <c r="M42" s="26">
        <f t="shared" si="77"/>
        <v>1.7608388678076718</v>
      </c>
      <c r="N42" s="26">
        <f t="shared" si="77"/>
        <v>2.3977930544289676</v>
      </c>
      <c r="O42" s="26">
        <f t="shared" si="77"/>
        <v>10.659302777279516</v>
      </c>
      <c r="P42" s="26">
        <f t="shared" si="79"/>
        <v>27.543651348600207</v>
      </c>
      <c r="Q42" s="26">
        <f t="shared" si="80"/>
        <v>16.88434857132069</v>
      </c>
      <c r="R42" s="6" t="s">
        <v>539</v>
      </c>
      <c r="S42" s="6" t="s">
        <v>540</v>
      </c>
      <c r="T42" s="6" t="s">
        <v>541</v>
      </c>
      <c r="V42" s="6" t="s">
        <v>539</v>
      </c>
      <c r="W42" s="6" t="s">
        <v>540</v>
      </c>
      <c r="X42" s="6" t="s">
        <v>541</v>
      </c>
      <c r="Z42" s="6" t="s">
        <v>539</v>
      </c>
      <c r="AA42" s="6" t="s">
        <v>540</v>
      </c>
      <c r="AB42" s="6" t="s">
        <v>541</v>
      </c>
    </row>
    <row r="43" spans="1:28" x14ac:dyDescent="0.2">
      <c r="A43" s="5" t="s">
        <v>403</v>
      </c>
      <c r="B43" s="10">
        <v>90</v>
      </c>
      <c r="C43" s="31">
        <f>1-0.26-0.025</f>
        <v>0.71499999999999997</v>
      </c>
      <c r="D43" s="12">
        <f t="shared" si="78"/>
        <v>49953.846153846156</v>
      </c>
      <c r="E43" s="12">
        <f t="shared" si="76"/>
        <v>7374.8251748251751</v>
      </c>
      <c r="F43" s="12">
        <f t="shared" si="76"/>
        <v>4011.1888111888115</v>
      </c>
      <c r="G43" s="12">
        <f t="shared" si="76"/>
        <v>111.88811188811189</v>
      </c>
      <c r="H43" s="5">
        <v>35717</v>
      </c>
      <c r="I43" s="5">
        <v>5273</v>
      </c>
      <c r="J43" s="5">
        <v>2868</v>
      </c>
      <c r="K43" s="5">
        <v>80</v>
      </c>
      <c r="L43" s="26">
        <f t="shared" si="77"/>
        <v>8.2295891590969728</v>
      </c>
      <c r="M43" s="26">
        <f t="shared" si="77"/>
        <v>1.030562374607775</v>
      </c>
      <c r="N43" s="26">
        <f t="shared" si="77"/>
        <v>2.1143949189501052</v>
      </c>
      <c r="O43" s="26">
        <f t="shared" si="77"/>
        <v>3.7182705519340282</v>
      </c>
      <c r="P43" s="26">
        <f t="shared" si="79"/>
        <v>15.092817004588882</v>
      </c>
      <c r="Q43" s="26">
        <f t="shared" si="80"/>
        <v>11.374546452654855</v>
      </c>
      <c r="R43" s="26">
        <f>(LN(M48/(M38*0.25)))/$B$1</f>
        <v>0.18702281868284404</v>
      </c>
      <c r="S43" s="26">
        <f>(R43-R44)/(1-0.25)</f>
        <v>0.2993257942194224</v>
      </c>
      <c r="T43" s="26">
        <f>S43+R45</f>
        <v>0.17236897249179736</v>
      </c>
      <c r="V43" s="26">
        <f>(LN(M51/(M39*0.25)))/$B$1</f>
        <v>0.28344448118568555</v>
      </c>
      <c r="W43" s="26">
        <f>(V43-V44)/(1-0.25)</f>
        <v>0.45283908251908217</v>
      </c>
      <c r="X43" s="26">
        <f>W43+V45</f>
        <v>0.56102864125378582</v>
      </c>
      <c r="Z43" s="26">
        <f>(LN(M54/(M40*0.25)))/$B$1</f>
        <v>0.54478240098992481</v>
      </c>
      <c r="AA43" s="26">
        <f>(Z43-Z44)/(1-0.25)</f>
        <v>0.76355936131542113</v>
      </c>
      <c r="AB43" s="26">
        <f>AA43+Z45</f>
        <v>0.75714255180198853</v>
      </c>
    </row>
    <row r="44" spans="1:28" x14ac:dyDescent="0.2">
      <c r="A44" s="5" t="s">
        <v>404</v>
      </c>
      <c r="B44" s="10">
        <v>100</v>
      </c>
      <c r="C44" s="31">
        <f>1-0.26-0.025</f>
        <v>0.71499999999999997</v>
      </c>
      <c r="D44" s="12">
        <f t="shared" si="78"/>
        <v>16802.797202797203</v>
      </c>
      <c r="E44" s="12">
        <f t="shared" si="76"/>
        <v>7777.6223776223778</v>
      </c>
      <c r="F44" s="12">
        <f t="shared" si="76"/>
        <v>2861.5384615384619</v>
      </c>
      <c r="G44" s="12">
        <f t="shared" si="76"/>
        <v>103.49650349650351</v>
      </c>
      <c r="H44" s="5">
        <v>12014</v>
      </c>
      <c r="I44" s="5">
        <v>5561</v>
      </c>
      <c r="J44" s="5">
        <v>2046</v>
      </c>
      <c r="K44" s="5">
        <v>74</v>
      </c>
      <c r="L44" s="26">
        <f t="shared" si="77"/>
        <v>2.3978640053235893</v>
      </c>
      <c r="M44" s="26">
        <f t="shared" si="77"/>
        <v>1.2268633132521385</v>
      </c>
      <c r="N44" s="26">
        <f t="shared" si="77"/>
        <v>1.8732620933616779</v>
      </c>
      <c r="O44" s="26">
        <f t="shared" si="77"/>
        <v>2.5566135303817865</v>
      </c>
      <c r="P44" s="26">
        <f t="shared" si="79"/>
        <v>8.0546029423191925</v>
      </c>
      <c r="Q44" s="26">
        <f t="shared" si="80"/>
        <v>5.4979894119374055</v>
      </c>
      <c r="R44" s="26">
        <f>(LN(M49/M38))/$B$1</f>
        <v>-3.7471526981722764E-2</v>
      </c>
      <c r="V44" s="26">
        <f>(LN(M52/M39))/$B$1</f>
        <v>-5.6184830703626051E-2</v>
      </c>
      <c r="Z44" s="26">
        <f>(LN(M55/M40))/$B$1</f>
        <v>-2.7887119996641025E-2</v>
      </c>
    </row>
    <row r="45" spans="1:28" x14ac:dyDescent="0.2">
      <c r="A45" s="5" t="s">
        <v>405</v>
      </c>
      <c r="B45" s="10">
        <v>120</v>
      </c>
      <c r="C45" s="31">
        <f>1-0.26-0.025</f>
        <v>0.71499999999999997</v>
      </c>
      <c r="D45" s="12">
        <f>H45/$C45</f>
        <v>3654.5454545454545</v>
      </c>
      <c r="E45" s="12">
        <f t="shared" si="76"/>
        <v>1808.3916083916085</v>
      </c>
      <c r="F45" s="12">
        <f t="shared" si="76"/>
        <v>896.50349650349654</v>
      </c>
      <c r="G45" s="12">
        <f t="shared" si="76"/>
        <v>88.111888111888121</v>
      </c>
      <c r="H45" s="5">
        <v>2613</v>
      </c>
      <c r="I45" s="5">
        <v>1293</v>
      </c>
      <c r="J45" s="5">
        <v>641</v>
      </c>
      <c r="K45" s="5">
        <v>63</v>
      </c>
      <c r="L45" s="26">
        <f t="shared" si="77"/>
        <v>0.8510210908497704</v>
      </c>
      <c r="M45" s="26">
        <f t="shared" si="77"/>
        <v>0.44599960978620062</v>
      </c>
      <c r="N45" s="26">
        <f t="shared" si="77"/>
        <v>0.89730725408761558</v>
      </c>
      <c r="O45" s="26">
        <f t="shared" si="77"/>
        <v>1.9498287295152592</v>
      </c>
      <c r="P45" s="26">
        <f>SUM(L45:O45)</f>
        <v>4.1441566842388458</v>
      </c>
      <c r="Q45" s="26">
        <f>SUM(L45:N45)</f>
        <v>2.1943279547235868</v>
      </c>
      <c r="R45" s="26">
        <f>LN(M50/M38)/$B$1</f>
        <v>-0.12695682172762504</v>
      </c>
      <c r="V45" s="26">
        <f>LN(M53/M39)/$B$1</f>
        <v>0.10818955873470364</v>
      </c>
      <c r="Z45" s="26">
        <f>LN(M56/M40)/$B$1</f>
        <v>-6.4168095134325785E-3</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406</v>
      </c>
      <c r="B48" s="10">
        <v>5</v>
      </c>
      <c r="C48" s="31">
        <f>1-0.21-0.025</f>
        <v>0.76500000000000001</v>
      </c>
      <c r="D48" s="12">
        <f t="shared" ref="D48:G65" si="81">H48/$C48</f>
        <v>5955.5555555555557</v>
      </c>
      <c r="E48" s="12">
        <f t="shared" si="81"/>
        <v>977.77777777777771</v>
      </c>
      <c r="F48" s="12">
        <f t="shared" si="81"/>
        <v>665.35947712418294</v>
      </c>
      <c r="G48" s="12">
        <f>K48/$C48</f>
        <v>128.10457516339869</v>
      </c>
      <c r="H48" s="5">
        <v>4556</v>
      </c>
      <c r="I48" s="5">
        <v>748</v>
      </c>
      <c r="J48" s="5">
        <v>509</v>
      </c>
      <c r="K48" s="5">
        <v>98</v>
      </c>
      <c r="L48" s="26">
        <f>W14*D48*1000/1000000</f>
        <v>0.88321334149292219</v>
      </c>
      <c r="M48" s="26">
        <f>X14*E48*1000/1000000</f>
        <v>0.20800112194608844</v>
      </c>
      <c r="N48" s="26">
        <f>Y14*F48*1000/1000000</f>
        <v>1.5225104299451653</v>
      </c>
      <c r="O48" s="26">
        <f>Z14*G48*1000/1000000</f>
        <v>11.697160546213345</v>
      </c>
      <c r="P48" s="26">
        <f>SUM(L48:O48)</f>
        <v>14.31088543959752</v>
      </c>
      <c r="Q48" s="26">
        <f>SUM(L48:N48)</f>
        <v>2.6137248933841759</v>
      </c>
      <c r="R48" s="26">
        <f>(LN(N48/(N38*0.25)))/$B$1</f>
        <v>0.70139648565635238</v>
      </c>
      <c r="S48" s="26">
        <f>(R48-R49)/(1-0.25)</f>
        <v>0.28148518301603564</v>
      </c>
      <c r="T48" s="26">
        <f>S48+R50</f>
        <v>0.54069065873249622</v>
      </c>
      <c r="V48" s="26">
        <f>(LN(N51/(N39*0.25)))/$B$1</f>
        <v>-5.901349145729963E-2</v>
      </c>
      <c r="W48" s="26">
        <f>(V48-V49)/(1-0.25)</f>
        <v>0.54368833186026011</v>
      </c>
      <c r="X48" s="26">
        <f>W48+V50</f>
        <v>-0.33401665536215264</v>
      </c>
      <c r="Z48" s="26">
        <f>(LN(N54/(N40*0.25)))/$B$1</f>
        <v>-0.22362259221019651</v>
      </c>
      <c r="AA48" s="26">
        <f>(Z48-Z49)/(1-0.25)</f>
        <v>0.30606725029854459</v>
      </c>
      <c r="AB48" s="26">
        <f>AA48+Z50</f>
        <v>-0.48479288269516746</v>
      </c>
    </row>
    <row r="49" spans="1:28" x14ac:dyDescent="0.2">
      <c r="A49" s="5" t="s">
        <v>407</v>
      </c>
      <c r="B49" s="10">
        <v>5</v>
      </c>
      <c r="C49" s="31">
        <f>1-0.245-0.025</f>
        <v>0.73</v>
      </c>
      <c r="D49" s="12">
        <f t="shared" si="81"/>
        <v>21328.767123287671</v>
      </c>
      <c r="E49" s="12">
        <f t="shared" si="81"/>
        <v>3334.2465753424658</v>
      </c>
      <c r="F49" s="12">
        <f t="shared" si="81"/>
        <v>2084.9315068493152</v>
      </c>
      <c r="G49" s="12">
        <f t="shared" si="81"/>
        <v>342.46575342465752</v>
      </c>
      <c r="H49" s="5">
        <v>15570</v>
      </c>
      <c r="I49" s="5">
        <v>2434</v>
      </c>
      <c r="J49" s="5">
        <v>1522</v>
      </c>
      <c r="K49" s="5">
        <v>250</v>
      </c>
      <c r="L49" s="26">
        <f t="shared" ref="L49:O64" si="82">W15*D49*1000/1000000</f>
        <v>2.7103805543113357</v>
      </c>
      <c r="M49" s="26">
        <f t="shared" si="82"/>
        <v>0.65876292179224571</v>
      </c>
      <c r="N49" s="26">
        <f t="shared" si="82"/>
        <v>4.8895314919741644</v>
      </c>
      <c r="O49" s="26">
        <f t="shared" si="82"/>
        <v>34.774151003314181</v>
      </c>
      <c r="P49" s="26">
        <f t="shared" ref="P49:P65" si="83">SUM(L49:O49)</f>
        <v>43.032825971391929</v>
      </c>
      <c r="Q49" s="26">
        <f t="shared" ref="Q49:Q65" si="84">SUM(L49:N49)</f>
        <v>8.2586749680777451</v>
      </c>
      <c r="R49" s="26">
        <f>(LN(N49/N38))/$B$1</f>
        <v>0.49028259839432564</v>
      </c>
      <c r="V49" s="26">
        <f>(LN(N52/N39))/$B$1</f>
        <v>-0.4667797403524947</v>
      </c>
      <c r="Z49" s="26">
        <f>(LN(N55/N40))/$B$1</f>
        <v>-0.45317302993410497</v>
      </c>
    </row>
    <row r="50" spans="1:28" x14ac:dyDescent="0.2">
      <c r="A50" s="5" t="s">
        <v>408</v>
      </c>
      <c r="B50" s="10">
        <v>5</v>
      </c>
      <c r="C50" s="31">
        <f>1-0.24-0.025</f>
        <v>0.73499999999999999</v>
      </c>
      <c r="D50" s="12">
        <f t="shared" si="81"/>
        <v>20971.428571428572</v>
      </c>
      <c r="E50" s="12">
        <f t="shared" si="81"/>
        <v>3097.9591836734694</v>
      </c>
      <c r="F50" s="12">
        <f t="shared" si="81"/>
        <v>1942.8571428571429</v>
      </c>
      <c r="G50" s="12">
        <f t="shared" si="81"/>
        <v>287.07482993197277</v>
      </c>
      <c r="H50" s="5">
        <v>15414</v>
      </c>
      <c r="I50" s="5">
        <v>2277</v>
      </c>
      <c r="J50" s="5">
        <v>1428</v>
      </c>
      <c r="K50" s="5">
        <v>211</v>
      </c>
      <c r="L50" s="26">
        <f t="shared" si="82"/>
        <v>2.611693108371842</v>
      </c>
      <c r="M50" s="26">
        <f t="shared" si="82"/>
        <v>0.60022165305277297</v>
      </c>
      <c r="N50" s="26">
        <f t="shared" si="82"/>
        <v>3.8450103005455656</v>
      </c>
      <c r="O50" s="26">
        <f t="shared" si="82"/>
        <v>26.592551089674132</v>
      </c>
      <c r="P50" s="26">
        <f t="shared" si="83"/>
        <v>33.649476151644315</v>
      </c>
      <c r="Q50" s="26">
        <f t="shared" si="84"/>
        <v>7.0569250619701807</v>
      </c>
      <c r="R50" s="26">
        <f>LN(N50/N38)/$B$1</f>
        <v>0.25920547571646052</v>
      </c>
      <c r="V50" s="26">
        <f>LN(N53/N39)/$B$1</f>
        <v>-0.87770498722241275</v>
      </c>
      <c r="Z50" s="26">
        <f>LN(N56/N40)/$B$1</f>
        <v>-0.79086013299371205</v>
      </c>
    </row>
    <row r="51" spans="1:28" x14ac:dyDescent="0.2">
      <c r="A51" s="5" t="s">
        <v>409</v>
      </c>
      <c r="B51" s="10">
        <v>12</v>
      </c>
      <c r="C51" s="31">
        <f>1-0.24-0.025</f>
        <v>0.73499999999999999</v>
      </c>
      <c r="D51" s="12">
        <f>H51/$C51</f>
        <v>5961.9047619047624</v>
      </c>
      <c r="E51" s="12">
        <f t="shared" si="81"/>
        <v>1189.1156462585034</v>
      </c>
      <c r="F51" s="12">
        <f t="shared" si="81"/>
        <v>697.9591836734694</v>
      </c>
      <c r="G51" s="12">
        <f t="shared" si="81"/>
        <v>145.57823129251702</v>
      </c>
      <c r="H51" s="5">
        <v>4382</v>
      </c>
      <c r="I51" s="5">
        <v>874</v>
      </c>
      <c r="J51" s="5">
        <v>513</v>
      </c>
      <c r="K51" s="5">
        <v>107</v>
      </c>
      <c r="L51" s="26">
        <f t="shared" si="82"/>
        <v>0.74971756931661138</v>
      </c>
      <c r="M51" s="26">
        <f t="shared" si="82"/>
        <v>0.22416413936609958</v>
      </c>
      <c r="N51" s="26">
        <f t="shared" si="82"/>
        <v>1.7459233231717055</v>
      </c>
      <c r="O51" s="26">
        <f t="shared" si="82"/>
        <v>7.6186566274986198</v>
      </c>
      <c r="P51" s="26">
        <f t="shared" si="83"/>
        <v>10.338461659353037</v>
      </c>
      <c r="Q51" s="26">
        <f t="shared" si="84"/>
        <v>2.7198050318544165</v>
      </c>
    </row>
    <row r="52" spans="1:28" x14ac:dyDescent="0.2">
      <c r="A52" s="5" t="s">
        <v>410</v>
      </c>
      <c r="B52" s="10">
        <v>12</v>
      </c>
      <c r="C52" s="31">
        <f>1-0.24-0.025</f>
        <v>0.73499999999999999</v>
      </c>
      <c r="D52" s="12">
        <f t="shared" si="81"/>
        <v>21721.088435374149</v>
      </c>
      <c r="E52" s="12">
        <f t="shared" si="81"/>
        <v>3391.8367346938776</v>
      </c>
      <c r="F52" s="12">
        <f t="shared" si="81"/>
        <v>1857.1428571428571</v>
      </c>
      <c r="G52" s="12">
        <f t="shared" si="81"/>
        <v>344.21768707482994</v>
      </c>
      <c r="H52" s="5">
        <v>15965</v>
      </c>
      <c r="I52" s="5">
        <v>2493</v>
      </c>
      <c r="J52" s="5">
        <v>1365</v>
      </c>
      <c r="K52" s="5">
        <v>253</v>
      </c>
      <c r="L52" s="26">
        <f t="shared" si="82"/>
        <v>2.7606329024724809</v>
      </c>
      <c r="M52" s="26">
        <f t="shared" si="82"/>
        <v>0.62983534324469437</v>
      </c>
      <c r="N52" s="26">
        <f t="shared" si="82"/>
        <v>4.5699442376875661</v>
      </c>
      <c r="O52" s="26">
        <f t="shared" si="82"/>
        <v>26.93552751246127</v>
      </c>
      <c r="P52" s="26">
        <f t="shared" si="83"/>
        <v>34.895939995866016</v>
      </c>
      <c r="Q52" s="26">
        <f t="shared" si="84"/>
        <v>7.9604124834047418</v>
      </c>
      <c r="R52" s="6" t="s">
        <v>545</v>
      </c>
      <c r="S52" s="6" t="s">
        <v>546</v>
      </c>
      <c r="T52" s="6" t="s">
        <v>547</v>
      </c>
      <c r="V52" s="6" t="s">
        <v>545</v>
      </c>
      <c r="W52" s="6" t="s">
        <v>546</v>
      </c>
      <c r="X52" s="6" t="s">
        <v>547</v>
      </c>
      <c r="Z52" s="6" t="s">
        <v>545</v>
      </c>
      <c r="AA52" s="6" t="s">
        <v>546</v>
      </c>
      <c r="AB52" s="6" t="s">
        <v>547</v>
      </c>
    </row>
    <row r="53" spans="1:28" x14ac:dyDescent="0.2">
      <c r="A53" s="5" t="s">
        <v>411</v>
      </c>
      <c r="B53" s="10">
        <v>12</v>
      </c>
      <c r="C53" s="31">
        <f>1-0.24-0.025</f>
        <v>0.73499999999999999</v>
      </c>
      <c r="D53" s="12">
        <f t="shared" si="81"/>
        <v>22663.945578231294</v>
      </c>
      <c r="E53" s="12">
        <f t="shared" si="81"/>
        <v>3727.8911564625851</v>
      </c>
      <c r="F53" s="12">
        <f t="shared" si="81"/>
        <v>1897.9591836734694</v>
      </c>
      <c r="G53" s="12">
        <f t="shared" si="81"/>
        <v>361.90476190476193</v>
      </c>
      <c r="H53" s="5">
        <v>16658</v>
      </c>
      <c r="I53" s="5">
        <v>2740</v>
      </c>
      <c r="J53" s="5">
        <v>1395</v>
      </c>
      <c r="K53" s="5">
        <v>266</v>
      </c>
      <c r="L53" s="26">
        <f t="shared" si="82"/>
        <v>2.8000941391935648</v>
      </c>
      <c r="M53" s="26">
        <f t="shared" si="82"/>
        <v>0.74725596991459986</v>
      </c>
      <c r="N53" s="26">
        <f t="shared" si="82"/>
        <v>2.9806420975032792</v>
      </c>
      <c r="O53" s="26">
        <f t="shared" si="82"/>
        <v>20.23869248620294</v>
      </c>
      <c r="P53" s="26">
        <f t="shared" si="83"/>
        <v>26.766684692814383</v>
      </c>
      <c r="Q53" s="26">
        <f t="shared" si="84"/>
        <v>6.5279922066114437</v>
      </c>
      <c r="R53" s="26">
        <f>(LN(O48/(O38*0.25)))/$B$1</f>
        <v>0.32300325919511674</v>
      </c>
      <c r="S53" s="26">
        <f>(R53-R54)/(1-0.25)</f>
        <v>0.38046943794356541</v>
      </c>
      <c r="T53" s="26">
        <f>S53+R55</f>
        <v>0.16019448294232591</v>
      </c>
      <c r="V53" s="26">
        <f>(LN(O51/(O39*0.25)))/$B$1</f>
        <v>-0.69695429214187166</v>
      </c>
      <c r="W53" s="26">
        <f>(V53-V54)/(1-0.25)</f>
        <v>0.158267024468184</v>
      </c>
      <c r="X53" s="26">
        <f>W53+V55</f>
        <v>-0.93224320788923964</v>
      </c>
      <c r="Z53" s="26">
        <f>(LN(O54/(O40*0.25)))/$B$1</f>
        <v>-1.0410075885083849</v>
      </c>
      <c r="AA53" s="26">
        <f>(Z53-Z54)/(1-0.25)</f>
        <v>-0.15686977820593975</v>
      </c>
      <c r="AB53" s="26">
        <f>AA53+Z55</f>
        <v>-1.3737010271941557</v>
      </c>
    </row>
    <row r="54" spans="1:28" x14ac:dyDescent="0.2">
      <c r="A54" s="5" t="s">
        <v>412</v>
      </c>
      <c r="B54" s="10">
        <v>25</v>
      </c>
      <c r="C54" s="31">
        <f>1-0.225-0.025</f>
        <v>0.75</v>
      </c>
      <c r="D54" s="12">
        <f t="shared" si="81"/>
        <v>22702.666666666668</v>
      </c>
      <c r="E54" s="12">
        <f t="shared" si="81"/>
        <v>2470.6666666666665</v>
      </c>
      <c r="F54" s="12">
        <f t="shared" si="81"/>
        <v>697.33333333333337</v>
      </c>
      <c r="G54" s="12">
        <f t="shared" si="81"/>
        <v>122.66666666666667</v>
      </c>
      <c r="H54" s="5">
        <v>17027</v>
      </c>
      <c r="I54" s="5">
        <v>1853</v>
      </c>
      <c r="J54" s="5">
        <v>523</v>
      </c>
      <c r="K54" s="5">
        <v>92</v>
      </c>
      <c r="L54" s="26">
        <f t="shared" si="82"/>
        <v>2.8513659972458347</v>
      </c>
      <c r="M54" s="26">
        <f t="shared" si="82"/>
        <v>0.43693444228520795</v>
      </c>
      <c r="N54" s="26">
        <f t="shared" si="82"/>
        <v>1.1333795032562353</v>
      </c>
      <c r="O54" s="26">
        <f t="shared" si="82"/>
        <v>3.9797407265438109</v>
      </c>
      <c r="P54" s="26">
        <f t="shared" si="83"/>
        <v>8.4014206693310882</v>
      </c>
      <c r="Q54" s="26">
        <f t="shared" si="84"/>
        <v>4.4216799427872777</v>
      </c>
      <c r="R54" s="26">
        <f>(LN(O49/O38))/$B$1</f>
        <v>3.765118073744269E-2</v>
      </c>
      <c r="V54" s="26">
        <f>(LN(O52/O39))/$B$1</f>
        <v>-0.81565456049300966</v>
      </c>
      <c r="Z54" s="26">
        <f>(LN(O55/O40))/$B$1</f>
        <v>-0.92335525485393011</v>
      </c>
    </row>
    <row r="55" spans="1:28" x14ac:dyDescent="0.2">
      <c r="A55" s="5" t="s">
        <v>413</v>
      </c>
      <c r="B55" s="10">
        <v>25</v>
      </c>
      <c r="C55" s="31">
        <f>1-0.22-0.025</f>
        <v>0.755</v>
      </c>
      <c r="D55" s="12">
        <f t="shared" si="81"/>
        <v>80568.211920529808</v>
      </c>
      <c r="E55" s="12">
        <f t="shared" si="81"/>
        <v>6074.1721854304633</v>
      </c>
      <c r="F55" s="12">
        <f t="shared" si="81"/>
        <v>1498.0132450331125</v>
      </c>
      <c r="G55" s="12">
        <f t="shared" si="81"/>
        <v>256.95364238410593</v>
      </c>
      <c r="H55" s="5">
        <v>60829</v>
      </c>
      <c r="I55" s="5">
        <v>4586</v>
      </c>
      <c r="J55" s="5">
        <v>1131</v>
      </c>
      <c r="K55" s="5">
        <v>194</v>
      </c>
      <c r="L55" s="26">
        <f t="shared" si="82"/>
        <v>9.8510124372948322</v>
      </c>
      <c r="M55" s="26">
        <f t="shared" si="82"/>
        <v>0.96343134115030094</v>
      </c>
      <c r="N55" s="26">
        <f t="shared" si="82"/>
        <v>3.5707147512222721</v>
      </c>
      <c r="O55" s="26">
        <f t="shared" si="82"/>
        <v>17.990960929994319</v>
      </c>
      <c r="P55" s="26">
        <f t="shared" si="83"/>
        <v>32.376119459661723</v>
      </c>
      <c r="Q55" s="26">
        <f t="shared" si="84"/>
        <v>14.385158529667406</v>
      </c>
      <c r="R55" s="26">
        <f>LN(O50/O38)/$B$1</f>
        <v>-0.2202749550012395</v>
      </c>
      <c r="V55" s="26">
        <f>LN(O53/O39)/$B$1</f>
        <v>-1.0905102323574236</v>
      </c>
      <c r="Z55" s="26">
        <f>LN(O56/O40)/$B$1</f>
        <v>-1.2168312489882158</v>
      </c>
    </row>
    <row r="56" spans="1:28" x14ac:dyDescent="0.2">
      <c r="A56" s="5" t="s">
        <v>414</v>
      </c>
      <c r="B56" s="10">
        <v>25</v>
      </c>
      <c r="C56" s="31">
        <f>1-0.245-0.025</f>
        <v>0.73</v>
      </c>
      <c r="D56" s="12">
        <f t="shared" si="81"/>
        <v>92306.849315068495</v>
      </c>
      <c r="E56" s="12">
        <f t="shared" si="81"/>
        <v>5932.8767123287671</v>
      </c>
      <c r="F56" s="12">
        <f t="shared" si="81"/>
        <v>1524.6575342465753</v>
      </c>
      <c r="G56" s="12">
        <f t="shared" si="81"/>
        <v>164.38356164383563</v>
      </c>
      <c r="H56" s="5">
        <v>67384</v>
      </c>
      <c r="I56" s="5">
        <v>4331</v>
      </c>
      <c r="J56" s="5">
        <v>1113</v>
      </c>
      <c r="K56" s="5">
        <v>120</v>
      </c>
      <c r="L56" s="26">
        <f t="shared" si="82"/>
        <v>11.201914821036629</v>
      </c>
      <c r="M56" s="26">
        <f t="shared" si="82"/>
        <v>0.98518589414318891</v>
      </c>
      <c r="N56" s="26">
        <f t="shared" si="82"/>
        <v>2.5132360834020591</v>
      </c>
      <c r="O56" s="26">
        <f t="shared" si="82"/>
        <v>13.258706451352237</v>
      </c>
      <c r="P56" s="26">
        <f t="shared" si="83"/>
        <v>27.959043249934115</v>
      </c>
      <c r="Q56" s="26">
        <f t="shared" si="84"/>
        <v>14.700336798581878</v>
      </c>
    </row>
    <row r="57" spans="1:28" x14ac:dyDescent="0.2">
      <c r="A57" s="5" t="s">
        <v>415</v>
      </c>
      <c r="B57" s="10">
        <v>45</v>
      </c>
      <c r="C57" s="31">
        <f>1-0.245-0.025</f>
        <v>0.73</v>
      </c>
      <c r="D57" s="12">
        <f t="shared" si="81"/>
        <v>31224.657534246577</v>
      </c>
      <c r="E57" s="12">
        <f t="shared" si="81"/>
        <v>2175.3424657534247</v>
      </c>
      <c r="F57" s="12">
        <f t="shared" si="81"/>
        <v>501.36986301369865</v>
      </c>
      <c r="G57" s="12">
        <f t="shared" si="81"/>
        <v>54.794520547945204</v>
      </c>
      <c r="H57" s="5">
        <v>22794</v>
      </c>
      <c r="I57" s="5">
        <v>1588</v>
      </c>
      <c r="J57" s="5">
        <v>366</v>
      </c>
      <c r="K57" s="5">
        <v>40</v>
      </c>
      <c r="L57" s="26">
        <f t="shared" si="82"/>
        <v>3.8708764223350669</v>
      </c>
      <c r="M57" s="26">
        <f t="shared" si="82"/>
        <v>0.34049008588557939</v>
      </c>
      <c r="N57" s="26">
        <f t="shared" si="82"/>
        <v>1.0301997636458</v>
      </c>
      <c r="O57" s="26">
        <f t="shared" si="82"/>
        <v>5.4422701005384715</v>
      </c>
      <c r="P57" s="26">
        <f t="shared" si="83"/>
        <v>10.683836372404919</v>
      </c>
      <c r="Q57" s="26">
        <f t="shared" si="84"/>
        <v>5.2415662718664464</v>
      </c>
      <c r="R57" s="4"/>
      <c r="S57" s="4"/>
      <c r="T57" s="4"/>
      <c r="V57" s="4"/>
      <c r="W57" s="4"/>
      <c r="X57" s="4"/>
      <c r="Z57" s="4"/>
      <c r="AA57" s="4"/>
      <c r="AB57" s="4"/>
    </row>
    <row r="58" spans="1:28" x14ac:dyDescent="0.2">
      <c r="A58" s="5" t="s">
        <v>416</v>
      </c>
      <c r="B58" s="10">
        <v>45</v>
      </c>
      <c r="C58" s="31">
        <f>1-0.245-0.025</f>
        <v>0.73</v>
      </c>
      <c r="D58" s="12">
        <f t="shared" si="81"/>
        <v>108641.09589041096</v>
      </c>
      <c r="E58" s="12">
        <f t="shared" si="81"/>
        <v>7310.9589041095896</v>
      </c>
      <c r="F58" s="12">
        <f t="shared" si="81"/>
        <v>1395.8904109589041</v>
      </c>
      <c r="G58" s="12">
        <f t="shared" si="81"/>
        <v>152.05479452054794</v>
      </c>
      <c r="H58" s="5">
        <v>79308</v>
      </c>
      <c r="I58" s="5">
        <v>5337</v>
      </c>
      <c r="J58" s="5">
        <v>1019</v>
      </c>
      <c r="K58" s="5">
        <v>111</v>
      </c>
      <c r="L58" s="26">
        <f t="shared" si="82"/>
        <v>13.274654261648559</v>
      </c>
      <c r="M58" s="26">
        <f t="shared" si="82"/>
        <v>1.1222435389977043</v>
      </c>
      <c r="N58" s="26">
        <f t="shared" si="82"/>
        <v>3.0376903094439061</v>
      </c>
      <c r="O58" s="26">
        <f t="shared" si="82"/>
        <v>12.953835662160115</v>
      </c>
      <c r="P58" s="26">
        <f t="shared" si="83"/>
        <v>30.388423772250285</v>
      </c>
      <c r="Q58" s="26">
        <f t="shared" si="84"/>
        <v>17.434588110090168</v>
      </c>
      <c r="R58" s="6" t="s">
        <v>548</v>
      </c>
      <c r="S58" s="6" t="s">
        <v>549</v>
      </c>
      <c r="T58" s="6" t="s">
        <v>550</v>
      </c>
      <c r="V58" s="6" t="s">
        <v>548</v>
      </c>
      <c r="W58" s="6" t="s">
        <v>549</v>
      </c>
      <c r="X58" s="6" t="s">
        <v>550</v>
      </c>
      <c r="Z58" s="6" t="s">
        <v>548</v>
      </c>
      <c r="AA58" s="6" t="s">
        <v>549</v>
      </c>
      <c r="AB58" s="6" t="s">
        <v>550</v>
      </c>
    </row>
    <row r="59" spans="1:28" x14ac:dyDescent="0.2">
      <c r="A59" s="5" t="s">
        <v>417</v>
      </c>
      <c r="B59" s="10">
        <v>45</v>
      </c>
      <c r="C59" s="31">
        <f>1-0.26-0.025</f>
        <v>0.71499999999999997</v>
      </c>
      <c r="D59" s="12">
        <f t="shared" si="81"/>
        <v>125398.6013986014</v>
      </c>
      <c r="E59" s="12">
        <f t="shared" si="81"/>
        <v>7116.0839160839168</v>
      </c>
      <c r="F59" s="12">
        <f t="shared" si="81"/>
        <v>1506.2937062937065</v>
      </c>
      <c r="G59" s="12">
        <f t="shared" si="81"/>
        <v>139.86013986013987</v>
      </c>
      <c r="H59" s="5">
        <v>89660</v>
      </c>
      <c r="I59" s="5">
        <v>5088</v>
      </c>
      <c r="J59" s="5">
        <v>1077</v>
      </c>
      <c r="K59" s="5">
        <v>100</v>
      </c>
      <c r="L59" s="26">
        <f t="shared" si="82"/>
        <v>16.779985379023202</v>
      </c>
      <c r="M59" s="26">
        <f t="shared" si="82"/>
        <v>1.2098141277424246</v>
      </c>
      <c r="N59" s="26">
        <f t="shared" si="82"/>
        <v>1.3376929202592158</v>
      </c>
      <c r="O59" s="26">
        <f t="shared" si="82"/>
        <v>6.7171040114496048</v>
      </c>
      <c r="P59" s="26">
        <f t="shared" si="83"/>
        <v>26.04459643847445</v>
      </c>
      <c r="Q59" s="26">
        <f t="shared" si="84"/>
        <v>19.327492427024843</v>
      </c>
      <c r="R59" s="26">
        <f>(LN(Q48/(Q38*0.25)))/$B$1</f>
        <v>0.4443091621192079</v>
      </c>
      <c r="S59" s="26">
        <f>(R59-R60)/(1-0.25)</f>
        <v>0.30231611290330024</v>
      </c>
      <c r="T59" s="26">
        <f>S59+R61</f>
        <v>0.36868170363368441</v>
      </c>
      <c r="V59" s="26">
        <f>(LN(Q51/(Q39*0.25)))/$B$1</f>
        <v>-3.1289898161543553E-2</v>
      </c>
      <c r="W59" s="26">
        <f>(V59-V60)/(1-0.25)</f>
        <v>0.40047915558525332</v>
      </c>
      <c r="X59" s="26">
        <f>W59+V61</f>
        <v>-0.12192144985751935</v>
      </c>
      <c r="Z59" s="26">
        <f>(LN(Q54/(Q40*0.25)))/$B$1</f>
        <v>9.6968105548842345E-2</v>
      </c>
      <c r="AA59" s="26">
        <f>(Z59-Z60)/(1-0.25)</f>
        <v>0.26489364759598083</v>
      </c>
      <c r="AB59" s="26">
        <f>AA59+Z61</f>
        <v>0.18403131318172566</v>
      </c>
    </row>
    <row r="60" spans="1:28" x14ac:dyDescent="0.2">
      <c r="A60" s="5" t="s">
        <v>418</v>
      </c>
      <c r="B60" s="10">
        <v>70</v>
      </c>
      <c r="C60" s="31">
        <f>1-0.235-0.025</f>
        <v>0.74</v>
      </c>
      <c r="D60" s="12">
        <f t="shared" si="81"/>
        <v>29454.054054054053</v>
      </c>
      <c r="E60" s="12">
        <f t="shared" si="81"/>
        <v>2620.2702702702704</v>
      </c>
      <c r="F60" s="12">
        <f t="shared" si="81"/>
        <v>200</v>
      </c>
      <c r="G60" s="12">
        <f t="shared" si="81"/>
        <v>39.189189189189193</v>
      </c>
      <c r="H60" s="5">
        <v>21796</v>
      </c>
      <c r="I60" s="5">
        <v>1939</v>
      </c>
      <c r="J60" s="5">
        <v>148</v>
      </c>
      <c r="K60" s="5">
        <v>29</v>
      </c>
      <c r="L60" s="26">
        <f t="shared" si="82"/>
        <v>3.6729697081550974</v>
      </c>
      <c r="M60" s="26">
        <f t="shared" si="82"/>
        <v>0.48656198813723017</v>
      </c>
      <c r="N60" s="26">
        <f t="shared" si="82"/>
        <v>0.33321026735315362</v>
      </c>
      <c r="O60" s="26">
        <f t="shared" si="82"/>
        <v>3.5227092477118434</v>
      </c>
      <c r="P60" s="26">
        <f t="shared" si="83"/>
        <v>8.0154512113573233</v>
      </c>
      <c r="Q60" s="26">
        <f t="shared" si="84"/>
        <v>4.4927419636454804</v>
      </c>
      <c r="R60" s="26">
        <f>(LN(Q49/Q38))/$B$1</f>
        <v>0.21757207744173274</v>
      </c>
      <c r="S60" s="10"/>
      <c r="T60" s="10"/>
      <c r="V60" s="26">
        <f>(LN(Q52/Q39))/$B$1</f>
        <v>-0.33164926485048352</v>
      </c>
      <c r="W60" s="10"/>
      <c r="X60" s="10"/>
      <c r="Z60" s="26">
        <f>(LN(Q55/Q40))/$B$1</f>
        <v>-0.10170213014814329</v>
      </c>
      <c r="AA60" s="10"/>
      <c r="AB60" s="10"/>
    </row>
    <row r="61" spans="1:28" x14ac:dyDescent="0.2">
      <c r="A61" s="5" t="s">
        <v>419</v>
      </c>
      <c r="B61" s="10">
        <v>70</v>
      </c>
      <c r="C61" s="31">
        <f>1-0.245-0.025</f>
        <v>0.73</v>
      </c>
      <c r="D61" s="12">
        <f t="shared" si="81"/>
        <v>102864.38356164384</v>
      </c>
      <c r="E61" s="12">
        <f t="shared" si="81"/>
        <v>9104.1095890410961</v>
      </c>
      <c r="F61" s="12">
        <f t="shared" si="81"/>
        <v>663.01369863013701</v>
      </c>
      <c r="G61" s="12">
        <f t="shared" si="81"/>
        <v>120.54794520547945</v>
      </c>
      <c r="H61" s="5">
        <v>75091</v>
      </c>
      <c r="I61" s="5">
        <v>6646</v>
      </c>
      <c r="J61" s="5">
        <v>484</v>
      </c>
      <c r="K61" s="5">
        <v>88</v>
      </c>
      <c r="L61" s="26">
        <f t="shared" si="82"/>
        <v>12.638472618515985</v>
      </c>
      <c r="M61" s="26">
        <f t="shared" si="82"/>
        <v>1.6375279431981615</v>
      </c>
      <c r="N61" s="26">
        <f t="shared" si="82"/>
        <v>1.1003482908595963</v>
      </c>
      <c r="O61" s="26">
        <f t="shared" si="82"/>
        <v>5.3403225636353691</v>
      </c>
      <c r="P61" s="26">
        <f t="shared" si="83"/>
        <v>20.716671416209113</v>
      </c>
      <c r="Q61" s="26">
        <f t="shared" si="84"/>
        <v>15.376348852573743</v>
      </c>
      <c r="R61" s="26">
        <f>LN(Q50/Q38)/$B$1</f>
        <v>6.6365590730384186E-2</v>
      </c>
      <c r="S61" s="10"/>
      <c r="T61" s="10"/>
      <c r="V61" s="26">
        <f>LN(Q53/Q39)/$B$1</f>
        <v>-0.52240060544277267</v>
      </c>
      <c r="W61" s="10"/>
      <c r="X61" s="10"/>
      <c r="Z61" s="26">
        <f>LN(Q56/Q40)/$B$1</f>
        <v>-8.086233441425518E-2</v>
      </c>
      <c r="AA61" s="10"/>
      <c r="AB61" s="10"/>
    </row>
    <row r="62" spans="1:28" x14ac:dyDescent="0.2">
      <c r="A62" s="5" t="s">
        <v>420</v>
      </c>
      <c r="B62" s="10">
        <v>70</v>
      </c>
      <c r="C62" s="31">
        <f>1-0.22-0.025</f>
        <v>0.755</v>
      </c>
      <c r="D62" s="12">
        <f t="shared" si="81"/>
        <v>109886.09271523179</v>
      </c>
      <c r="E62" s="12">
        <f t="shared" si="81"/>
        <v>9817.2185430463578</v>
      </c>
      <c r="F62" s="12">
        <f t="shared" si="81"/>
        <v>800</v>
      </c>
      <c r="G62" s="12">
        <f t="shared" si="81"/>
        <v>164.23841059602648</v>
      </c>
      <c r="H62" s="5">
        <v>82964</v>
      </c>
      <c r="I62" s="5">
        <v>7412</v>
      </c>
      <c r="J62" s="5">
        <v>604</v>
      </c>
      <c r="K62" s="5">
        <v>124</v>
      </c>
      <c r="L62" s="26">
        <f t="shared" si="82"/>
        <v>13.392249489207613</v>
      </c>
      <c r="M62" s="26">
        <f t="shared" si="82"/>
        <v>1.7088339290239509</v>
      </c>
      <c r="N62" s="26">
        <f t="shared" si="82"/>
        <v>1.1715052733995284</v>
      </c>
      <c r="O62" s="26">
        <f t="shared" si="82"/>
        <v>10.006127260970711</v>
      </c>
      <c r="P62" s="26">
        <f t="shared" si="83"/>
        <v>26.278715952601804</v>
      </c>
      <c r="Q62" s="26">
        <f t="shared" si="84"/>
        <v>16.272588691631093</v>
      </c>
    </row>
    <row r="63" spans="1:28" x14ac:dyDescent="0.2">
      <c r="A63" s="5" t="s">
        <v>421</v>
      </c>
      <c r="B63" s="10">
        <v>90</v>
      </c>
      <c r="C63" s="31">
        <f>1-0.22-0.025</f>
        <v>0.755</v>
      </c>
      <c r="D63" s="12">
        <f t="shared" si="81"/>
        <v>18705.960264900663</v>
      </c>
      <c r="E63" s="12">
        <f t="shared" si="81"/>
        <v>2562.9139072847684</v>
      </c>
      <c r="F63" s="12">
        <f t="shared" si="81"/>
        <v>1088.7417218543046</v>
      </c>
      <c r="G63" s="12">
        <f t="shared" si="81"/>
        <v>38.410596026490069</v>
      </c>
      <c r="H63" s="5">
        <v>14123</v>
      </c>
      <c r="I63" s="5">
        <v>1935</v>
      </c>
      <c r="J63" s="5">
        <v>822</v>
      </c>
      <c r="K63" s="5">
        <v>29</v>
      </c>
      <c r="L63" s="26">
        <f t="shared" si="82"/>
        <v>2.331558059048247</v>
      </c>
      <c r="M63" s="26">
        <f t="shared" si="82"/>
        <v>0.36875804631902709</v>
      </c>
      <c r="N63" s="26">
        <f t="shared" si="82"/>
        <v>0.57473032629219989</v>
      </c>
      <c r="O63" s="26">
        <f t="shared" si="82"/>
        <v>0.86512593449846875</v>
      </c>
      <c r="P63" s="26">
        <f t="shared" si="83"/>
        <v>4.1401723661579428</v>
      </c>
      <c r="Q63" s="26">
        <f t="shared" si="84"/>
        <v>3.2750464316594741</v>
      </c>
    </row>
    <row r="64" spans="1:28" x14ac:dyDescent="0.2">
      <c r="A64" s="5" t="s">
        <v>422</v>
      </c>
      <c r="B64" s="10">
        <v>90</v>
      </c>
      <c r="C64" s="31">
        <f>1-0.18-0.025</f>
        <v>0.79500000000000004</v>
      </c>
      <c r="D64" s="12">
        <f t="shared" si="81"/>
        <v>50289.308176100625</v>
      </c>
      <c r="E64" s="12">
        <f t="shared" si="81"/>
        <v>7418.867924528302</v>
      </c>
      <c r="F64" s="12">
        <f t="shared" si="81"/>
        <v>3358.4905660377358</v>
      </c>
      <c r="G64" s="12">
        <f t="shared" si="81"/>
        <v>106.91823899371069</v>
      </c>
      <c r="H64" s="5">
        <v>39980</v>
      </c>
      <c r="I64" s="5">
        <v>5898</v>
      </c>
      <c r="J64" s="5">
        <v>2670</v>
      </c>
      <c r="K64" s="5">
        <v>85</v>
      </c>
      <c r="L64" s="26">
        <f t="shared" si="82"/>
        <v>6.2995481618295086</v>
      </c>
      <c r="M64" s="26">
        <f t="shared" si="82"/>
        <v>1.0318023232951896</v>
      </c>
      <c r="N64" s="26">
        <f t="shared" si="82"/>
        <v>1.604600940192467</v>
      </c>
      <c r="O64" s="26">
        <f t="shared" si="82"/>
        <v>3.7886507045081386</v>
      </c>
      <c r="P64" s="26">
        <f t="shared" si="83"/>
        <v>12.724602129825303</v>
      </c>
      <c r="Q64" s="26">
        <f t="shared" si="84"/>
        <v>8.9359514253171657</v>
      </c>
      <c r="R64" s="6" t="s">
        <v>555</v>
      </c>
      <c r="S64" s="6" t="s">
        <v>555</v>
      </c>
      <c r="T64" s="6" t="s">
        <v>555</v>
      </c>
      <c r="V64" s="6" t="s">
        <v>556</v>
      </c>
      <c r="W64" s="6" t="s">
        <v>556</v>
      </c>
      <c r="X64" s="6" t="s">
        <v>556</v>
      </c>
      <c r="Z64" s="6" t="s">
        <v>558</v>
      </c>
      <c r="AA64" s="6" t="s">
        <v>557</v>
      </c>
      <c r="AB64" s="6" t="s">
        <v>557</v>
      </c>
    </row>
    <row r="65" spans="1:28" x14ac:dyDescent="0.2">
      <c r="A65" s="5" t="s">
        <v>423</v>
      </c>
      <c r="B65" s="10">
        <v>90</v>
      </c>
      <c r="C65" s="31">
        <f>1-0.2-0.025</f>
        <v>0.77500000000000002</v>
      </c>
      <c r="D65" s="12">
        <f t="shared" si="81"/>
        <v>50350.967741935485</v>
      </c>
      <c r="E65" s="12">
        <f t="shared" si="81"/>
        <v>7335.4838709677415</v>
      </c>
      <c r="F65" s="12">
        <f t="shared" si="81"/>
        <v>3358.7096774193546</v>
      </c>
      <c r="G65" s="12">
        <f>K65/$C65</f>
        <v>101.93548387096774</v>
      </c>
      <c r="H65" s="5">
        <v>39022</v>
      </c>
      <c r="I65" s="5">
        <v>5685</v>
      </c>
      <c r="J65" s="5">
        <v>2603</v>
      </c>
      <c r="K65" s="5">
        <v>79</v>
      </c>
      <c r="L65" s="26">
        <f>W31*D65*1000/1000000</f>
        <v>6.279759902310432</v>
      </c>
      <c r="M65" s="26">
        <f t="shared" ref="M65:N65" si="85">X31*E65*1000/1000000</f>
        <v>1.0245019792512062</v>
      </c>
      <c r="N65" s="26">
        <f t="shared" si="85"/>
        <v>1.5832450362457891</v>
      </c>
      <c r="O65" s="26">
        <f>Z31*G65*1000/1000000</f>
        <v>2.0911711906253059</v>
      </c>
      <c r="P65" s="26">
        <f t="shared" si="83"/>
        <v>10.978678108432732</v>
      </c>
      <c r="Q65" s="26">
        <f t="shared" si="84"/>
        <v>8.8875069178074266</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0.19707939963839252</v>
      </c>
      <c r="S66" s="26">
        <f>(R66-R67)/(1-0.25)</f>
        <v>0.19733177663225951</v>
      </c>
      <c r="T66" s="26">
        <f>S66+R68</f>
        <v>0.47172994690853121</v>
      </c>
      <c r="V66" s="26">
        <f>(LN(L60/(L42*0.25)))/$B$1</f>
        <v>0.13814423240995929</v>
      </c>
      <c r="W66" s="26">
        <f>(V66-V67)/(1-0.25)</f>
        <v>0.19301196984830826</v>
      </c>
      <c r="X66" s="26">
        <f>W66+V68</f>
        <v>0.24209972392857421</v>
      </c>
      <c r="Z66" s="26">
        <f>(LN(L63/(L43*0.25)))/$B$1</f>
        <v>0.12028366015728077</v>
      </c>
      <c r="AA66" s="26">
        <f>(Z66-Z67)/(1-0.25)</f>
        <v>0.5030169097567424</v>
      </c>
      <c r="AB66" s="26">
        <f>AA66+Z68</f>
        <v>0.24301273101197629</v>
      </c>
    </row>
    <row r="67" spans="1:28" x14ac:dyDescent="0.2">
      <c r="M67" s="12"/>
      <c r="N67" s="12"/>
      <c r="R67" s="26">
        <f>(LN(L58/L41))/$B$1</f>
        <v>4.908056716419789E-2</v>
      </c>
      <c r="V67" s="26">
        <f>(LN(L61/L42))/$B$1</f>
        <v>-6.6147449762719119E-3</v>
      </c>
      <c r="Z67" s="26">
        <f>(LN(L64/L43))/$B$1</f>
        <v>-0.25697902216027607</v>
      </c>
    </row>
    <row r="68" spans="1:28" x14ac:dyDescent="0.2">
      <c r="M68" s="12"/>
      <c r="N68" s="12"/>
      <c r="R68" s="26">
        <f>LN(L59/L41)/$B$1</f>
        <v>0.27439817027627167</v>
      </c>
      <c r="V68" s="26">
        <f>LN(L62/L42)/$B$1</f>
        <v>4.9087754080265951E-2</v>
      </c>
      <c r="Z68" s="26">
        <f>LN(L65/L43)/$B$1</f>
        <v>-0.26000417874476611</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0.1825128655743268</v>
      </c>
      <c r="S71" s="26">
        <f>(R71-R72)/(1-0.25)</f>
        <v>0.24819903780059352</v>
      </c>
      <c r="T71" s="26">
        <f>S71+R73</f>
        <v>0.31680963742430845</v>
      </c>
      <c r="V71" s="26">
        <f>(LN(M60/(M42*0.25)))/$B$1</f>
        <v>9.6262564647138796E-2</v>
      </c>
      <c r="W71" s="26">
        <f>(V71-V72)/(1-0.25)</f>
        <v>0.22143030671456973</v>
      </c>
      <c r="X71" s="26">
        <f>W71+V73</f>
        <v>0.19260424913788679</v>
      </c>
      <c r="Z71" s="26">
        <f>(LN(M63/(M43*0.25)))/$B$1</f>
        <v>0.34478380968694983</v>
      </c>
      <c r="AA71" s="26">
        <f>(Z71-Z72)/(1-0.25)</f>
        <v>0.45817013918283789</v>
      </c>
      <c r="AB71" s="26">
        <f>AA71+Z73</f>
        <v>0.45249895899886783</v>
      </c>
    </row>
    <row r="72" spans="1:28" x14ac:dyDescent="0.2">
      <c r="M72" s="12"/>
      <c r="N72" s="12"/>
      <c r="R72" s="26">
        <f>(LN(M58/M41))/$B$1</f>
        <v>-3.6364127761183314E-3</v>
      </c>
      <c r="V72" s="26">
        <f>(LN(M61/M42))/$B$1</f>
        <v>-6.9810165388788495E-2</v>
      </c>
      <c r="Z72" s="26">
        <f>(LN(M64/M43))/$B$1</f>
        <v>1.1562052998214181E-3</v>
      </c>
    </row>
    <row r="73" spans="1:28" x14ac:dyDescent="0.2">
      <c r="M73" s="12"/>
      <c r="N73" s="12"/>
      <c r="R73" s="26">
        <f>LN(M59/M41)/$B$1</f>
        <v>6.8610599623714935E-2</v>
      </c>
      <c r="V73" s="26">
        <f>LN(M62/M42)/$B$1</f>
        <v>-2.882605757668295E-2</v>
      </c>
      <c r="Z73" s="26">
        <f>LN(M65/M43)/$B$1</f>
        <v>-5.6711801839700463E-3</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-0.16158612383407692</v>
      </c>
      <c r="S76" s="26">
        <f>(R76-R77)/(1-0.25)</f>
        <v>0.39096106387790713</v>
      </c>
      <c r="T76" s="26">
        <f>S76+R78</f>
        <v>-0.85245261862059785</v>
      </c>
      <c r="V76" s="26">
        <f>(LN(N60/(N42*0.25)))/$B$1</f>
        <v>-0.5646499493299344</v>
      </c>
      <c r="W76" s="26">
        <f>(V76-V77)/(1-0.25)</f>
        <v>0.24575134435702983</v>
      </c>
      <c r="X76" s="26">
        <f>W76+V78</f>
        <v>-0.4429594953356667</v>
      </c>
      <c r="Z76" s="26">
        <f>(LN(N63/(N43*0.25)))/$B$1</f>
        <v>8.0453205704699271E-2</v>
      </c>
      <c r="AA76" s="26">
        <f>(Z76-Z77)/(1-0.25)</f>
        <v>0.46098067294306372</v>
      </c>
      <c r="AB76" s="26">
        <f>AA76+Z78</f>
        <v>0.18281517294897087</v>
      </c>
    </row>
    <row r="77" spans="1:28" x14ac:dyDescent="0.2">
      <c r="M77" s="12"/>
      <c r="N77" s="12"/>
      <c r="R77" s="26">
        <f>(LN(N58/N41))/$B$1</f>
        <v>-0.45480692174250731</v>
      </c>
      <c r="V77" s="26">
        <f>(LN(N61/N42))/$B$1</f>
        <v>-0.74896345759770677</v>
      </c>
      <c r="Z77" s="26">
        <f>(LN(N64/N43))/$B$1</f>
        <v>-0.26528229900259853</v>
      </c>
    </row>
    <row r="78" spans="1:28" x14ac:dyDescent="0.2">
      <c r="M78" s="12"/>
      <c r="N78" s="12"/>
      <c r="R78" s="26">
        <f>LN(N59/N41)/$B$1</f>
        <v>-1.2434136824985049</v>
      </c>
      <c r="V78" s="26">
        <f>LN(N62/N42)/$B$1</f>
        <v>-0.68871083969269653</v>
      </c>
      <c r="Z78" s="26">
        <f>LN(N65/N43)/$B$1</f>
        <v>-0.27816549999409285</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0.42357979122575007</v>
      </c>
      <c r="S81" s="26">
        <f>(R81-R82)/(1-0.25)</f>
        <v>0.66551115181818943</v>
      </c>
      <c r="T81" s="26">
        <f>S81+R83</f>
        <v>-4.1518212594816695E-2</v>
      </c>
      <c r="V81" s="26">
        <f>(LN(O60/(O42*0.25)))/$B$1</f>
        <v>0.26835741946061065</v>
      </c>
      <c r="W81" s="26">
        <f>(V81-V82)/(1-0.25)</f>
        <v>1.2438957320593136</v>
      </c>
      <c r="X81" s="26">
        <f>W81+V83</f>
        <v>1.18309248240638</v>
      </c>
      <c r="Z81" s="26">
        <f>(LN(O63/(O43*0.25)))/$B$1</f>
        <v>-6.9081237789236999E-2</v>
      </c>
      <c r="AA81" s="26">
        <f>(Z81-Z82)/(1-0.25)</f>
        <v>-0.11614842766188943</v>
      </c>
      <c r="AB81" s="26">
        <f>AA81+Z83</f>
        <v>-0.66954685792717727</v>
      </c>
    </row>
    <row r="82" spans="13:28" x14ac:dyDescent="0.2">
      <c r="M82" s="12"/>
      <c r="N82" s="12"/>
      <c r="R82" s="26">
        <f>(LN(O58/O41))/$B$1</f>
        <v>-7.5553572637891975E-2</v>
      </c>
      <c r="V82" s="26">
        <f>(LN(O61/O42))/$B$1</f>
        <v>-0.6645643795838746</v>
      </c>
      <c r="Z82" s="26">
        <f>(LN(O64/O43))/$B$1</f>
        <v>1.8030082957180078E-2</v>
      </c>
    </row>
    <row r="83" spans="13:28" x14ac:dyDescent="0.2">
      <c r="M83" s="12"/>
      <c r="N83" s="12"/>
      <c r="R83" s="26">
        <f>LN(O59/O41)/$B$1</f>
        <v>-0.70702936441300612</v>
      </c>
      <c r="V83" s="26">
        <f>LN(O62/O42)/$B$1</f>
        <v>-6.0803249652933614E-2</v>
      </c>
      <c r="Z83" s="26">
        <f>LN(O65/O43)/$B$1</f>
        <v>-0.55339843026528779</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0.11434889138190953</v>
      </c>
      <c r="S87" s="26">
        <f>(R87-R88)/(1-0.25)</f>
        <v>0.2364854693576964</v>
      </c>
      <c r="T87" s="26">
        <f>S87+R89</f>
        <v>0.2725784364653267</v>
      </c>
      <c r="V87" s="26">
        <f>(LN(Q60/(Q42*0.25)))/$B$1</f>
        <v>5.9971621187656518E-2</v>
      </c>
      <c r="W87" s="26">
        <f>(V87-V88)/(1-0.25)</f>
        <v>0.19990643425213062</v>
      </c>
      <c r="X87" s="26">
        <f>W87+V89</f>
        <v>0.16442080355469516</v>
      </c>
      <c r="Z87" s="26">
        <f>(LN(Q63/(Q43*0.25)))/$B$1</f>
        <v>0.13581568842743894</v>
      </c>
      <c r="AA87" s="26">
        <f>(Z87-Z88)/(1-0.25)</f>
        <v>0.49044074590036218</v>
      </c>
      <c r="AB87" s="26">
        <f>AA87+Z89</f>
        <v>0.25319890143497614</v>
      </c>
    </row>
    <row r="88" spans="13:28" x14ac:dyDescent="0.2">
      <c r="M88" s="12"/>
      <c r="N88" s="12"/>
      <c r="R88" s="26">
        <f>(LN(Q58/Q41))/$B$1</f>
        <v>-6.301521063636277E-2</v>
      </c>
      <c r="S88" s="10"/>
      <c r="T88" s="10"/>
      <c r="V88" s="26">
        <f>(LN(Q61/Q42))/$B$1</f>
        <v>-8.9958204501441458E-2</v>
      </c>
      <c r="W88" s="10"/>
      <c r="X88" s="10"/>
      <c r="Z88" s="26">
        <f>(LN(Q64/Q43))/$B$1</f>
        <v>-0.23201487099783275</v>
      </c>
      <c r="AA88" s="10"/>
      <c r="AB88" s="10"/>
    </row>
    <row r="89" spans="13:28" x14ac:dyDescent="0.2">
      <c r="M89" s="12"/>
      <c r="N89" s="12"/>
      <c r="R89" s="26">
        <f>LN(Q59/Q41)/$B$1</f>
        <v>3.609296710763029E-2</v>
      </c>
      <c r="S89" s="10"/>
      <c r="T89" s="10"/>
      <c r="V89" s="26">
        <f>LN(Q62/Q42)/$B$1</f>
        <v>-3.5485630697435468E-2</v>
      </c>
      <c r="W89" s="10"/>
      <c r="X89" s="10"/>
      <c r="Z89" s="26">
        <f>LN(Q65/Q43)/$B$1</f>
        <v>-0.23724184446538604</v>
      </c>
      <c r="AA89" s="10"/>
      <c r="AB89"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Z89"/>
  <sheetViews>
    <sheetView topLeftCell="I1" workbookViewId="0">
      <selection activeCell="B3" sqref="B3"/>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584</v>
      </c>
      <c r="B1" s="4">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424</v>
      </c>
      <c r="B4" s="10">
        <v>5</v>
      </c>
      <c r="C4" s="5">
        <v>25464</v>
      </c>
      <c r="D4" s="5">
        <v>2823</v>
      </c>
      <c r="E4" s="5">
        <v>1040</v>
      </c>
      <c r="F4" s="5">
        <v>197</v>
      </c>
      <c r="G4" s="5">
        <v>3144</v>
      </c>
      <c r="H4" s="5">
        <v>16483</v>
      </c>
      <c r="I4" s="7">
        <v>168600</v>
      </c>
      <c r="J4" s="7">
        <v>287300</v>
      </c>
      <c r="K4" s="5">
        <v>4071</v>
      </c>
      <c r="L4" s="5">
        <v>52978</v>
      </c>
      <c r="M4" s="7">
        <v>445400</v>
      </c>
      <c r="N4" s="7">
        <v>2431000</v>
      </c>
      <c r="O4" s="8">
        <f>(224333+K4)/235871</f>
        <v>0.96834286537980507</v>
      </c>
      <c r="P4" s="8">
        <f>(224333+L4)/235871</f>
        <v>1.1756892538718198</v>
      </c>
      <c r="Q4" s="8">
        <f t="shared" ref="Q4:R9" si="0">(224333+M4)/235871</f>
        <v>2.8394037418758558</v>
      </c>
      <c r="R4" s="8">
        <f t="shared" si="0"/>
        <v>11.257564516197412</v>
      </c>
      <c r="S4" s="8">
        <f>4/3*3.14*((O4/2)^3)</f>
        <v>0.47518844217642792</v>
      </c>
      <c r="T4" s="8">
        <f t="shared" ref="T4:V9" si="1">4/3*3.14*((P4/2)^3)</f>
        <v>0.85046421324411814</v>
      </c>
      <c r="U4" s="8">
        <f t="shared" si="1"/>
        <v>11.980083599909054</v>
      </c>
      <c r="V4" s="8">
        <f>4/3*3.14*((R4/2)^3)</f>
        <v>746.64082266596927</v>
      </c>
      <c r="W4" s="8">
        <f>(S4*265)/1000</f>
        <v>0.1259249371767534</v>
      </c>
      <c r="X4" s="8">
        <f>(10^(-0.665+LOG(T4, 10)*0.959))</f>
        <v>0.18515700439305111</v>
      </c>
      <c r="Y4" s="8">
        <f>(10^(-0.665+LOG(U4, 10)*0.959))</f>
        <v>2.3401462225872116</v>
      </c>
      <c r="Z4" s="8">
        <f>(10^(-0.665+LOG(V4, 10)*0.959))</f>
        <v>123.11590174113198</v>
      </c>
      <c r="AA4" s="8">
        <f>W4*C4</f>
        <v>3206.5526002688489</v>
      </c>
      <c r="AB4" s="8">
        <f>X4*D4</f>
        <v>522.69822340158328</v>
      </c>
      <c r="AC4" s="8">
        <f t="shared" ref="AC4:AD9" si="2">Y4*E4</f>
        <v>2433.7520714907</v>
      </c>
      <c r="AD4" s="8">
        <f>Z4*F4</f>
        <v>24253.832643002999</v>
      </c>
      <c r="AE4" s="8">
        <f>AA4/(AA4+AB4+AC4+AD4)</f>
        <v>0.10542032211883363</v>
      </c>
      <c r="AF4" s="8">
        <f>AB4/(AA4+AB4+AC4+AD4)</f>
        <v>1.7184503718204073E-2</v>
      </c>
      <c r="AG4" s="8">
        <f>AC4/(AA4+AB4+AC4+AD4)</f>
        <v>8.0013322504803669E-2</v>
      </c>
      <c r="AH4" s="8">
        <f>AD4/(AA4+AB4+AC4+AD4)</f>
        <v>0.79738185165815867</v>
      </c>
      <c r="AI4" s="8">
        <f>LN((AVERAGE(G14:G16))/G4)/1.125</f>
        <v>0.34091292327066225</v>
      </c>
      <c r="AJ4" s="8">
        <f>LN((AVERAGE(H14:H16))/H4)/1.125</f>
        <v>9.2871497128326277E-2</v>
      </c>
      <c r="AK4" s="8">
        <f>LN((AVERAGE(I14:I16))/I4)/1.125</f>
        <v>0.16006966034433254</v>
      </c>
      <c r="AL4" s="8">
        <f>LN((AVERAGE(J14:J16))/J4)/1.125</f>
        <v>6.5760199228852801E-3</v>
      </c>
      <c r="AM4" s="15">
        <f>(AI4*AE4)+(AJ4*AF4)+(AG4*AK4)+(AH4*AL4)</f>
        <v>5.5586405072400001E-2</v>
      </c>
      <c r="AN4" s="10">
        <v>5</v>
      </c>
      <c r="AO4" s="50">
        <f>H4/L4</f>
        <v>0.3111291479482049</v>
      </c>
      <c r="AP4" s="50">
        <f>I4/M4</f>
        <v>0.37853614728334084</v>
      </c>
      <c r="AQ4" s="50">
        <f>LN((AVERAGE(AO14:AO16))/AO4)/1.125</f>
        <v>6.494180425708404E-2</v>
      </c>
      <c r="AR4" s="50">
        <f>LN((AVERAGE(AP14:AP16))/AP4)/1.125</f>
        <v>-0.21615427907604987</v>
      </c>
      <c r="AS4" s="8">
        <f>AB4/(AB4+AC4)</f>
        <v>0.17679925967455765</v>
      </c>
      <c r="AT4" s="8">
        <f>AC4/(AC4+AB4)</f>
        <v>0.82320074032544244</v>
      </c>
      <c r="AU4" s="50">
        <f>(AQ4*AS4)+(AR4*AT4)</f>
        <v>-0.16645669964533405</v>
      </c>
      <c r="AV4" s="46">
        <f>H4</f>
        <v>16483</v>
      </c>
      <c r="AW4" s="46">
        <f t="shared" ref="AW4:AW11" si="3">I4</f>
        <v>168600</v>
      </c>
      <c r="AX4" s="48">
        <f>LN((AVERAGE(AV14:AV16))/AV4)/1.125</f>
        <v>9.2871497128326277E-2</v>
      </c>
      <c r="AY4" s="48">
        <f>LN((AVERAGE(AW14:AW16))/AW4)/1.125</f>
        <v>0.16006966034433254</v>
      </c>
      <c r="AZ4" s="48">
        <f t="shared" ref="AZ4:AZ9" si="4">(AX4*AS4)+(AY4*AT4)</f>
        <v>0.14818907483625254</v>
      </c>
    </row>
    <row r="5" spans="1:52" x14ac:dyDescent="0.2">
      <c r="A5" s="5" t="s">
        <v>425</v>
      </c>
      <c r="B5" s="10">
        <v>12</v>
      </c>
      <c r="C5" s="5">
        <v>24257</v>
      </c>
      <c r="D5" s="5">
        <v>2888</v>
      </c>
      <c r="E5" s="5">
        <v>1318</v>
      </c>
      <c r="F5" s="5">
        <v>247</v>
      </c>
      <c r="G5" s="5">
        <v>3262</v>
      </c>
      <c r="H5" s="5">
        <v>16837</v>
      </c>
      <c r="I5" s="7">
        <v>179200</v>
      </c>
      <c r="J5" s="7">
        <v>294100</v>
      </c>
      <c r="K5" s="5">
        <v>6385</v>
      </c>
      <c r="L5" s="5">
        <v>54666</v>
      </c>
      <c r="M5" s="7">
        <v>626700</v>
      </c>
      <c r="N5" s="7">
        <v>2831000</v>
      </c>
      <c r="O5" s="8">
        <f t="shared" ref="O5:P9" si="5">(224333+K5)/235871</f>
        <v>0.97815331261579419</v>
      </c>
      <c r="P5" s="8">
        <f t="shared" si="5"/>
        <v>1.1828457080353243</v>
      </c>
      <c r="Q5" s="8">
        <f t="shared" si="0"/>
        <v>3.6080442275650673</v>
      </c>
      <c r="R5" s="8">
        <f t="shared" si="0"/>
        <v>12.953406735037372</v>
      </c>
      <c r="S5" s="8">
        <f t="shared" ref="S5:S9" si="6">4/3*3.14*((O5/2)^3)</f>
        <v>0.48977790344299016</v>
      </c>
      <c r="T5" s="8">
        <f t="shared" si="1"/>
        <v>0.86608933912200936</v>
      </c>
      <c r="U5" s="8">
        <f t="shared" si="1"/>
        <v>24.580683518170119</v>
      </c>
      <c r="V5" s="8">
        <f t="shared" si="1"/>
        <v>1137.4449981342575</v>
      </c>
      <c r="W5" s="8">
        <f t="shared" ref="W5:W9" si="7">(S5*265)/1000</f>
        <v>0.1297911444123924</v>
      </c>
      <c r="X5" s="8">
        <f t="shared" ref="X5:Z9" si="8">(10^(-0.665+LOG(T5, 10)*0.959))</f>
        <v>0.18841810101152459</v>
      </c>
      <c r="Y5" s="8">
        <f t="shared" si="8"/>
        <v>4.6620787270124984</v>
      </c>
      <c r="Z5" s="8">
        <f t="shared" si="8"/>
        <v>184.34750266345455</v>
      </c>
      <c r="AA5" s="8">
        <f t="shared" ref="AA5:AB9" si="9">W5*C5</f>
        <v>3148.3437900114022</v>
      </c>
      <c r="AB5" s="8">
        <f t="shared" si="9"/>
        <v>544.15147572128296</v>
      </c>
      <c r="AC5" s="8">
        <f t="shared" si="2"/>
        <v>6144.6197622024729</v>
      </c>
      <c r="AD5" s="8">
        <f t="shared" si="2"/>
        <v>45533.833157873276</v>
      </c>
      <c r="AE5" s="8">
        <f t="shared" ref="AE5:AE9" si="10">AA5/(AA5+AB5+AC5+AD5)</f>
        <v>5.6859127270974245E-2</v>
      </c>
      <c r="AF5" s="8">
        <f t="shared" ref="AF5:AF9" si="11">AB5/(AA5+AB5+AC5+AD5)</f>
        <v>9.8273822925204826E-3</v>
      </c>
      <c r="AG5" s="8">
        <f t="shared" ref="AG5:AG9" si="12">AC5/(AA5+AB5+AC5+AD5)</f>
        <v>0.11097190789623029</v>
      </c>
      <c r="AH5" s="8">
        <f t="shared" ref="AH5:AH9" si="13">AD5/(AA5+AB5+AC5+AD5)</f>
        <v>0.82234158254027501</v>
      </c>
      <c r="AI5" s="8">
        <f>LN((AVERAGE(G17:G19))/G5)/1.125</f>
        <v>0.34889418974725256</v>
      </c>
      <c r="AJ5" s="8">
        <f>LN((AVERAGE(H17:H19))/H5)/1.125</f>
        <v>8.4798547135211871E-2</v>
      </c>
      <c r="AK5" s="8">
        <f>LN((AVERAGE(I17:I19))/I5)/1.125</f>
        <v>0.10733760537381409</v>
      </c>
      <c r="AL5" s="8">
        <f>LN((AVERAGE(J17:J19))/J5)/1.125</f>
        <v>-7.1819578314153976E-3</v>
      </c>
      <c r="AM5" s="15">
        <f t="shared" ref="AM5:AM9" si="14">(AI5*AE5)+(AJ5*AF5)+(AG5*AK5)+(AH5*AL5)</f>
        <v>2.6676603168011667E-2</v>
      </c>
      <c r="AN5" s="10">
        <v>12</v>
      </c>
      <c r="AO5" s="50">
        <f t="shared" ref="AO5:AO11" si="15">H5/L5</f>
        <v>0.30799765850803057</v>
      </c>
      <c r="AP5" s="50">
        <f t="shared" ref="AP5:AP11" si="16">I5/M5</f>
        <v>0.28594223711504707</v>
      </c>
      <c r="AQ5" s="50">
        <f>LN((AVERAGE(AO17:AO19))/AO5)/1.125</f>
        <v>9.0373275034069195E-2</v>
      </c>
      <c r="AR5" s="50">
        <f>LN((AVERAGE(AP17:AP19))/AP5)/1.125</f>
        <v>8.6717584597969369E-2</v>
      </c>
      <c r="AS5" s="8">
        <f t="shared" ref="AS5:AS9" si="17">AB5/(AB5+AC5)</f>
        <v>8.1352980445208292E-2</v>
      </c>
      <c r="AT5" s="8">
        <f t="shared" ref="AT5:AT9" si="18">AC5/(AC5+AB5)</f>
        <v>0.91864701955479178</v>
      </c>
      <c r="AU5" s="50">
        <f t="shared" ref="AU5:AU9" si="19">(AQ5*AS5)+(AR5*AT5)</f>
        <v>8.701498591053114E-2</v>
      </c>
      <c r="AV5" s="46">
        <f t="shared" ref="AV5:AV11" si="20">H5</f>
        <v>16837</v>
      </c>
      <c r="AW5" s="46">
        <f t="shared" si="3"/>
        <v>179200</v>
      </c>
      <c r="AX5" s="48">
        <f>LN((AVERAGE(AV17:AV19))/AV5)/1.125</f>
        <v>8.4798547135211871E-2</v>
      </c>
      <c r="AY5" s="48">
        <f>LN((AVERAGE(AW17:AW19))/AW5)/1.125</f>
        <v>0.10733760537381409</v>
      </c>
      <c r="AZ5" s="48">
        <f t="shared" si="4"/>
        <v>0.10550398580967568</v>
      </c>
    </row>
    <row r="6" spans="1:52" x14ac:dyDescent="0.2">
      <c r="A6" s="5" t="s">
        <v>426</v>
      </c>
      <c r="B6" s="10">
        <v>25</v>
      </c>
      <c r="C6" s="5">
        <v>72274</v>
      </c>
      <c r="D6" s="5">
        <v>5942</v>
      </c>
      <c r="E6" s="5">
        <v>1588</v>
      </c>
      <c r="F6" s="5">
        <v>218</v>
      </c>
      <c r="G6" s="5">
        <v>5094</v>
      </c>
      <c r="H6" s="5">
        <v>16003</v>
      </c>
      <c r="I6" s="7">
        <v>183100</v>
      </c>
      <c r="J6" s="7">
        <v>286100</v>
      </c>
      <c r="K6" s="5">
        <v>3083</v>
      </c>
      <c r="L6" s="5">
        <v>45646</v>
      </c>
      <c r="M6" s="7">
        <v>629000</v>
      </c>
      <c r="N6" s="7">
        <v>2396000</v>
      </c>
      <c r="O6" s="8">
        <f t="shared" si="5"/>
        <v>0.96415413509927039</v>
      </c>
      <c r="P6" s="8">
        <f t="shared" si="5"/>
        <v>1.1446044660004833</v>
      </c>
      <c r="Q6" s="8">
        <f t="shared" si="0"/>
        <v>3.6177953203233972</v>
      </c>
      <c r="R6" s="8">
        <f t="shared" si="0"/>
        <v>11.109178322048917</v>
      </c>
      <c r="S6" s="8">
        <f t="shared" si="6"/>
        <v>0.46904855494794795</v>
      </c>
      <c r="T6" s="8">
        <f t="shared" si="1"/>
        <v>0.78477418033159763</v>
      </c>
      <c r="U6" s="8">
        <f t="shared" si="1"/>
        <v>24.780517729027633</v>
      </c>
      <c r="V6" s="8">
        <f t="shared" si="1"/>
        <v>717.50381034657255</v>
      </c>
      <c r="W6" s="8">
        <f t="shared" si="7"/>
        <v>0.1242978670612062</v>
      </c>
      <c r="X6" s="8">
        <f t="shared" si="8"/>
        <v>0.17141947988298603</v>
      </c>
      <c r="Y6" s="8">
        <f t="shared" si="8"/>
        <v>4.6984201486904515</v>
      </c>
      <c r="Z6" s="8">
        <f t="shared" si="8"/>
        <v>118.50465740275691</v>
      </c>
      <c r="AA6" s="8">
        <f t="shared" si="9"/>
        <v>8983.5040439816166</v>
      </c>
      <c r="AB6" s="8">
        <f t="shared" si="9"/>
        <v>1018.574549464703</v>
      </c>
      <c r="AC6" s="8">
        <f t="shared" si="2"/>
        <v>7461.0911961204374</v>
      </c>
      <c r="AD6" s="8">
        <f t="shared" si="2"/>
        <v>25834.015313801006</v>
      </c>
      <c r="AE6" s="8">
        <f t="shared" si="10"/>
        <v>0.20748471344117142</v>
      </c>
      <c r="AF6" s="8">
        <f t="shared" si="11"/>
        <v>2.35251910033633E-2</v>
      </c>
      <c r="AG6" s="8">
        <f t="shared" si="12"/>
        <v>0.17232277752717218</v>
      </c>
      <c r="AH6" s="8">
        <f t="shared" si="13"/>
        <v>0.59666731802829298</v>
      </c>
      <c r="AI6" s="8">
        <f>LN((AVERAGE(G20:G22))/G6)/1.125</f>
        <v>0.2010678204641661</v>
      </c>
      <c r="AJ6" s="8">
        <f>LN((AVERAGE(H20:H22))/H6)/1.125</f>
        <v>6.8363182631473202E-2</v>
      </c>
      <c r="AK6" s="8">
        <f>LN((AVERAGE(I20:I22))/I6)/1.125</f>
        <v>5.7792255936193242E-2</v>
      </c>
      <c r="AL6" s="8">
        <f>LN((AVERAGE(J20:J22))/J6)/1.125</f>
        <v>-4.5685313872123202E-3</v>
      </c>
      <c r="AM6" s="15">
        <f t="shared" si="14"/>
        <v>5.0559784732601594E-2</v>
      </c>
      <c r="AN6" s="10">
        <v>25</v>
      </c>
      <c r="AO6" s="50">
        <f t="shared" si="15"/>
        <v>0.35058931779345398</v>
      </c>
      <c r="AP6" s="50">
        <f t="shared" si="16"/>
        <v>0.29109697933227346</v>
      </c>
      <c r="AQ6" s="50">
        <f>LN((AVERAGE(AO20:AO22))/AO6)/1.125</f>
        <v>0.11699301104756057</v>
      </c>
      <c r="AR6" s="50">
        <f>LN((AVERAGE(AP20:AP22))/AP6)/1.125</f>
        <v>0.16959095713654621</v>
      </c>
      <c r="AS6" s="8">
        <f t="shared" si="17"/>
        <v>0.12011965801777204</v>
      </c>
      <c r="AT6" s="8">
        <f t="shared" si="18"/>
        <v>0.87988034198222798</v>
      </c>
      <c r="AU6" s="50">
        <f t="shared" si="19"/>
        <v>0.16327290983990006</v>
      </c>
      <c r="AV6" s="46">
        <f t="shared" si="20"/>
        <v>16003</v>
      </c>
      <c r="AW6" s="46">
        <f t="shared" si="3"/>
        <v>183100</v>
      </c>
      <c r="AX6" s="48">
        <f>LN((AVERAGE(AV20:AV22))/AV6)/1.125</f>
        <v>6.8363182631473202E-2</v>
      </c>
      <c r="AY6" s="48">
        <f>LN((AVERAGE(AW20:AW22))/AW6)/1.125</f>
        <v>5.7792255936193242E-2</v>
      </c>
      <c r="AZ6" s="48">
        <f t="shared" si="4"/>
        <v>5.9062032035761207E-2</v>
      </c>
    </row>
    <row r="7" spans="1:52" x14ac:dyDescent="0.2">
      <c r="A7" s="5" t="s">
        <v>427</v>
      </c>
      <c r="B7" s="10">
        <v>45</v>
      </c>
      <c r="C7" s="5">
        <v>97129</v>
      </c>
      <c r="D7" s="5">
        <v>6883</v>
      </c>
      <c r="E7" s="5">
        <v>1069</v>
      </c>
      <c r="F7" s="5">
        <v>168</v>
      </c>
      <c r="G7" s="5">
        <v>6289</v>
      </c>
      <c r="H7" s="5">
        <v>21634</v>
      </c>
      <c r="I7" s="7">
        <v>219900</v>
      </c>
      <c r="J7" s="7">
        <v>293200</v>
      </c>
      <c r="K7" s="5">
        <v>1348</v>
      </c>
      <c r="L7" s="5">
        <v>42102</v>
      </c>
      <c r="M7" s="7">
        <v>542200</v>
      </c>
      <c r="N7" s="7">
        <v>2614000</v>
      </c>
      <c r="O7" s="8">
        <f t="shared" si="5"/>
        <v>0.95679841947505206</v>
      </c>
      <c r="P7" s="8">
        <f t="shared" si="5"/>
        <v>1.1295793039415614</v>
      </c>
      <c r="Q7" s="8">
        <f t="shared" si="0"/>
        <v>3.2497975588351258</v>
      </c>
      <c r="R7" s="8">
        <f t="shared" si="0"/>
        <v>12.033412331316693</v>
      </c>
      <c r="S7" s="8">
        <f t="shared" si="6"/>
        <v>0.45839486652311268</v>
      </c>
      <c r="T7" s="8">
        <f t="shared" si="1"/>
        <v>0.75427302734577539</v>
      </c>
      <c r="U7" s="8">
        <f t="shared" si="1"/>
        <v>17.961695185299561</v>
      </c>
      <c r="V7" s="8">
        <f t="shared" si="1"/>
        <v>911.89491205730326</v>
      </c>
      <c r="W7" s="8">
        <f t="shared" si="7"/>
        <v>0.12147463962862486</v>
      </c>
      <c r="X7" s="8">
        <f t="shared" si="8"/>
        <v>0.16502506254508523</v>
      </c>
      <c r="Y7" s="8">
        <f t="shared" si="8"/>
        <v>3.4507943780219952</v>
      </c>
      <c r="Z7" s="8">
        <f t="shared" si="8"/>
        <v>149.13756776992008</v>
      </c>
      <c r="AA7" s="8">
        <f t="shared" si="9"/>
        <v>11798.710272488705</v>
      </c>
      <c r="AB7" s="8">
        <f t="shared" si="9"/>
        <v>1135.8675054978216</v>
      </c>
      <c r="AC7" s="8">
        <f t="shared" si="2"/>
        <v>3688.8991901055128</v>
      </c>
      <c r="AD7" s="8">
        <f t="shared" si="2"/>
        <v>25055.111385346572</v>
      </c>
      <c r="AE7" s="8">
        <f t="shared" si="10"/>
        <v>0.28308804925047987</v>
      </c>
      <c r="AF7" s="8">
        <f t="shared" si="11"/>
        <v>2.7253022484004286E-2</v>
      </c>
      <c r="AG7" s="8">
        <f t="shared" si="12"/>
        <v>8.8508256537464219E-2</v>
      </c>
      <c r="AH7" s="8">
        <f t="shared" si="13"/>
        <v>0.6011506717280517</v>
      </c>
      <c r="AI7" s="8">
        <f>LN((AVERAGE(G23:G25))/G7)/1.125</f>
        <v>0.12131727137232826</v>
      </c>
      <c r="AJ7" s="8">
        <f>LN((AVERAGE(H23:H25))/H7)/1.125</f>
        <v>8.4767471547603432E-2</v>
      </c>
      <c r="AK7" s="8">
        <f>LN((AVERAGE(I23:I25))/I7)/1.125</f>
        <v>-4.320735986431927E-2</v>
      </c>
      <c r="AL7" s="8">
        <f>LN((AVERAGE(J23:J25))/J7)/1.125</f>
        <v>-2.4382715287012947E-2</v>
      </c>
      <c r="AM7" s="15">
        <f t="shared" si="14"/>
        <v>1.8171745736663143E-2</v>
      </c>
      <c r="AN7" s="10">
        <v>45</v>
      </c>
      <c r="AO7" s="50">
        <f t="shared" si="15"/>
        <v>0.51384732316754544</v>
      </c>
      <c r="AP7" s="50">
        <f t="shared" si="16"/>
        <v>0.40556990040575436</v>
      </c>
      <c r="AQ7" s="50">
        <f>LN((AVERAGE(AO23:AO25))/AO7)/1.125</f>
        <v>5.7861135923835447E-2</v>
      </c>
      <c r="AR7" s="50">
        <f>LN((AVERAGE(AP23:AP25))/AP7)/1.125</f>
        <v>9.9088641823799048E-2</v>
      </c>
      <c r="AS7" s="8">
        <f t="shared" si="17"/>
        <v>0.23542433803750629</v>
      </c>
      <c r="AT7" s="8">
        <f t="shared" si="18"/>
        <v>0.76457566196249371</v>
      </c>
      <c r="AU7" s="50">
        <f t="shared" si="19"/>
        <v>8.9382683538362734E-2</v>
      </c>
      <c r="AV7" s="46">
        <f t="shared" si="20"/>
        <v>21634</v>
      </c>
      <c r="AW7" s="46">
        <f t="shared" si="3"/>
        <v>219900</v>
      </c>
      <c r="AX7" s="48">
        <f>LN((AVERAGE(AV23:AV25))/AV7)/1.125</f>
        <v>8.4767471547603432E-2</v>
      </c>
      <c r="AY7" s="48">
        <f>LN((AVERAGE(AW23:AW25))/AW7)/1.125</f>
        <v>-4.320735986431927E-2</v>
      </c>
      <c r="AZ7" s="48">
        <f t="shared" si="4"/>
        <v>-1.3078969893705904E-2</v>
      </c>
    </row>
    <row r="8" spans="1:52" x14ac:dyDescent="0.2">
      <c r="A8" s="5" t="s">
        <v>428</v>
      </c>
      <c r="B8" s="10">
        <v>70</v>
      </c>
      <c r="C8" s="5">
        <v>72909</v>
      </c>
      <c r="D8" s="5">
        <v>10500</v>
      </c>
      <c r="E8" s="5">
        <v>2240</v>
      </c>
      <c r="F8" s="5">
        <v>301</v>
      </c>
      <c r="G8" s="5">
        <v>12252</v>
      </c>
      <c r="H8" s="5">
        <v>23115</v>
      </c>
      <c r="I8" s="7">
        <v>184300</v>
      </c>
      <c r="J8" s="7">
        <v>290900</v>
      </c>
      <c r="K8" s="5">
        <v>2311</v>
      </c>
      <c r="L8" s="5">
        <v>21984</v>
      </c>
      <c r="M8" s="7">
        <v>346700</v>
      </c>
      <c r="N8" s="7">
        <v>1587000</v>
      </c>
      <c r="O8" s="8">
        <f t="shared" si="5"/>
        <v>0.96088115961690923</v>
      </c>
      <c r="P8" s="8">
        <f t="shared" si="5"/>
        <v>1.0442869195450055</v>
      </c>
      <c r="Q8" s="8">
        <f t="shared" si="0"/>
        <v>2.420954674377096</v>
      </c>
      <c r="R8" s="8">
        <f t="shared" si="0"/>
        <v>7.6793374344450989</v>
      </c>
      <c r="S8" s="8">
        <f t="shared" si="6"/>
        <v>0.46428797103546016</v>
      </c>
      <c r="T8" s="8">
        <f t="shared" si="1"/>
        <v>0.59598854449374961</v>
      </c>
      <c r="U8" s="8">
        <f t="shared" si="1"/>
        <v>7.4257166492917843</v>
      </c>
      <c r="V8" s="8">
        <f t="shared" si="1"/>
        <v>237.00071223371208</v>
      </c>
      <c r="W8" s="8">
        <f t="shared" si="7"/>
        <v>0.12303631232439695</v>
      </c>
      <c r="X8" s="8">
        <f t="shared" si="8"/>
        <v>0.1316597899359162</v>
      </c>
      <c r="Y8" s="8">
        <f t="shared" si="8"/>
        <v>1.4792381540684103</v>
      </c>
      <c r="Z8" s="8">
        <f t="shared" si="8"/>
        <v>40.962354848425747</v>
      </c>
      <c r="AA8" s="8">
        <f t="shared" si="9"/>
        <v>8970.454495259457</v>
      </c>
      <c r="AB8" s="8">
        <f t="shared" si="9"/>
        <v>1382.4277943271202</v>
      </c>
      <c r="AC8" s="8">
        <f t="shared" si="2"/>
        <v>3313.4934651132389</v>
      </c>
      <c r="AD8" s="8">
        <f t="shared" si="2"/>
        <v>12329.66880937615</v>
      </c>
      <c r="AE8" s="8">
        <f t="shared" si="10"/>
        <v>0.34506997682469598</v>
      </c>
      <c r="AF8" s="8">
        <f t="shared" si="11"/>
        <v>5.3178389924654249E-2</v>
      </c>
      <c r="AG8" s="8">
        <f t="shared" si="12"/>
        <v>0.12746144733465214</v>
      </c>
      <c r="AH8" s="8">
        <f t="shared" si="13"/>
        <v>0.47429018591599764</v>
      </c>
      <c r="AI8" s="8">
        <f>LN((AVERAGE(G26:G28))/G8)/1.125</f>
        <v>9.9273166815382993E-2</v>
      </c>
      <c r="AJ8" s="8">
        <f>LN((AVERAGE(H26:H28))/H8)/1.125</f>
        <v>0.15638405940328093</v>
      </c>
      <c r="AK8" s="8">
        <f>LN((AVERAGE(I26:I28))/I8)/1.125</f>
        <v>-1.6551530910691697E-2</v>
      </c>
      <c r="AL8" s="8">
        <f>LN((AVERAGE(J26:J28))/J8)/1.125</f>
        <v>-3.2653514443804119E-3</v>
      </c>
      <c r="AM8" s="15">
        <f t="shared" si="14"/>
        <v>3.8914035632129099E-2</v>
      </c>
      <c r="AN8" s="10">
        <v>70</v>
      </c>
      <c r="AO8" s="50">
        <f t="shared" si="15"/>
        <v>1.0514465065502183</v>
      </c>
      <c r="AP8" s="50">
        <f t="shared" si="16"/>
        <v>0.5315835015863859</v>
      </c>
      <c r="AQ8" s="50">
        <f>LN((AVERAGE(AO26:AO28))/AO8)/1.125</f>
        <v>5.6858033055186968E-2</v>
      </c>
      <c r="AR8" s="50">
        <f>LN((AVERAGE(AP26:AP28))/AP8)/1.125</f>
        <v>0.1483261460403088</v>
      </c>
      <c r="AS8" s="8">
        <f t="shared" si="17"/>
        <v>0.29438904912385017</v>
      </c>
      <c r="AT8" s="8">
        <f t="shared" si="18"/>
        <v>0.70561095087614989</v>
      </c>
      <c r="AU8" s="50">
        <f t="shared" si="19"/>
        <v>0.1213989352334659</v>
      </c>
      <c r="AV8" s="46">
        <f t="shared" si="20"/>
        <v>23115</v>
      </c>
      <c r="AW8" s="46">
        <f t="shared" si="3"/>
        <v>184300</v>
      </c>
      <c r="AX8" s="48">
        <f>LN((AVERAGE(AV26:AV28))/AV8)/1.125</f>
        <v>0.15638405940328093</v>
      </c>
      <c r="AY8" s="48">
        <f>LN((AVERAGE(AW26:AW28))/AW8)/1.125</f>
        <v>-1.6551530910691697E-2</v>
      </c>
      <c r="AZ8" s="48">
        <f t="shared" si="4"/>
        <v>3.4358813081510418E-2</v>
      </c>
    </row>
    <row r="9" spans="1:52" x14ac:dyDescent="0.2">
      <c r="A9" s="5" t="s">
        <v>429</v>
      </c>
      <c r="B9" s="10">
        <v>100</v>
      </c>
      <c r="C9" s="5">
        <v>19780</v>
      </c>
      <c r="D9" s="5">
        <v>3625</v>
      </c>
      <c r="E9" s="5">
        <v>1487</v>
      </c>
      <c r="F9" s="5">
        <v>50</v>
      </c>
      <c r="G9" s="5">
        <v>22828</v>
      </c>
      <c r="H9" s="5">
        <v>57175</v>
      </c>
      <c r="I9" s="7">
        <v>249400</v>
      </c>
      <c r="J9" s="7">
        <v>285000</v>
      </c>
      <c r="K9" s="5">
        <v>7253</v>
      </c>
      <c r="L9" s="5">
        <v>38168</v>
      </c>
      <c r="M9" s="7">
        <v>200700</v>
      </c>
      <c r="N9" s="7">
        <v>1303000</v>
      </c>
      <c r="O9" s="8">
        <f t="shared" si="5"/>
        <v>0.98183329023067689</v>
      </c>
      <c r="P9" s="8">
        <f t="shared" si="5"/>
        <v>1.1129006957192702</v>
      </c>
      <c r="Q9" s="8">
        <f t="shared" si="0"/>
        <v>1.801972264500511</v>
      </c>
      <c r="R9" s="8">
        <f t="shared" si="0"/>
        <v>6.475289459068728</v>
      </c>
      <c r="S9" s="8">
        <f t="shared" si="6"/>
        <v>0.49532660739557299</v>
      </c>
      <c r="T9" s="8">
        <f t="shared" si="1"/>
        <v>0.72135266300997136</v>
      </c>
      <c r="U9" s="8">
        <f t="shared" si="1"/>
        <v>3.0621235117279277</v>
      </c>
      <c r="V9" s="8">
        <f t="shared" si="1"/>
        <v>142.08752809756746</v>
      </c>
      <c r="W9" s="8">
        <f t="shared" si="7"/>
        <v>0.13126155095982686</v>
      </c>
      <c r="X9" s="8">
        <f t="shared" si="8"/>
        <v>0.15811154636945893</v>
      </c>
      <c r="Y9" s="8">
        <f t="shared" si="8"/>
        <v>0.63255133005168485</v>
      </c>
      <c r="Z9" s="8">
        <f t="shared" si="8"/>
        <v>25.078477348688434</v>
      </c>
      <c r="AA9" s="8">
        <f t="shared" si="9"/>
        <v>2596.3534779853753</v>
      </c>
      <c r="AB9" s="8">
        <f t="shared" si="9"/>
        <v>573.15435558928857</v>
      </c>
      <c r="AC9" s="8">
        <f t="shared" si="2"/>
        <v>940.60382778685539</v>
      </c>
      <c r="AD9" s="8">
        <f t="shared" si="2"/>
        <v>1253.9238674344217</v>
      </c>
      <c r="AE9" s="8">
        <f t="shared" si="10"/>
        <v>0.48402988086996801</v>
      </c>
      <c r="AF9" s="8">
        <f t="shared" si="11"/>
        <v>0.10685133469239788</v>
      </c>
      <c r="AG9" s="8">
        <f t="shared" si="12"/>
        <v>0.1753537654136291</v>
      </c>
      <c r="AH9" s="8">
        <f t="shared" si="13"/>
        <v>0.23376501902400498</v>
      </c>
      <c r="AI9" s="8">
        <f>LN((AVERAGE(G29:G31))/G9)/1.125</f>
        <v>-1.6770997133702611E-2</v>
      </c>
      <c r="AJ9" s="8">
        <f>LN((AVERAGE(H29:H31))/H9)/1.125</f>
        <v>-4.983742206059228E-3</v>
      </c>
      <c r="AK9" s="8">
        <f>LN((AVERAGE(I29:I31))/I9)/1.125</f>
        <v>-2.2011363072408151E-2</v>
      </c>
      <c r="AL9" s="8">
        <f>LN((AVERAGE(J29:J31))/J9)/1.125</f>
        <v>2.906225018684283E-3</v>
      </c>
      <c r="AM9" s="15">
        <f t="shared" si="14"/>
        <v>-1.1830584901029421E-2</v>
      </c>
      <c r="AN9" s="10">
        <v>100</v>
      </c>
      <c r="AO9" s="50">
        <f t="shared" si="15"/>
        <v>1.4979826032278349</v>
      </c>
      <c r="AP9" s="50">
        <f t="shared" si="16"/>
        <v>1.2426507224713503</v>
      </c>
      <c r="AQ9" s="50">
        <f>LN((AVERAGE(AO29:AO31))/AO9)/1.125</f>
        <v>-2.4094027680243613E-3</v>
      </c>
      <c r="AR9" s="50">
        <f>LN((AVERAGE(AP29:AP31))/AP9)/1.125</f>
        <v>-4.3817164458070566E-2</v>
      </c>
      <c r="AS9" s="8">
        <f t="shared" si="17"/>
        <v>0.37863006250508185</v>
      </c>
      <c r="AT9" s="8">
        <f t="shared" si="18"/>
        <v>0.62136993749491809</v>
      </c>
      <c r="AU9" s="50">
        <f t="shared" si="19"/>
        <v>-2.8138941061172838E-2</v>
      </c>
      <c r="AV9" s="46">
        <f t="shared" si="20"/>
        <v>57175</v>
      </c>
      <c r="AW9" s="46">
        <f t="shared" si="3"/>
        <v>249400</v>
      </c>
      <c r="AX9" s="48">
        <f>LN((AVERAGE(AV29:AV31))/AV9)/1.125</f>
        <v>-4.983742206059228E-3</v>
      </c>
      <c r="AY9" s="48">
        <f>LN((AVERAGE(AW29:AW31))/AW9)/1.125</f>
        <v>-2.2011363072408151E-2</v>
      </c>
      <c r="AZ9" s="48">
        <f t="shared" si="4"/>
        <v>-1.5564193919469621E-2</v>
      </c>
    </row>
    <row r="10" spans="1:52" x14ac:dyDescent="0.2">
      <c r="A10" s="5" t="s">
        <v>430</v>
      </c>
      <c r="B10" s="10">
        <v>120</v>
      </c>
      <c r="C10" s="5">
        <v>3714</v>
      </c>
      <c r="D10" s="5">
        <v>1063</v>
      </c>
      <c r="E10" s="5">
        <v>838</v>
      </c>
      <c r="F10" s="5">
        <v>69</v>
      </c>
      <c r="G10" s="5">
        <v>29957</v>
      </c>
      <c r="H10" s="7">
        <v>105200</v>
      </c>
      <c r="I10" s="7">
        <v>283100</v>
      </c>
      <c r="J10" s="7">
        <v>292400</v>
      </c>
      <c r="K10" s="5">
        <v>17722</v>
      </c>
      <c r="L10" s="5">
        <v>69058</v>
      </c>
      <c r="M10" s="7">
        <v>222600</v>
      </c>
      <c r="N10" s="7">
        <v>1706000</v>
      </c>
      <c r="O10" s="8">
        <f t="shared" ref="O10:O11" si="21">(224333+K10)/235871</f>
        <v>1.0262177207032657</v>
      </c>
      <c r="P10" s="8">
        <f t="shared" ref="P10:P11" si="22">(224333+L10)/235871</f>
        <v>1.2438621110691861</v>
      </c>
      <c r="Q10" s="8">
        <f t="shared" ref="Q10:Q11" si="23">(224333+M10)/235871</f>
        <v>1.8948196259819987</v>
      </c>
      <c r="R10" s="8">
        <f t="shared" ref="R10:R11" si="24">(224333+N10)/235871</f>
        <v>8.1838504945499864</v>
      </c>
      <c r="S10" s="8">
        <f t="shared" ref="S10:S11" si="25">4/3*3.14*((O10/2)^3)</f>
        <v>0.56558375509565983</v>
      </c>
      <c r="T10" s="8">
        <f t="shared" ref="T10:T11" si="26">4/3*3.14*((P10/2)^3)</f>
        <v>1.0071522214673378</v>
      </c>
      <c r="U10" s="8">
        <f t="shared" ref="U10:U11" si="27">4/3*3.14*((Q10/2)^3)</f>
        <v>3.5602625073649161</v>
      </c>
      <c r="V10" s="8">
        <f t="shared" ref="V10:V11" si="28">4/3*3.14*((R10/2)^3)</f>
        <v>286.84775714038636</v>
      </c>
      <c r="W10" s="8">
        <f t="shared" ref="W10:W11" si="29">(S10*265)/1000</f>
        <v>0.14987969510034987</v>
      </c>
      <c r="X10" s="8">
        <f t="shared" ref="X10:X11" si="30">(10^(-0.665+LOG(T10, 10)*0.959))</f>
        <v>0.2177550398067</v>
      </c>
      <c r="Y10" s="8">
        <f t="shared" ref="Y10:Y11" si="31">(10^(-0.665+LOG(U10, 10)*0.959))</f>
        <v>0.73092237709241659</v>
      </c>
      <c r="Z10" s="8">
        <f t="shared" ref="Z10:Z11" si="32">(10^(-0.665+LOG(V10, 10)*0.959))</f>
        <v>49.191237554556452</v>
      </c>
      <c r="AA10" s="8">
        <f t="shared" ref="AA10:AA11" si="33">W10*C10</f>
        <v>556.6531876026994</v>
      </c>
      <c r="AB10" s="8">
        <f t="shared" ref="AB10:AB11" si="34">X10*D10</f>
        <v>231.4736073145221</v>
      </c>
      <c r="AC10" s="8">
        <f t="shared" ref="AC10:AC11" si="35">Y10*E10</f>
        <v>612.51295200344509</v>
      </c>
      <c r="AD10" s="8">
        <f t="shared" ref="AD10:AD11" si="36">Z10*F10</f>
        <v>3394.1953912643953</v>
      </c>
      <c r="AE10" s="8">
        <f t="shared" ref="AE10:AE11" si="37">AA10/(AA10+AB10+AC10+AD10)</f>
        <v>0.11609433308136709</v>
      </c>
      <c r="AF10" s="8">
        <f t="shared" ref="AF10:AF11" si="38">AB10/(AA10+AB10+AC10+AD10)</f>
        <v>4.8275613372212693E-2</v>
      </c>
      <c r="AG10" s="8">
        <f t="shared" ref="AG10:AG11" si="39">AC10/(AA10+AB10+AC10+AD10)</f>
        <v>0.12774431953364157</v>
      </c>
      <c r="AH10" s="8">
        <f t="shared" ref="AH10:AH11" si="40">AD10/(AA10+AB10+AC10+AD10)</f>
        <v>0.70788573401277854</v>
      </c>
      <c r="AI10" s="8"/>
      <c r="AN10" s="10">
        <v>120</v>
      </c>
      <c r="AO10" s="50">
        <f t="shared" si="15"/>
        <v>1.5233571780242694</v>
      </c>
      <c r="AP10" s="50">
        <f t="shared" si="16"/>
        <v>1.2717879604672058</v>
      </c>
      <c r="AQ10" s="51"/>
      <c r="AR10" s="51"/>
      <c r="AU10" s="51"/>
      <c r="AV10" s="46">
        <f t="shared" si="20"/>
        <v>105200</v>
      </c>
      <c r="AW10" s="46">
        <f t="shared" si="3"/>
        <v>283100</v>
      </c>
    </row>
    <row r="11" spans="1:52" x14ac:dyDescent="0.2">
      <c r="A11" s="5" t="s">
        <v>431</v>
      </c>
      <c r="B11" s="10">
        <v>150</v>
      </c>
      <c r="C11" s="5">
        <v>201</v>
      </c>
      <c r="D11" s="5">
        <v>126</v>
      </c>
      <c r="E11" s="5">
        <v>127</v>
      </c>
      <c r="F11" s="5">
        <v>29</v>
      </c>
      <c r="G11" s="5">
        <v>30020</v>
      </c>
      <c r="H11" s="5">
        <v>99643</v>
      </c>
      <c r="I11" s="7">
        <v>275300</v>
      </c>
      <c r="J11" s="7">
        <v>287900</v>
      </c>
      <c r="K11" s="7">
        <v>169200</v>
      </c>
      <c r="L11" s="7">
        <v>104200</v>
      </c>
      <c r="M11" s="7">
        <v>263300</v>
      </c>
      <c r="N11" s="7">
        <v>1599000</v>
      </c>
      <c r="O11" s="8">
        <f t="shared" si="21"/>
        <v>1.6684246897668642</v>
      </c>
      <c r="P11" s="8">
        <f t="shared" si="22"/>
        <v>1.3928503292053707</v>
      </c>
      <c r="Q11" s="8">
        <f t="shared" si="23"/>
        <v>2.0673715717489647</v>
      </c>
      <c r="R11" s="8">
        <f t="shared" si="24"/>
        <v>7.7302127010102977</v>
      </c>
      <c r="S11" s="8">
        <f t="shared" si="25"/>
        <v>2.4305145302805218</v>
      </c>
      <c r="T11" s="8">
        <f t="shared" si="26"/>
        <v>1.4141378653398329</v>
      </c>
      <c r="U11" s="8">
        <f t="shared" si="27"/>
        <v>4.6241724058957923</v>
      </c>
      <c r="V11" s="8">
        <f t="shared" si="28"/>
        <v>241.74234436418092</v>
      </c>
      <c r="W11" s="8">
        <f t="shared" si="29"/>
        <v>0.64408635052433827</v>
      </c>
      <c r="X11" s="8">
        <f t="shared" si="30"/>
        <v>0.30152379421968423</v>
      </c>
      <c r="Y11" s="8">
        <f t="shared" si="31"/>
        <v>0.93922062948328822</v>
      </c>
      <c r="Z11" s="8">
        <f t="shared" si="32"/>
        <v>41.747960854727566</v>
      </c>
      <c r="AA11" s="8">
        <f t="shared" si="33"/>
        <v>129.46135645539198</v>
      </c>
      <c r="AB11" s="8">
        <f t="shared" si="34"/>
        <v>37.991998071680214</v>
      </c>
      <c r="AC11" s="8">
        <f t="shared" si="35"/>
        <v>119.2810199443776</v>
      </c>
      <c r="AD11" s="8">
        <f t="shared" si="36"/>
        <v>1210.6908647870994</v>
      </c>
      <c r="AE11" s="8">
        <f t="shared" si="37"/>
        <v>8.6455973267483346E-2</v>
      </c>
      <c r="AF11" s="8">
        <f t="shared" si="38"/>
        <v>2.5371549160271917E-2</v>
      </c>
      <c r="AG11" s="8">
        <f t="shared" si="39"/>
        <v>7.9657412481867654E-2</v>
      </c>
      <c r="AH11" s="8">
        <f t="shared" si="40"/>
        <v>0.80851506509037718</v>
      </c>
      <c r="AI11" s="8"/>
      <c r="AN11" s="10">
        <v>150</v>
      </c>
      <c r="AO11" s="50">
        <f t="shared" si="15"/>
        <v>0.95626679462571973</v>
      </c>
      <c r="AP11" s="50">
        <f t="shared" si="16"/>
        <v>1.0455753892897834</v>
      </c>
      <c r="AQ11" s="51"/>
      <c r="AR11" s="51"/>
      <c r="AU11" s="51"/>
      <c r="AV11" s="46">
        <f t="shared" si="20"/>
        <v>99643</v>
      </c>
      <c r="AW11" s="46">
        <f t="shared" si="3"/>
        <v>275300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432</v>
      </c>
      <c r="B14" s="10">
        <v>5</v>
      </c>
      <c r="C14" s="5">
        <v>6584</v>
      </c>
      <c r="D14" s="5">
        <v>781</v>
      </c>
      <c r="E14" s="5">
        <v>501</v>
      </c>
      <c r="F14" s="5">
        <v>113</v>
      </c>
      <c r="G14" s="5">
        <v>4584</v>
      </c>
      <c r="H14" s="5">
        <v>16680</v>
      </c>
      <c r="I14" s="7">
        <v>202300</v>
      </c>
      <c r="J14" s="7">
        <v>283400</v>
      </c>
      <c r="K14" s="5">
        <v>20035</v>
      </c>
      <c r="L14" s="5">
        <v>51449</v>
      </c>
      <c r="M14" s="7">
        <v>689800</v>
      </c>
      <c r="N14" s="7">
        <v>2750000</v>
      </c>
      <c r="O14" s="8">
        <f t="shared" ref="O14:R29" si="41">(224333+K14)/235871</f>
        <v>1.0360239283337078</v>
      </c>
      <c r="P14" s="8">
        <f t="shared" si="41"/>
        <v>1.169206896990304</v>
      </c>
      <c r="Q14" s="8">
        <f t="shared" si="41"/>
        <v>3.8755633375870708</v>
      </c>
      <c r="R14" s="8">
        <f t="shared" si="41"/>
        <v>12.60999868572228</v>
      </c>
      <c r="S14" s="8">
        <f t="shared" ref="S14:V29" si="42">4/3*3.14*((O14/2)^3)</f>
        <v>0.58195279193485194</v>
      </c>
      <c r="T14" s="8">
        <f t="shared" si="42"/>
        <v>0.83647410959711455</v>
      </c>
      <c r="U14" s="8">
        <f t="shared" si="42"/>
        <v>30.463718548234347</v>
      </c>
      <c r="V14" s="8">
        <f t="shared" si="42"/>
        <v>1049.3576226152529</v>
      </c>
      <c r="W14" s="8">
        <f t="shared" ref="W14:W31" si="43">(S14*265)/1000</f>
        <v>0.15421748986273576</v>
      </c>
      <c r="X14" s="8">
        <f t="shared" ref="X14:Z29" si="44">(10^(-0.665+LOG(T14, 10)*0.959))</f>
        <v>0.1822350669473124</v>
      </c>
      <c r="Y14" s="8">
        <f t="shared" si="44"/>
        <v>5.7272720748869048</v>
      </c>
      <c r="Z14" s="8">
        <f t="shared" si="44"/>
        <v>170.63403363532481</v>
      </c>
      <c r="AA14" s="8">
        <f t="shared" ref="AA14:AA19" si="45">W14*C14</f>
        <v>1015.3679532562522</v>
      </c>
      <c r="AB14" s="8">
        <f t="shared" ref="AB14:AB19" si="46">X14*D14</f>
        <v>142.32558728585099</v>
      </c>
      <c r="AC14" s="8">
        <f t="shared" ref="AC14:AC19" si="47">Y14*E14</f>
        <v>2869.3633095183395</v>
      </c>
      <c r="AD14" s="8">
        <f t="shared" ref="AD14:AD19" si="48">Z14*F14</f>
        <v>19281.645800791703</v>
      </c>
      <c r="AE14" s="8">
        <f t="shared" ref="AE14:AE19" si="49">AA14/(AA14+AB14+AC14+AD14)</f>
        <v>4.3561753241514338E-2</v>
      </c>
      <c r="AF14" s="8">
        <f t="shared" ref="AF14:AF19" si="50">AB14/(AA14+AB14+AC14+AD14)</f>
        <v>6.10611364423784E-3</v>
      </c>
      <c r="AG14" s="8">
        <f t="shared" ref="AG14:AG19" si="51">AC14/(AA14+AB14+AC14+AD14)</f>
        <v>0.12310266051694808</v>
      </c>
      <c r="AH14" s="8">
        <f t="shared" ref="AH14:AH19" si="52">AD14/(AA14+AB14+AC14+AD14)</f>
        <v>0.82722947259729973</v>
      </c>
      <c r="AI14" s="8"/>
      <c r="AN14" s="10">
        <v>5</v>
      </c>
      <c r="AO14" s="8">
        <f t="shared" ref="AO14:AO31" si="53">H14/L14</f>
        <v>0.32420455208070126</v>
      </c>
      <c r="AP14" s="8">
        <f t="shared" ref="AP14:AP31" si="54">I14/M14</f>
        <v>0.29327341258335748</v>
      </c>
      <c r="AV14" s="5">
        <f t="shared" ref="AV14:AW29" si="55">H14</f>
        <v>16680</v>
      </c>
      <c r="AW14" s="5">
        <f t="shared" si="55"/>
        <v>202300</v>
      </c>
    </row>
    <row r="15" spans="1:52" x14ac:dyDescent="0.2">
      <c r="A15" s="5" t="s">
        <v>433</v>
      </c>
      <c r="B15" s="10">
        <v>5</v>
      </c>
      <c r="C15" s="5">
        <v>24332</v>
      </c>
      <c r="D15" s="5">
        <v>2713</v>
      </c>
      <c r="E15" s="5">
        <v>1555</v>
      </c>
      <c r="F15" s="5">
        <v>262</v>
      </c>
      <c r="G15" s="5">
        <v>4843</v>
      </c>
      <c r="H15" s="5">
        <v>18132</v>
      </c>
      <c r="I15" s="7">
        <v>204000</v>
      </c>
      <c r="J15" s="7">
        <v>292700</v>
      </c>
      <c r="K15" s="5">
        <v>7722</v>
      </c>
      <c r="L15" s="5">
        <v>53524</v>
      </c>
      <c r="M15" s="7">
        <v>685200</v>
      </c>
      <c r="N15" s="7">
        <v>2178000</v>
      </c>
      <c r="O15" s="8">
        <f t="shared" si="41"/>
        <v>0.98382166523226677</v>
      </c>
      <c r="P15" s="8">
        <f t="shared" si="41"/>
        <v>1.1780040785005363</v>
      </c>
      <c r="Q15" s="8">
        <f t="shared" si="41"/>
        <v>3.8560611520704113</v>
      </c>
      <c r="R15" s="8">
        <f t="shared" si="41"/>
        <v>10.184944312781139</v>
      </c>
      <c r="S15" s="8">
        <f t="shared" si="42"/>
        <v>0.49834206116637741</v>
      </c>
      <c r="T15" s="8">
        <f t="shared" si="42"/>
        <v>0.85549756925923404</v>
      </c>
      <c r="U15" s="8">
        <f t="shared" si="42"/>
        <v>30.006140299778103</v>
      </c>
      <c r="V15" s="8">
        <f t="shared" si="42"/>
        <v>552.90991006066668</v>
      </c>
      <c r="W15" s="8">
        <f t="shared" si="43"/>
        <v>0.13206064620909</v>
      </c>
      <c r="X15" s="8">
        <f t="shared" si="44"/>
        <v>0.18620777465277227</v>
      </c>
      <c r="Y15" s="8">
        <f t="shared" si="44"/>
        <v>5.6447475014263429</v>
      </c>
      <c r="Z15" s="8">
        <f t="shared" si="44"/>
        <v>92.300816901313809</v>
      </c>
      <c r="AA15" s="8">
        <f t="shared" si="45"/>
        <v>3213.2996435595778</v>
      </c>
      <c r="AB15" s="8">
        <f t="shared" si="46"/>
        <v>505.18169263297119</v>
      </c>
      <c r="AC15" s="8">
        <f t="shared" si="47"/>
        <v>8777.5823647179623</v>
      </c>
      <c r="AD15" s="8">
        <f t="shared" si="48"/>
        <v>24182.814028144217</v>
      </c>
      <c r="AE15" s="8">
        <f t="shared" si="49"/>
        <v>8.760626939831917E-2</v>
      </c>
      <c r="AF15" s="8">
        <f t="shared" si="50"/>
        <v>1.3773095686425476E-2</v>
      </c>
      <c r="AG15" s="8">
        <f t="shared" si="51"/>
        <v>0.23930891314498717</v>
      </c>
      <c r="AH15" s="8">
        <f t="shared" si="52"/>
        <v>0.6593117217702682</v>
      </c>
      <c r="AI15" s="8"/>
      <c r="AN15" s="10">
        <v>5</v>
      </c>
      <c r="AO15" s="8">
        <f t="shared" si="53"/>
        <v>0.33876391898961211</v>
      </c>
      <c r="AP15" s="8">
        <f t="shared" si="54"/>
        <v>0.29772329246935203</v>
      </c>
      <c r="AV15" s="5">
        <f t="shared" si="55"/>
        <v>18132</v>
      </c>
      <c r="AW15" s="5">
        <f t="shared" si="55"/>
        <v>204000</v>
      </c>
    </row>
    <row r="16" spans="1:52" x14ac:dyDescent="0.2">
      <c r="A16" s="5" t="s">
        <v>434</v>
      </c>
      <c r="B16" s="10">
        <v>5</v>
      </c>
      <c r="C16" s="5">
        <v>24545</v>
      </c>
      <c r="D16" s="5">
        <v>2616</v>
      </c>
      <c r="E16" s="5">
        <v>1623</v>
      </c>
      <c r="F16" s="5">
        <v>257</v>
      </c>
      <c r="G16" s="5">
        <v>4414</v>
      </c>
      <c r="H16" s="5">
        <v>20083</v>
      </c>
      <c r="I16" s="7">
        <v>199300</v>
      </c>
      <c r="J16" s="7">
        <v>292200</v>
      </c>
      <c r="K16" s="5">
        <v>3243</v>
      </c>
      <c r="L16" s="5">
        <v>58866</v>
      </c>
      <c r="M16" s="7">
        <v>665500</v>
      </c>
      <c r="N16" s="7">
        <v>2516000</v>
      </c>
      <c r="O16" s="8">
        <f t="shared" si="41"/>
        <v>0.96483247198680633</v>
      </c>
      <c r="P16" s="8">
        <f t="shared" si="41"/>
        <v>1.200652051333144</v>
      </c>
      <c r="Q16" s="8">
        <f t="shared" si="41"/>
        <v>3.7725409227925435</v>
      </c>
      <c r="R16" s="8">
        <f t="shared" si="41"/>
        <v>11.617930987700904</v>
      </c>
      <c r="S16" s="8">
        <f t="shared" si="42"/>
        <v>0.47003925808473118</v>
      </c>
      <c r="T16" s="8">
        <f t="shared" si="42"/>
        <v>0.90579495882111039</v>
      </c>
      <c r="U16" s="8">
        <f t="shared" si="42"/>
        <v>28.098314953425014</v>
      </c>
      <c r="V16" s="8">
        <f t="shared" si="42"/>
        <v>820.66285132874521</v>
      </c>
      <c r="W16" s="8">
        <f t="shared" si="43"/>
        <v>0.12456040339245376</v>
      </c>
      <c r="X16" s="8">
        <f t="shared" si="44"/>
        <v>0.19669425413721778</v>
      </c>
      <c r="Y16" s="8">
        <f t="shared" si="44"/>
        <v>5.3001039187809296</v>
      </c>
      <c r="Z16" s="8">
        <f t="shared" si="44"/>
        <v>134.79817705073856</v>
      </c>
      <c r="AA16" s="8">
        <f t="shared" si="45"/>
        <v>3057.3351012677776</v>
      </c>
      <c r="AB16" s="8">
        <f t="shared" si="46"/>
        <v>514.55216882296168</v>
      </c>
      <c r="AC16" s="8">
        <f t="shared" si="47"/>
        <v>8602.0686601814486</v>
      </c>
      <c r="AD16" s="8">
        <f t="shared" si="48"/>
        <v>34643.131502039811</v>
      </c>
      <c r="AE16" s="8">
        <f t="shared" si="49"/>
        <v>6.5303829626054022E-2</v>
      </c>
      <c r="AF16" s="8">
        <f t="shared" si="50"/>
        <v>1.0990691583855993E-2</v>
      </c>
      <c r="AG16" s="8">
        <f t="shared" si="51"/>
        <v>0.18373780027683895</v>
      </c>
      <c r="AH16" s="8">
        <f t="shared" si="52"/>
        <v>0.73996767851325096</v>
      </c>
      <c r="AI16" s="8"/>
      <c r="AN16" s="10">
        <v>5</v>
      </c>
      <c r="AO16" s="8">
        <f t="shared" si="53"/>
        <v>0.34116467910168857</v>
      </c>
      <c r="AP16" s="8">
        <f t="shared" si="54"/>
        <v>0.2994740796393689</v>
      </c>
      <c r="AV16" s="5">
        <f t="shared" si="55"/>
        <v>20083</v>
      </c>
      <c r="AW16" s="5">
        <f t="shared" si="55"/>
        <v>199300</v>
      </c>
    </row>
    <row r="17" spans="1:49" x14ac:dyDescent="0.2">
      <c r="A17" s="5" t="s">
        <v>435</v>
      </c>
      <c r="B17" s="10">
        <v>12</v>
      </c>
      <c r="C17" s="5">
        <v>7126</v>
      </c>
      <c r="D17" s="5">
        <v>813</v>
      </c>
      <c r="E17" s="5">
        <v>463</v>
      </c>
      <c r="F17" s="5">
        <v>104</v>
      </c>
      <c r="G17" s="5">
        <v>4861</v>
      </c>
      <c r="H17" s="5">
        <v>18106</v>
      </c>
      <c r="I17" s="7">
        <v>201400</v>
      </c>
      <c r="J17" s="7">
        <v>296900</v>
      </c>
      <c r="K17" s="5">
        <v>5211</v>
      </c>
      <c r="L17" s="5">
        <v>52195</v>
      </c>
      <c r="M17" s="7">
        <v>653400</v>
      </c>
      <c r="N17" s="7">
        <v>2280000</v>
      </c>
      <c r="O17" s="8">
        <f t="shared" si="41"/>
        <v>0.97317601570349899</v>
      </c>
      <c r="P17" s="8">
        <f t="shared" si="41"/>
        <v>1.1723696427284405</v>
      </c>
      <c r="Q17" s="8">
        <f t="shared" si="41"/>
        <v>3.7212416956726346</v>
      </c>
      <c r="R17" s="8">
        <f t="shared" si="41"/>
        <v>10.617384078585328</v>
      </c>
      <c r="S17" s="8">
        <f t="shared" si="42"/>
        <v>0.48233923339228291</v>
      </c>
      <c r="T17" s="8">
        <f t="shared" si="42"/>
        <v>0.84328056370821614</v>
      </c>
      <c r="U17" s="8">
        <f t="shared" si="42"/>
        <v>26.967583563570191</v>
      </c>
      <c r="V17" s="8">
        <f t="shared" si="42"/>
        <v>626.37004725775034</v>
      </c>
      <c r="W17" s="8">
        <f t="shared" si="43"/>
        <v>0.12781989684895498</v>
      </c>
      <c r="X17" s="8">
        <f t="shared" si="44"/>
        <v>0.18365689385345355</v>
      </c>
      <c r="Y17" s="8">
        <f t="shared" si="44"/>
        <v>5.0953909311664125</v>
      </c>
      <c r="Z17" s="8">
        <f t="shared" si="44"/>
        <v>104.03055406068373</v>
      </c>
      <c r="AA17" s="8">
        <f t="shared" si="45"/>
        <v>910.8445849456532</v>
      </c>
      <c r="AB17" s="8">
        <f t="shared" si="46"/>
        <v>149.31305470285773</v>
      </c>
      <c r="AC17" s="8">
        <f t="shared" si="47"/>
        <v>2359.1660011300492</v>
      </c>
      <c r="AD17" s="8">
        <f t="shared" si="48"/>
        <v>10819.177622311108</v>
      </c>
      <c r="AE17" s="8">
        <f t="shared" si="49"/>
        <v>6.3970537917977854E-2</v>
      </c>
      <c r="AF17" s="8">
        <f t="shared" si="50"/>
        <v>1.0486571019235048E-2</v>
      </c>
      <c r="AG17" s="8">
        <f t="shared" si="51"/>
        <v>0.16568920826278907</v>
      </c>
      <c r="AH17" s="8">
        <f t="shared" si="52"/>
        <v>0.7598536827999981</v>
      </c>
      <c r="AI17" s="8"/>
      <c r="AN17" s="10">
        <v>12</v>
      </c>
      <c r="AO17" s="8">
        <f t="shared" si="53"/>
        <v>0.3468914646996839</v>
      </c>
      <c r="AP17" s="8">
        <f t="shared" si="54"/>
        <v>0.30823385368839912</v>
      </c>
      <c r="AV17" s="5">
        <f t="shared" si="55"/>
        <v>18106</v>
      </c>
      <c r="AW17" s="5">
        <f t="shared" si="55"/>
        <v>201400</v>
      </c>
    </row>
    <row r="18" spans="1:49" x14ac:dyDescent="0.2">
      <c r="A18" s="5" t="s">
        <v>436</v>
      </c>
      <c r="B18" s="10">
        <v>12</v>
      </c>
      <c r="C18" s="5">
        <v>22827</v>
      </c>
      <c r="D18" s="5">
        <v>2706</v>
      </c>
      <c r="E18" s="5">
        <v>1471</v>
      </c>
      <c r="F18" s="5">
        <v>217</v>
      </c>
      <c r="G18" s="5">
        <v>4986</v>
      </c>
      <c r="H18" s="5">
        <v>18481</v>
      </c>
      <c r="I18" s="7">
        <v>201300</v>
      </c>
      <c r="J18" s="7">
        <v>289600</v>
      </c>
      <c r="K18" s="5">
        <v>3210</v>
      </c>
      <c r="L18" s="5">
        <v>54978</v>
      </c>
      <c r="M18" s="7">
        <v>654500</v>
      </c>
      <c r="N18" s="7">
        <v>2090000</v>
      </c>
      <c r="O18" s="8">
        <f t="shared" si="41"/>
        <v>0.964692565003752</v>
      </c>
      <c r="P18" s="8">
        <f t="shared" si="41"/>
        <v>1.1841684649660196</v>
      </c>
      <c r="Q18" s="8">
        <f t="shared" si="41"/>
        <v>3.7259052617744444</v>
      </c>
      <c r="R18" s="8">
        <f t="shared" si="41"/>
        <v>9.8118590246363482</v>
      </c>
      <c r="S18" s="8">
        <f t="shared" si="42"/>
        <v>0.46983481148596695</v>
      </c>
      <c r="T18" s="8">
        <f t="shared" si="42"/>
        <v>0.86899819007375467</v>
      </c>
      <c r="U18" s="8">
        <f t="shared" si="42"/>
        <v>27.069100312906404</v>
      </c>
      <c r="V18" s="8">
        <f t="shared" si="42"/>
        <v>494.34744831208093</v>
      </c>
      <c r="W18" s="8">
        <f t="shared" si="43"/>
        <v>0.12450622504378124</v>
      </c>
      <c r="X18" s="8">
        <f t="shared" si="44"/>
        <v>0.18902493533547923</v>
      </c>
      <c r="Y18" s="8">
        <f t="shared" si="44"/>
        <v>5.1137841744164332</v>
      </c>
      <c r="Z18" s="8">
        <f t="shared" si="44"/>
        <v>82.904283949346123</v>
      </c>
      <c r="AA18" s="8">
        <f t="shared" si="45"/>
        <v>2842.1035990743944</v>
      </c>
      <c r="AB18" s="8">
        <f t="shared" si="46"/>
        <v>511.5014750178068</v>
      </c>
      <c r="AC18" s="8">
        <f t="shared" si="47"/>
        <v>7522.3765205665732</v>
      </c>
      <c r="AD18" s="8">
        <f t="shared" si="48"/>
        <v>17990.22961700811</v>
      </c>
      <c r="AE18" s="8">
        <f t="shared" si="49"/>
        <v>9.845779822762811E-2</v>
      </c>
      <c r="AF18" s="8">
        <f t="shared" si="50"/>
        <v>1.7719730215618765E-2</v>
      </c>
      <c r="AG18" s="8">
        <f t="shared" si="51"/>
        <v>0.26059452227406438</v>
      </c>
      <c r="AH18" s="8">
        <f t="shared" si="52"/>
        <v>0.62322794928268876</v>
      </c>
      <c r="AI18" s="8"/>
      <c r="AN18" s="10">
        <v>12</v>
      </c>
      <c r="AO18" s="8">
        <f t="shared" si="53"/>
        <v>0.33615264287533198</v>
      </c>
      <c r="AP18" s="8">
        <f t="shared" si="54"/>
        <v>0.30756302521008405</v>
      </c>
      <c r="AV18" s="5">
        <f t="shared" si="55"/>
        <v>18481</v>
      </c>
      <c r="AW18" s="5">
        <f t="shared" si="55"/>
        <v>201300</v>
      </c>
    </row>
    <row r="19" spans="1:49" x14ac:dyDescent="0.2">
      <c r="A19" s="5" t="s">
        <v>437</v>
      </c>
      <c r="B19" s="10">
        <v>12</v>
      </c>
      <c r="C19" s="5">
        <v>24390</v>
      </c>
      <c r="D19" s="5">
        <v>2365</v>
      </c>
      <c r="E19" s="5">
        <v>1479</v>
      </c>
      <c r="F19" s="5">
        <v>262</v>
      </c>
      <c r="G19" s="5">
        <v>4643</v>
      </c>
      <c r="H19" s="5">
        <v>18980</v>
      </c>
      <c r="I19" s="7">
        <v>203900</v>
      </c>
      <c r="J19" s="7">
        <v>288700</v>
      </c>
      <c r="K19" s="5">
        <v>3177</v>
      </c>
      <c r="L19" s="5">
        <v>55851</v>
      </c>
      <c r="M19" s="7">
        <v>618000</v>
      </c>
      <c r="N19" s="7">
        <v>2678000</v>
      </c>
      <c r="O19" s="8">
        <f t="shared" si="41"/>
        <v>0.96455265802069778</v>
      </c>
      <c r="P19" s="8">
        <f t="shared" si="41"/>
        <v>1.1878696406086378</v>
      </c>
      <c r="Q19" s="8">
        <f t="shared" si="41"/>
        <v>3.5711596593052981</v>
      </c>
      <c r="R19" s="8">
        <f t="shared" si="41"/>
        <v>12.304747086331087</v>
      </c>
      <c r="S19" s="8">
        <f t="shared" si="42"/>
        <v>0.46963042417937517</v>
      </c>
      <c r="T19" s="8">
        <f t="shared" si="42"/>
        <v>0.87717197172116634</v>
      </c>
      <c r="U19" s="8">
        <f t="shared" si="42"/>
        <v>23.83450840309181</v>
      </c>
      <c r="V19" s="8">
        <f t="shared" si="42"/>
        <v>974.98171833097649</v>
      </c>
      <c r="W19" s="8">
        <f t="shared" si="43"/>
        <v>0.12445206240753443</v>
      </c>
      <c r="X19" s="8">
        <f t="shared" si="44"/>
        <v>0.19072967626162016</v>
      </c>
      <c r="Y19" s="8">
        <f t="shared" si="44"/>
        <v>4.5262730002104563</v>
      </c>
      <c r="Z19" s="8">
        <f t="shared" si="44"/>
        <v>159.01848701805878</v>
      </c>
      <c r="AA19" s="8">
        <f t="shared" si="45"/>
        <v>3035.3858021197648</v>
      </c>
      <c r="AB19" s="8">
        <f t="shared" si="46"/>
        <v>451.07568435873168</v>
      </c>
      <c r="AC19" s="8">
        <f t="shared" si="47"/>
        <v>6694.357767311265</v>
      </c>
      <c r="AD19" s="8">
        <f t="shared" si="48"/>
        <v>41662.843598731401</v>
      </c>
      <c r="AE19" s="8">
        <f t="shared" si="49"/>
        <v>5.8548829984379734E-2</v>
      </c>
      <c r="AF19" s="8">
        <f t="shared" si="50"/>
        <v>8.7006908759880534E-3</v>
      </c>
      <c r="AG19" s="8">
        <f t="shared" si="51"/>
        <v>0.12912586416501082</v>
      </c>
      <c r="AH19" s="8">
        <f t="shared" si="52"/>
        <v>0.80362461497462134</v>
      </c>
      <c r="AI19" s="8"/>
      <c r="AN19" s="10">
        <v>12</v>
      </c>
      <c r="AO19" s="8">
        <f t="shared" si="53"/>
        <v>0.33983276933268874</v>
      </c>
      <c r="AP19" s="8">
        <f t="shared" si="54"/>
        <v>0.32993527508090614</v>
      </c>
      <c r="AV19" s="5">
        <f t="shared" si="55"/>
        <v>18980</v>
      </c>
      <c r="AW19" s="5">
        <f t="shared" si="55"/>
        <v>203900</v>
      </c>
    </row>
    <row r="20" spans="1:49" x14ac:dyDescent="0.2">
      <c r="A20" s="5" t="s">
        <v>438</v>
      </c>
      <c r="B20" s="10">
        <v>25</v>
      </c>
      <c r="C20" s="5">
        <v>20745</v>
      </c>
      <c r="D20" s="5">
        <v>1736</v>
      </c>
      <c r="E20" s="5">
        <v>481</v>
      </c>
      <c r="F20" s="5">
        <v>53</v>
      </c>
      <c r="G20" s="5">
        <v>6478</v>
      </c>
      <c r="H20" s="5">
        <v>17158</v>
      </c>
      <c r="I20" s="7">
        <v>198200</v>
      </c>
      <c r="J20" s="7">
        <v>285900</v>
      </c>
      <c r="K20" s="5">
        <v>3454</v>
      </c>
      <c r="L20" s="5">
        <v>43905</v>
      </c>
      <c r="M20" s="7">
        <v>597000</v>
      </c>
      <c r="N20" s="7">
        <v>2174000</v>
      </c>
      <c r="O20" s="8">
        <f t="shared" si="41"/>
        <v>0.96572702875724448</v>
      </c>
      <c r="P20" s="8">
        <f t="shared" si="41"/>
        <v>1.1372233127429825</v>
      </c>
      <c r="Q20" s="8">
        <f t="shared" si="41"/>
        <v>3.4821279428162004</v>
      </c>
      <c r="R20" s="8">
        <f t="shared" si="41"/>
        <v>10.167985890592739</v>
      </c>
      <c r="S20" s="8">
        <f t="shared" si="42"/>
        <v>0.47134787937549794</v>
      </c>
      <c r="T20" s="8">
        <f t="shared" si="42"/>
        <v>0.76968967320828285</v>
      </c>
      <c r="U20" s="8">
        <f t="shared" si="42"/>
        <v>22.095944499721448</v>
      </c>
      <c r="V20" s="8">
        <f t="shared" si="42"/>
        <v>550.15264135849452</v>
      </c>
      <c r="W20" s="8">
        <f t="shared" si="43"/>
        <v>0.12490718803450696</v>
      </c>
      <c r="X20" s="8">
        <f t="shared" si="44"/>
        <v>0.16825838561963119</v>
      </c>
      <c r="Y20" s="8">
        <f t="shared" si="44"/>
        <v>4.2091631051705267</v>
      </c>
      <c r="Z20" s="8">
        <f t="shared" si="44"/>
        <v>91.859354885857215</v>
      </c>
      <c r="AA20" s="8">
        <f t="shared" ref="AA20:AA31" si="56">W20*C20</f>
        <v>2591.1996157758467</v>
      </c>
      <c r="AB20" s="8">
        <f t="shared" ref="AB20:AB31" si="57">X20*D20</f>
        <v>292.09655743567976</v>
      </c>
      <c r="AC20" s="8">
        <f t="shared" ref="AC20:AC31" si="58">Y20*E20</f>
        <v>2024.6074535870234</v>
      </c>
      <c r="AD20" s="8">
        <f t="shared" ref="AD20:AD31" si="59">Z20*F20</f>
        <v>4868.5458089504327</v>
      </c>
      <c r="AE20" s="8">
        <f t="shared" ref="AE20:AE31" si="60">AA20/(AA20+AB20+AC20+AD20)</f>
        <v>0.26504505882276191</v>
      </c>
      <c r="AF20" s="8">
        <f t="shared" ref="AF20:AF31" si="61">AB20/(AA20+AB20+AC20+AD20)</f>
        <v>2.9877570518350664E-2</v>
      </c>
      <c r="AG20" s="8">
        <f t="shared" ref="AG20:AG31" si="62">AC20/(AA20+AB20+AC20+AD20)</f>
        <v>0.20709025980165738</v>
      </c>
      <c r="AH20" s="8">
        <f t="shared" ref="AH20:AH31" si="63">AD20/(AA20+AB20+AC20+AD20)</f>
        <v>0.49798711085723008</v>
      </c>
      <c r="AN20" s="10">
        <v>25</v>
      </c>
      <c r="AO20" s="8">
        <f t="shared" si="53"/>
        <v>0.39079831454276276</v>
      </c>
      <c r="AP20" s="8">
        <f t="shared" si="54"/>
        <v>0.33199329983249581</v>
      </c>
      <c r="AV20" s="5">
        <f t="shared" si="55"/>
        <v>17158</v>
      </c>
      <c r="AW20" s="5">
        <f t="shared" si="55"/>
        <v>198200</v>
      </c>
    </row>
    <row r="21" spans="1:49" x14ac:dyDescent="0.2">
      <c r="A21" s="5" t="s">
        <v>439</v>
      </c>
      <c r="B21" s="10">
        <v>25</v>
      </c>
      <c r="C21" s="5">
        <v>77837</v>
      </c>
      <c r="D21" s="5">
        <v>6473</v>
      </c>
      <c r="E21" s="5">
        <v>1787</v>
      </c>
      <c r="F21" s="5">
        <v>236</v>
      </c>
      <c r="G21" s="5">
        <v>7090</v>
      </c>
      <c r="H21" s="5">
        <v>17362</v>
      </c>
      <c r="I21" s="7">
        <v>201400</v>
      </c>
      <c r="J21" s="7">
        <v>285500</v>
      </c>
      <c r="K21" s="5">
        <v>3169</v>
      </c>
      <c r="L21" s="5">
        <v>40848</v>
      </c>
      <c r="M21" s="7">
        <v>564200</v>
      </c>
      <c r="N21" s="7">
        <v>1870000</v>
      </c>
      <c r="O21" s="8">
        <f t="shared" si="41"/>
        <v>0.96451874117632097</v>
      </c>
      <c r="P21" s="8">
        <f t="shared" si="41"/>
        <v>1.124262838585498</v>
      </c>
      <c r="Q21" s="8">
        <f t="shared" si="41"/>
        <v>3.3430688808713236</v>
      </c>
      <c r="R21" s="8">
        <f t="shared" si="41"/>
        <v>8.8791458042743709</v>
      </c>
      <c r="S21" s="8">
        <f t="shared" si="42"/>
        <v>0.46958088466966158</v>
      </c>
      <c r="T21" s="8">
        <f t="shared" si="42"/>
        <v>0.74367291556598136</v>
      </c>
      <c r="U21" s="8">
        <f t="shared" si="42"/>
        <v>19.553043770417389</v>
      </c>
      <c r="V21" s="8">
        <f t="shared" si="42"/>
        <v>366.3464272186265</v>
      </c>
      <c r="W21" s="8">
        <f t="shared" si="43"/>
        <v>0.12443893443746032</v>
      </c>
      <c r="X21" s="8">
        <f t="shared" si="44"/>
        <v>0.16280033877578856</v>
      </c>
      <c r="Y21" s="8">
        <f t="shared" si="44"/>
        <v>3.7434719491718118</v>
      </c>
      <c r="Z21" s="8">
        <f t="shared" si="44"/>
        <v>62.197422850187188</v>
      </c>
      <c r="AA21" s="8">
        <f t="shared" si="56"/>
        <v>9685.9533398085987</v>
      </c>
      <c r="AB21" s="8">
        <f t="shared" si="57"/>
        <v>1053.8065928956794</v>
      </c>
      <c r="AC21" s="8">
        <f t="shared" si="58"/>
        <v>6689.5843731700279</v>
      </c>
      <c r="AD21" s="8">
        <f t="shared" si="59"/>
        <v>14678.591792644176</v>
      </c>
      <c r="AE21" s="8">
        <f t="shared" si="60"/>
        <v>0.30166851304576769</v>
      </c>
      <c r="AF21" s="8">
        <f t="shared" si="61"/>
        <v>3.2820751532027119E-2</v>
      </c>
      <c r="AG21" s="8">
        <f t="shared" si="62"/>
        <v>0.20834675740739053</v>
      </c>
      <c r="AH21" s="8">
        <f t="shared" si="63"/>
        <v>0.45716397801481462</v>
      </c>
      <c r="AN21" s="10">
        <v>25</v>
      </c>
      <c r="AO21" s="8">
        <f t="shared" si="53"/>
        <v>0.42503916960438698</v>
      </c>
      <c r="AP21" s="8">
        <f t="shared" si="54"/>
        <v>0.35696561503013113</v>
      </c>
      <c r="AV21" s="5">
        <f t="shared" si="55"/>
        <v>17362</v>
      </c>
      <c r="AW21" s="5">
        <f t="shared" si="55"/>
        <v>201400</v>
      </c>
    </row>
    <row r="22" spans="1:49" x14ac:dyDescent="0.2">
      <c r="A22" s="5" t="s">
        <v>440</v>
      </c>
      <c r="B22" s="10">
        <v>25</v>
      </c>
      <c r="C22" s="5">
        <v>85316</v>
      </c>
      <c r="D22" s="5">
        <v>5617</v>
      </c>
      <c r="E22" s="5">
        <v>1664</v>
      </c>
      <c r="F22" s="5">
        <v>176</v>
      </c>
      <c r="G22" s="5">
        <v>5593</v>
      </c>
      <c r="H22" s="5">
        <v>17327</v>
      </c>
      <c r="I22" s="7">
        <v>186600</v>
      </c>
      <c r="J22" s="7">
        <v>282500</v>
      </c>
      <c r="K22" s="5">
        <v>2258</v>
      </c>
      <c r="L22" s="5">
        <v>45136</v>
      </c>
      <c r="M22" s="7">
        <v>507200</v>
      </c>
      <c r="N22" s="7">
        <v>2120000</v>
      </c>
      <c r="O22" s="8">
        <f t="shared" si="41"/>
        <v>0.96065646052291298</v>
      </c>
      <c r="P22" s="8">
        <f t="shared" si="41"/>
        <v>1.1424422671714625</v>
      </c>
      <c r="Q22" s="8">
        <f t="shared" si="41"/>
        <v>3.1014113646866295</v>
      </c>
      <c r="R22" s="8">
        <f t="shared" si="41"/>
        <v>9.9390471910493456</v>
      </c>
      <c r="S22" s="8">
        <f t="shared" si="42"/>
        <v>0.4639623302695759</v>
      </c>
      <c r="T22" s="8">
        <f t="shared" si="42"/>
        <v>0.78033517674119579</v>
      </c>
      <c r="U22" s="8">
        <f t="shared" si="42"/>
        <v>15.611927276609082</v>
      </c>
      <c r="V22" s="8">
        <f t="shared" si="42"/>
        <v>513.82195316206059</v>
      </c>
      <c r="W22" s="8">
        <f t="shared" si="43"/>
        <v>0.12295001752143761</v>
      </c>
      <c r="X22" s="8">
        <f t="shared" si="44"/>
        <v>0.17048950755512046</v>
      </c>
      <c r="Y22" s="8">
        <f t="shared" si="44"/>
        <v>3.0166491471652463</v>
      </c>
      <c r="Z22" s="8">
        <f t="shared" si="44"/>
        <v>86.033845807828001</v>
      </c>
      <c r="AA22" s="8">
        <f t="shared" si="56"/>
        <v>10489.603694858972</v>
      </c>
      <c r="AB22" s="8">
        <f t="shared" si="57"/>
        <v>957.63956393711169</v>
      </c>
      <c r="AC22" s="8">
        <f t="shared" si="58"/>
        <v>5019.7041808829699</v>
      </c>
      <c r="AD22" s="8">
        <f t="shared" si="59"/>
        <v>15141.956862177729</v>
      </c>
      <c r="AE22" s="8">
        <f t="shared" si="60"/>
        <v>0.33185597307284032</v>
      </c>
      <c r="AF22" s="8">
        <f t="shared" si="61"/>
        <v>3.0296512488756457E-2</v>
      </c>
      <c r="AG22" s="8">
        <f t="shared" si="62"/>
        <v>0.15880664932090355</v>
      </c>
      <c r="AH22" s="8">
        <f t="shared" si="63"/>
        <v>0.47904086511749966</v>
      </c>
      <c r="AN22" s="10">
        <v>25</v>
      </c>
      <c r="AO22" s="8">
        <f t="shared" si="53"/>
        <v>0.38388426090038991</v>
      </c>
      <c r="AP22" s="8">
        <f t="shared" si="54"/>
        <v>0.36790220820189273</v>
      </c>
      <c r="AV22" s="5">
        <f t="shared" si="55"/>
        <v>17327</v>
      </c>
      <c r="AW22" s="5">
        <f t="shared" si="55"/>
        <v>186600</v>
      </c>
    </row>
    <row r="23" spans="1:49" x14ac:dyDescent="0.2">
      <c r="A23" s="5" t="s">
        <v>441</v>
      </c>
      <c r="B23" s="10">
        <v>45</v>
      </c>
      <c r="C23" s="5">
        <v>30459</v>
      </c>
      <c r="D23" s="5">
        <v>2151</v>
      </c>
      <c r="E23" s="5">
        <v>360</v>
      </c>
      <c r="F23" s="5">
        <v>33</v>
      </c>
      <c r="G23" s="5">
        <v>7040</v>
      </c>
      <c r="H23" s="5">
        <v>23259</v>
      </c>
      <c r="I23" s="7">
        <v>207300</v>
      </c>
      <c r="J23" s="7">
        <v>283400</v>
      </c>
      <c r="K23" s="5">
        <v>9995</v>
      </c>
      <c r="L23" s="5">
        <v>46974</v>
      </c>
      <c r="M23" s="7">
        <v>512200</v>
      </c>
      <c r="N23" s="7">
        <v>2028000</v>
      </c>
      <c r="O23" s="8">
        <f t="shared" si="41"/>
        <v>0.99345828864082486</v>
      </c>
      <c r="P23" s="8">
        <f t="shared" si="41"/>
        <v>1.1502346621670321</v>
      </c>
      <c r="Q23" s="8">
        <f t="shared" si="41"/>
        <v>3.1226093924221292</v>
      </c>
      <c r="R23" s="8">
        <f t="shared" si="41"/>
        <v>9.5490034807161539</v>
      </c>
      <c r="S23" s="8">
        <f t="shared" si="42"/>
        <v>0.51312988655478553</v>
      </c>
      <c r="T23" s="8">
        <f t="shared" si="42"/>
        <v>0.79641191768632225</v>
      </c>
      <c r="U23" s="8">
        <f t="shared" si="42"/>
        <v>15.934241047417586</v>
      </c>
      <c r="V23" s="8">
        <f t="shared" si="42"/>
        <v>455.67221994364445</v>
      </c>
      <c r="W23" s="8">
        <f t="shared" si="43"/>
        <v>0.13597941993701818</v>
      </c>
      <c r="X23" s="8">
        <f t="shared" si="44"/>
        <v>0.17385656812000966</v>
      </c>
      <c r="Y23" s="8">
        <f t="shared" si="44"/>
        <v>3.0763503676113553</v>
      </c>
      <c r="Z23" s="8">
        <f t="shared" si="44"/>
        <v>76.673943053730241</v>
      </c>
      <c r="AA23" s="8">
        <f t="shared" si="56"/>
        <v>4141.7971518616368</v>
      </c>
      <c r="AB23" s="8">
        <f t="shared" si="57"/>
        <v>373.96547802614077</v>
      </c>
      <c r="AC23" s="8">
        <f t="shared" si="58"/>
        <v>1107.4861323400878</v>
      </c>
      <c r="AD23" s="8">
        <f t="shared" si="59"/>
        <v>2530.2401207730982</v>
      </c>
      <c r="AE23" s="8">
        <f t="shared" si="60"/>
        <v>0.50797851217983281</v>
      </c>
      <c r="AF23" s="8">
        <f t="shared" si="61"/>
        <v>4.5865700363658245E-2</v>
      </c>
      <c r="AG23" s="8">
        <f t="shared" si="62"/>
        <v>0.13582972249450934</v>
      </c>
      <c r="AH23" s="8">
        <f t="shared" si="63"/>
        <v>0.31032606496199955</v>
      </c>
      <c r="AN23" s="10">
        <v>45</v>
      </c>
      <c r="AO23" s="8">
        <f t="shared" si="53"/>
        <v>0.49514625111763955</v>
      </c>
      <c r="AP23" s="8">
        <f t="shared" si="54"/>
        <v>0.40472471690745804</v>
      </c>
      <c r="AV23" s="5">
        <f t="shared" si="55"/>
        <v>23259</v>
      </c>
      <c r="AW23" s="5">
        <f t="shared" si="55"/>
        <v>207300</v>
      </c>
    </row>
    <row r="24" spans="1:49" x14ac:dyDescent="0.2">
      <c r="A24" s="5" t="s">
        <v>442</v>
      </c>
      <c r="B24" s="10">
        <v>45</v>
      </c>
      <c r="C24" s="5">
        <v>96351</v>
      </c>
      <c r="D24" s="5">
        <v>6320</v>
      </c>
      <c r="E24" s="5">
        <v>982</v>
      </c>
      <c r="F24" s="5">
        <v>107</v>
      </c>
      <c r="G24" s="5">
        <v>7859</v>
      </c>
      <c r="H24" s="5">
        <v>24583</v>
      </c>
      <c r="I24" s="7">
        <v>210300</v>
      </c>
      <c r="J24" s="7">
        <v>287600</v>
      </c>
      <c r="K24" s="5">
        <v>8824</v>
      </c>
      <c r="L24" s="5">
        <v>41985</v>
      </c>
      <c r="M24" s="7">
        <v>421200</v>
      </c>
      <c r="N24" s="7">
        <v>2338000</v>
      </c>
      <c r="O24" s="8">
        <f t="shared" si="41"/>
        <v>0.98849371054517088</v>
      </c>
      <c r="P24" s="8">
        <f t="shared" si="41"/>
        <v>1.1290832700925506</v>
      </c>
      <c r="Q24" s="8">
        <f t="shared" si="41"/>
        <v>2.7368052876360385</v>
      </c>
      <c r="R24" s="8">
        <f t="shared" si="41"/>
        <v>10.863281200317122</v>
      </c>
      <c r="S24" s="8">
        <f t="shared" si="42"/>
        <v>0.50547552133237739</v>
      </c>
      <c r="T24" s="8">
        <f t="shared" si="42"/>
        <v>0.7532797885084368</v>
      </c>
      <c r="U24" s="8">
        <f t="shared" si="42"/>
        <v>10.727785923851659</v>
      </c>
      <c r="V24" s="8">
        <f t="shared" si="42"/>
        <v>670.90567024672464</v>
      </c>
      <c r="W24" s="8">
        <f t="shared" si="43"/>
        <v>0.13395101315308</v>
      </c>
      <c r="X24" s="8">
        <f t="shared" si="44"/>
        <v>0.16481665887768776</v>
      </c>
      <c r="Y24" s="8">
        <f t="shared" si="44"/>
        <v>2.1050343372094757</v>
      </c>
      <c r="Z24" s="8">
        <f t="shared" si="44"/>
        <v>111.11388751827837</v>
      </c>
      <c r="AA24" s="8">
        <f t="shared" si="56"/>
        <v>12906.314068312411</v>
      </c>
      <c r="AB24" s="8">
        <f t="shared" si="57"/>
        <v>1041.6412841069866</v>
      </c>
      <c r="AC24" s="8">
        <f t="shared" si="58"/>
        <v>2067.1437191397054</v>
      </c>
      <c r="AD24" s="8">
        <f t="shared" si="59"/>
        <v>11889.185964455786</v>
      </c>
      <c r="AE24" s="8">
        <f t="shared" si="60"/>
        <v>0.46252086558228511</v>
      </c>
      <c r="AF24" s="8">
        <f t="shared" si="61"/>
        <v>3.732907984428141E-2</v>
      </c>
      <c r="AG24" s="8">
        <f t="shared" si="62"/>
        <v>7.4079795145144553E-2</v>
      </c>
      <c r="AH24" s="8">
        <f t="shared" si="63"/>
        <v>0.42607025942828902</v>
      </c>
      <c r="AN24" s="10">
        <v>45</v>
      </c>
      <c r="AO24" s="8">
        <f t="shared" si="53"/>
        <v>0.58551863760866973</v>
      </c>
      <c r="AP24" s="8">
        <f t="shared" si="54"/>
        <v>0.49928774928774927</v>
      </c>
      <c r="AV24" s="5">
        <f t="shared" si="55"/>
        <v>24583</v>
      </c>
      <c r="AW24" s="5">
        <f t="shared" si="55"/>
        <v>210300</v>
      </c>
    </row>
    <row r="25" spans="1:49" x14ac:dyDescent="0.2">
      <c r="A25" s="5" t="s">
        <v>443</v>
      </c>
      <c r="B25" s="10">
        <v>45</v>
      </c>
      <c r="C25" s="7">
        <v>107200</v>
      </c>
      <c r="D25" s="5">
        <v>6423</v>
      </c>
      <c r="E25" s="5">
        <v>1185</v>
      </c>
      <c r="F25" s="5">
        <v>142</v>
      </c>
      <c r="G25" s="5">
        <v>6727</v>
      </c>
      <c r="H25" s="5">
        <v>23554</v>
      </c>
      <c r="I25" s="7">
        <v>210800</v>
      </c>
      <c r="J25" s="7">
        <v>284800</v>
      </c>
      <c r="K25" s="5">
        <v>1176</v>
      </c>
      <c r="L25" s="5">
        <v>41721</v>
      </c>
      <c r="M25" s="7">
        <v>462100</v>
      </c>
      <c r="N25" s="7">
        <v>2223000</v>
      </c>
      <c r="O25" s="8">
        <f t="shared" si="41"/>
        <v>0.95606920732095091</v>
      </c>
      <c r="P25" s="8">
        <f t="shared" si="41"/>
        <v>1.1279640142281162</v>
      </c>
      <c r="Q25" s="8">
        <f t="shared" si="41"/>
        <v>2.9102051545124241</v>
      </c>
      <c r="R25" s="8">
        <f t="shared" si="41"/>
        <v>10.375726562400635</v>
      </c>
      <c r="S25" s="8">
        <f t="shared" si="42"/>
        <v>0.45734758506319306</v>
      </c>
      <c r="T25" s="8">
        <f t="shared" si="42"/>
        <v>0.75104183845234096</v>
      </c>
      <c r="U25" s="8">
        <f t="shared" si="42"/>
        <v>12.898797194508527</v>
      </c>
      <c r="V25" s="8">
        <f t="shared" si="42"/>
        <v>584.56653806902204</v>
      </c>
      <c r="W25" s="8">
        <f t="shared" si="43"/>
        <v>0.12119711004174616</v>
      </c>
      <c r="X25" s="8">
        <f t="shared" si="44"/>
        <v>0.16434704571041736</v>
      </c>
      <c r="Y25" s="8">
        <f t="shared" si="44"/>
        <v>2.5119830041669395</v>
      </c>
      <c r="Z25" s="8">
        <f t="shared" si="44"/>
        <v>97.362957978624408</v>
      </c>
      <c r="AA25" s="8">
        <f t="shared" si="56"/>
        <v>12992.330196475188</v>
      </c>
      <c r="AB25" s="8">
        <f t="shared" si="57"/>
        <v>1055.6010745980107</v>
      </c>
      <c r="AC25" s="8">
        <f t="shared" si="58"/>
        <v>2976.6998599378235</v>
      </c>
      <c r="AD25" s="8">
        <f t="shared" si="59"/>
        <v>13825.540032964665</v>
      </c>
      <c r="AE25" s="8">
        <f t="shared" si="60"/>
        <v>0.42114288855701948</v>
      </c>
      <c r="AF25" s="8">
        <f t="shared" si="61"/>
        <v>3.42170248906319E-2</v>
      </c>
      <c r="AG25" s="8">
        <f t="shared" si="62"/>
        <v>9.6488925267739542E-2</v>
      </c>
      <c r="AH25" s="8">
        <f t="shared" si="63"/>
        <v>0.44815116128460913</v>
      </c>
      <c r="AN25" s="10">
        <v>45</v>
      </c>
      <c r="AO25" s="8">
        <f t="shared" si="53"/>
        <v>0.56455981400254074</v>
      </c>
      <c r="AP25" s="8">
        <f t="shared" si="54"/>
        <v>0.45617831638173556</v>
      </c>
      <c r="AV25" s="5">
        <f t="shared" si="55"/>
        <v>23554</v>
      </c>
      <c r="AW25" s="5">
        <f t="shared" si="55"/>
        <v>210800</v>
      </c>
    </row>
    <row r="26" spans="1:49" x14ac:dyDescent="0.2">
      <c r="A26" s="5" t="s">
        <v>444</v>
      </c>
      <c r="B26" s="10">
        <v>70</v>
      </c>
      <c r="C26" s="5">
        <v>20738</v>
      </c>
      <c r="D26" s="5">
        <v>2756</v>
      </c>
      <c r="E26" s="5">
        <v>600</v>
      </c>
      <c r="F26" s="5">
        <v>78</v>
      </c>
      <c r="G26" s="5">
        <v>12019</v>
      </c>
      <c r="H26" s="5">
        <v>27044</v>
      </c>
      <c r="I26" s="7">
        <v>178200</v>
      </c>
      <c r="J26" s="7">
        <v>287300</v>
      </c>
      <c r="K26" s="5">
        <v>3346</v>
      </c>
      <c r="L26" s="5">
        <v>26085</v>
      </c>
      <c r="M26" s="7">
        <v>291200</v>
      </c>
      <c r="N26" s="7">
        <v>1390000</v>
      </c>
      <c r="O26" s="8">
        <f t="shared" si="41"/>
        <v>0.96526915135815761</v>
      </c>
      <c r="P26" s="8">
        <f t="shared" si="41"/>
        <v>1.0616735418936623</v>
      </c>
      <c r="Q26" s="8">
        <f t="shared" si="41"/>
        <v>2.1856565665130518</v>
      </c>
      <c r="R26" s="8">
        <f t="shared" si="41"/>
        <v>6.8441351416664196</v>
      </c>
      <c r="S26" s="8">
        <f t="shared" si="42"/>
        <v>0.47067776072420542</v>
      </c>
      <c r="T26" s="8">
        <f t="shared" si="42"/>
        <v>0.62625525170649732</v>
      </c>
      <c r="U26" s="8">
        <f t="shared" si="42"/>
        <v>5.4641695121578362</v>
      </c>
      <c r="V26" s="8">
        <f t="shared" si="42"/>
        <v>167.77765760580334</v>
      </c>
      <c r="W26" s="8">
        <f t="shared" si="43"/>
        <v>0.12472960659191443</v>
      </c>
      <c r="X26" s="8">
        <f t="shared" si="44"/>
        <v>0.13806531059012361</v>
      </c>
      <c r="Y26" s="8">
        <f t="shared" si="44"/>
        <v>1.1022641256340613</v>
      </c>
      <c r="Z26" s="8">
        <f t="shared" si="44"/>
        <v>29.411693233140756</v>
      </c>
      <c r="AA26" s="8">
        <f t="shared" si="56"/>
        <v>2586.6425815031212</v>
      </c>
      <c r="AB26" s="8">
        <f t="shared" si="57"/>
        <v>380.50799598638071</v>
      </c>
      <c r="AC26" s="8">
        <f t="shared" si="58"/>
        <v>661.35847538043674</v>
      </c>
      <c r="AD26" s="8">
        <f t="shared" si="59"/>
        <v>2294.1120721849788</v>
      </c>
      <c r="AE26" s="8">
        <f t="shared" si="60"/>
        <v>0.43673949876021095</v>
      </c>
      <c r="AF26" s="8">
        <f t="shared" si="61"/>
        <v>6.4246553671429132E-2</v>
      </c>
      <c r="AG26" s="8">
        <f t="shared" si="62"/>
        <v>0.11166651747866184</v>
      </c>
      <c r="AH26" s="8">
        <f t="shared" si="63"/>
        <v>0.38734743008969819</v>
      </c>
      <c r="AN26" s="10">
        <v>70</v>
      </c>
      <c r="AO26" s="8">
        <f t="shared" si="53"/>
        <v>1.0367644239984666</v>
      </c>
      <c r="AP26" s="8">
        <f t="shared" si="54"/>
        <v>0.6119505494505495</v>
      </c>
      <c r="AV26" s="5">
        <f t="shared" si="55"/>
        <v>27044</v>
      </c>
      <c r="AW26" s="5">
        <f t="shared" si="55"/>
        <v>178200</v>
      </c>
    </row>
    <row r="27" spans="1:49" x14ac:dyDescent="0.2">
      <c r="A27" s="5" t="s">
        <v>445</v>
      </c>
      <c r="B27" s="10">
        <v>70</v>
      </c>
      <c r="C27" s="5">
        <v>69701</v>
      </c>
      <c r="D27" s="5">
        <v>9513</v>
      </c>
      <c r="E27" s="5">
        <v>2099</v>
      </c>
      <c r="F27" s="5">
        <v>228</v>
      </c>
      <c r="G27" s="5">
        <v>14631</v>
      </c>
      <c r="H27" s="5">
        <v>27920</v>
      </c>
      <c r="I27" s="7">
        <v>180200</v>
      </c>
      <c r="J27" s="7">
        <v>291300</v>
      </c>
      <c r="K27" s="5">
        <v>2191</v>
      </c>
      <c r="L27" s="5">
        <v>23990</v>
      </c>
      <c r="M27" s="7">
        <v>290100</v>
      </c>
      <c r="N27" s="7">
        <v>1530000</v>
      </c>
      <c r="O27" s="8">
        <f t="shared" si="41"/>
        <v>0.96037240695125725</v>
      </c>
      <c r="P27" s="8">
        <f t="shared" si="41"/>
        <v>1.052791568272488</v>
      </c>
      <c r="Q27" s="8">
        <f t="shared" si="41"/>
        <v>2.1809930004112417</v>
      </c>
      <c r="R27" s="8">
        <f t="shared" si="41"/>
        <v>7.4376799182604048</v>
      </c>
      <c r="S27" s="8">
        <f t="shared" si="42"/>
        <v>0.46355088914263859</v>
      </c>
      <c r="T27" s="8">
        <f t="shared" si="42"/>
        <v>0.61066860321566008</v>
      </c>
      <c r="U27" s="8">
        <f t="shared" si="42"/>
        <v>5.4292671642255739</v>
      </c>
      <c r="V27" s="8">
        <f t="shared" si="42"/>
        <v>215.32321277240061</v>
      </c>
      <c r="W27" s="8">
        <f t="shared" si="43"/>
        <v>0.12284098562279923</v>
      </c>
      <c r="X27" s="8">
        <f t="shared" si="44"/>
        <v>0.13476824180789632</v>
      </c>
      <c r="Y27" s="8">
        <f t="shared" si="44"/>
        <v>1.0955112033630485</v>
      </c>
      <c r="Z27" s="8">
        <f t="shared" si="44"/>
        <v>37.362344992850169</v>
      </c>
      <c r="AA27" s="8">
        <f t="shared" si="56"/>
        <v>8562.1395388947294</v>
      </c>
      <c r="AB27" s="8">
        <f t="shared" si="57"/>
        <v>1282.0502843185177</v>
      </c>
      <c r="AC27" s="8">
        <f t="shared" si="58"/>
        <v>2299.4780158590388</v>
      </c>
      <c r="AD27" s="8">
        <f t="shared" si="59"/>
        <v>8518.6146583698392</v>
      </c>
      <c r="AE27" s="8">
        <f t="shared" si="60"/>
        <v>0.4143849809407395</v>
      </c>
      <c r="AF27" s="8">
        <f t="shared" si="61"/>
        <v>6.2047853835955853E-2</v>
      </c>
      <c r="AG27" s="8">
        <f t="shared" si="62"/>
        <v>0.11128867375342978</v>
      </c>
      <c r="AH27" s="8">
        <f t="shared" si="63"/>
        <v>0.41227849146987494</v>
      </c>
      <c r="AN27" s="10">
        <v>70</v>
      </c>
      <c r="AO27" s="8">
        <f t="shared" si="53"/>
        <v>1.1638182576073364</v>
      </c>
      <c r="AP27" s="8">
        <f t="shared" si="54"/>
        <v>0.62116511547742159</v>
      </c>
      <c r="AV27" s="5">
        <f t="shared" si="55"/>
        <v>27920</v>
      </c>
      <c r="AW27" s="5">
        <f t="shared" si="55"/>
        <v>180200</v>
      </c>
    </row>
    <row r="28" spans="1:49" x14ac:dyDescent="0.2">
      <c r="A28" s="5" t="s">
        <v>446</v>
      </c>
      <c r="B28" s="10">
        <v>70</v>
      </c>
      <c r="C28" s="5">
        <v>64502</v>
      </c>
      <c r="D28" s="5">
        <v>8353</v>
      </c>
      <c r="E28" s="5">
        <v>1910</v>
      </c>
      <c r="F28" s="5">
        <v>222</v>
      </c>
      <c r="G28" s="5">
        <v>14449</v>
      </c>
      <c r="H28" s="5">
        <v>27720</v>
      </c>
      <c r="I28" s="7">
        <v>184300</v>
      </c>
      <c r="J28" s="7">
        <v>290900</v>
      </c>
      <c r="K28" s="5">
        <v>3812</v>
      </c>
      <c r="L28" s="5">
        <v>23853</v>
      </c>
      <c r="M28" s="7">
        <v>283000</v>
      </c>
      <c r="N28" s="7">
        <v>1459000</v>
      </c>
      <c r="O28" s="8">
        <f t="shared" si="41"/>
        <v>0.96724480754310616</v>
      </c>
      <c r="P28" s="8">
        <f t="shared" si="41"/>
        <v>1.0522107423125353</v>
      </c>
      <c r="Q28" s="8">
        <f t="shared" si="41"/>
        <v>2.1508918010268325</v>
      </c>
      <c r="R28" s="8">
        <f t="shared" si="41"/>
        <v>7.1366679244163125</v>
      </c>
      <c r="S28" s="8">
        <f t="shared" si="42"/>
        <v>0.47357374673711189</v>
      </c>
      <c r="T28" s="8">
        <f t="shared" si="42"/>
        <v>0.60965844164032856</v>
      </c>
      <c r="U28" s="8">
        <f t="shared" si="42"/>
        <v>5.2075576914906723</v>
      </c>
      <c r="V28" s="8">
        <f t="shared" si="42"/>
        <v>190.22380522772707</v>
      </c>
      <c r="W28" s="8">
        <f t="shared" si="43"/>
        <v>0.12549704288533464</v>
      </c>
      <c r="X28" s="8">
        <f t="shared" si="44"/>
        <v>0.13455444256736054</v>
      </c>
      <c r="Y28" s="8">
        <f t="shared" si="44"/>
        <v>1.052572676936429</v>
      </c>
      <c r="Z28" s="8">
        <f t="shared" si="44"/>
        <v>33.175311209394692</v>
      </c>
      <c r="AA28" s="8">
        <f t="shared" si="56"/>
        <v>8094.8102601898554</v>
      </c>
      <c r="AB28" s="8">
        <f t="shared" si="57"/>
        <v>1123.9332587651627</v>
      </c>
      <c r="AC28" s="8">
        <f t="shared" si="58"/>
        <v>2010.4138129485793</v>
      </c>
      <c r="AD28" s="8">
        <f t="shared" si="59"/>
        <v>7364.9190884856216</v>
      </c>
      <c r="AE28" s="8">
        <f t="shared" si="60"/>
        <v>0.43534349742230499</v>
      </c>
      <c r="AF28" s="8">
        <f t="shared" si="61"/>
        <v>6.0445769574912621E-2</v>
      </c>
      <c r="AG28" s="8">
        <f t="shared" si="62"/>
        <v>0.10812119771348647</v>
      </c>
      <c r="AH28" s="8">
        <f t="shared" si="63"/>
        <v>0.39608953528929602</v>
      </c>
      <c r="AN28" s="10">
        <v>70</v>
      </c>
      <c r="AO28" s="8">
        <f t="shared" si="53"/>
        <v>1.1621179725820652</v>
      </c>
      <c r="AP28" s="8">
        <f t="shared" si="54"/>
        <v>0.65123674911660778</v>
      </c>
      <c r="AV28" s="5">
        <f t="shared" si="55"/>
        <v>27720</v>
      </c>
      <c r="AW28" s="5">
        <f t="shared" si="55"/>
        <v>184300</v>
      </c>
    </row>
    <row r="29" spans="1:49" x14ac:dyDescent="0.2">
      <c r="A29" s="5" t="s">
        <v>447</v>
      </c>
      <c r="B29" s="10">
        <v>100</v>
      </c>
      <c r="C29" s="5">
        <v>9668</v>
      </c>
      <c r="D29" s="5">
        <v>1803</v>
      </c>
      <c r="E29" s="5">
        <v>618</v>
      </c>
      <c r="F29" s="5">
        <v>36</v>
      </c>
      <c r="G29" s="5">
        <v>20673</v>
      </c>
      <c r="H29" s="5">
        <v>55955</v>
      </c>
      <c r="I29" s="7">
        <v>239300</v>
      </c>
      <c r="J29" s="7">
        <v>293500</v>
      </c>
      <c r="K29" s="5">
        <v>7416</v>
      </c>
      <c r="L29" s="5">
        <v>39195</v>
      </c>
      <c r="M29" s="7">
        <v>213400</v>
      </c>
      <c r="N29" s="7">
        <v>1636000</v>
      </c>
      <c r="O29" s="8">
        <f t="shared" si="41"/>
        <v>0.98252434593485427</v>
      </c>
      <c r="P29" s="8">
        <f t="shared" si="41"/>
        <v>1.117254770616142</v>
      </c>
      <c r="Q29" s="8">
        <f t="shared" si="41"/>
        <v>1.8558152549486795</v>
      </c>
      <c r="R29" s="8">
        <f t="shared" si="41"/>
        <v>7.8870781062529947</v>
      </c>
      <c r="S29" s="8">
        <f t="shared" si="42"/>
        <v>0.49637323902248076</v>
      </c>
      <c r="T29" s="8">
        <f t="shared" si="42"/>
        <v>0.7298524175982104</v>
      </c>
      <c r="U29" s="8">
        <f t="shared" si="42"/>
        <v>3.3448959964088991</v>
      </c>
      <c r="V29" s="8">
        <f t="shared" si="42"/>
        <v>256.75967823894854</v>
      </c>
      <c r="W29" s="8">
        <f t="shared" si="43"/>
        <v>0.13153890834095738</v>
      </c>
      <c r="X29" s="8">
        <f t="shared" si="44"/>
        <v>0.15989777254458626</v>
      </c>
      <c r="Y29" s="8">
        <f t="shared" si="44"/>
        <v>0.68846668785749399</v>
      </c>
      <c r="Z29" s="8">
        <f t="shared" si="44"/>
        <v>44.23196395680354</v>
      </c>
      <c r="AA29" s="8">
        <f t="shared" si="56"/>
        <v>1271.7181658403761</v>
      </c>
      <c r="AB29" s="8">
        <f t="shared" si="57"/>
        <v>288.29568389788903</v>
      </c>
      <c r="AC29" s="8">
        <f t="shared" si="58"/>
        <v>425.4724130959313</v>
      </c>
      <c r="AD29" s="8">
        <f t="shared" si="59"/>
        <v>1592.3507024449275</v>
      </c>
      <c r="AE29" s="8">
        <f t="shared" si="60"/>
        <v>0.35544329665708047</v>
      </c>
      <c r="AF29" s="8">
        <f t="shared" si="61"/>
        <v>8.0578205965122218E-2</v>
      </c>
      <c r="AG29" s="8">
        <f t="shared" si="62"/>
        <v>0.11891889351720035</v>
      </c>
      <c r="AH29" s="8">
        <f t="shared" si="63"/>
        <v>0.44505960386059706</v>
      </c>
      <c r="AN29" s="10">
        <v>100</v>
      </c>
      <c r="AO29" s="8">
        <f t="shared" si="53"/>
        <v>1.4276055619339201</v>
      </c>
      <c r="AP29" s="8">
        <f t="shared" si="54"/>
        <v>1.1213683223992503</v>
      </c>
      <c r="AV29" s="5">
        <f t="shared" si="55"/>
        <v>55955</v>
      </c>
      <c r="AW29" s="5">
        <f t="shared" si="55"/>
        <v>239300</v>
      </c>
    </row>
    <row r="30" spans="1:49" x14ac:dyDescent="0.2">
      <c r="A30" s="5" t="s">
        <v>448</v>
      </c>
      <c r="B30" s="10">
        <v>100</v>
      </c>
      <c r="C30" s="5">
        <v>19062</v>
      </c>
      <c r="D30" s="5">
        <v>3454</v>
      </c>
      <c r="E30" s="5">
        <v>1297</v>
      </c>
      <c r="F30" s="5">
        <v>58</v>
      </c>
      <c r="G30" s="5">
        <v>23310</v>
      </c>
      <c r="H30" s="5">
        <v>56994</v>
      </c>
      <c r="I30" s="7">
        <v>243300</v>
      </c>
      <c r="J30" s="7">
        <v>285200</v>
      </c>
      <c r="K30" s="5">
        <v>6120</v>
      </c>
      <c r="L30" s="5">
        <v>36770</v>
      </c>
      <c r="M30" s="7">
        <v>208400</v>
      </c>
      <c r="N30" s="7">
        <v>1021000</v>
      </c>
      <c r="O30" s="8">
        <f t="shared" ref="O30:O31" si="64">(224333+K30)/235871</f>
        <v>0.97702981714581272</v>
      </c>
      <c r="P30" s="8">
        <f t="shared" ref="P30:P31" si="65">(224333+L30)/235871</f>
        <v>1.1069737271644247</v>
      </c>
      <c r="Q30" s="8">
        <f t="shared" ref="Q30:Q31" si="66">(224333+M30)/235871</f>
        <v>1.83461722721318</v>
      </c>
      <c r="R30" s="8">
        <f t="shared" ref="R30:R31" si="67">(224333+N30)/235871</f>
        <v>5.2797206947865574</v>
      </c>
      <c r="S30" s="8">
        <f t="shared" ref="S30:S31" si="68">4/3*3.14*((O30/2)^3)</f>
        <v>0.48809218158909362</v>
      </c>
      <c r="T30" s="8">
        <f t="shared" ref="T30:T31" si="69">4/3*3.14*((P30/2)^3)</f>
        <v>0.70988882261812836</v>
      </c>
      <c r="U30" s="8">
        <f t="shared" ref="U30:U31" si="70">4/3*3.14*((Q30/2)^3)</f>
        <v>3.2315791650972776</v>
      </c>
      <c r="V30" s="8">
        <f t="shared" ref="V30:V31" si="71">4/3*3.14*((R30/2)^3)</f>
        <v>77.021370592205884</v>
      </c>
      <c r="W30" s="8">
        <f t="shared" si="43"/>
        <v>0.12934442812110983</v>
      </c>
      <c r="X30" s="8">
        <f t="shared" ref="X30:X31" si="72">(10^(-0.665+LOG(T30, 10)*0.959))</f>
        <v>0.15570104747578356</v>
      </c>
      <c r="Y30" s="8">
        <f t="shared" ref="Y30:Y31" si="73">(10^(-0.665+LOG(U30, 10)*0.959))</f>
        <v>0.66608367956838088</v>
      </c>
      <c r="Z30" s="8">
        <f t="shared" ref="Z30:Z31" si="74">(10^(-0.665+LOG(V30, 10)*0.959))</f>
        <v>13.939916798911245</v>
      </c>
      <c r="AA30" s="8">
        <f t="shared" si="56"/>
        <v>2465.5634888445957</v>
      </c>
      <c r="AB30" s="8">
        <f t="shared" si="57"/>
        <v>537.7914179813564</v>
      </c>
      <c r="AC30" s="8">
        <f t="shared" si="58"/>
        <v>863.91053240019005</v>
      </c>
      <c r="AD30" s="8">
        <f t="shared" si="59"/>
        <v>808.51517433685217</v>
      </c>
      <c r="AE30" s="8">
        <f t="shared" si="60"/>
        <v>0.52730521224472293</v>
      </c>
      <c r="AF30" s="8">
        <f t="shared" si="61"/>
        <v>0.11501639243325269</v>
      </c>
      <c r="AG30" s="8">
        <f t="shared" si="62"/>
        <v>0.18476284577900268</v>
      </c>
      <c r="AH30" s="8">
        <f t="shared" si="63"/>
        <v>0.17291554954302166</v>
      </c>
      <c r="AN30" s="10">
        <v>100</v>
      </c>
      <c r="AO30" s="8">
        <f t="shared" si="53"/>
        <v>1.5500135980418819</v>
      </c>
      <c r="AP30" s="8">
        <f t="shared" si="54"/>
        <v>1.1674664107485604</v>
      </c>
      <c r="AV30" s="5">
        <f t="shared" ref="AV30:AW31" si="75">H30</f>
        <v>56994</v>
      </c>
      <c r="AW30" s="5">
        <f t="shared" si="75"/>
        <v>243300</v>
      </c>
    </row>
    <row r="31" spans="1:49" x14ac:dyDescent="0.2">
      <c r="A31" s="5" t="s">
        <v>449</v>
      </c>
      <c r="B31" s="10">
        <v>100</v>
      </c>
      <c r="C31" s="5">
        <v>18264</v>
      </c>
      <c r="D31" s="5">
        <v>3396</v>
      </c>
      <c r="E31" s="5">
        <v>1246</v>
      </c>
      <c r="F31" s="5">
        <v>57</v>
      </c>
      <c r="G31" s="5">
        <v>23221</v>
      </c>
      <c r="H31" s="5">
        <v>57617</v>
      </c>
      <c r="I31" s="7">
        <v>247300</v>
      </c>
      <c r="J31" s="7">
        <v>279100</v>
      </c>
      <c r="K31" s="5">
        <v>6184</v>
      </c>
      <c r="L31" s="5">
        <v>38305</v>
      </c>
      <c r="M31" s="7">
        <v>196300</v>
      </c>
      <c r="N31" s="7">
        <v>1107000</v>
      </c>
      <c r="O31" s="8">
        <f t="shared" si="64"/>
        <v>0.97730115190082711</v>
      </c>
      <c r="P31" s="8">
        <f t="shared" si="65"/>
        <v>1.1134815216792229</v>
      </c>
      <c r="Q31" s="8">
        <f t="shared" si="66"/>
        <v>1.7833180000932713</v>
      </c>
      <c r="R31" s="8">
        <f t="shared" si="67"/>
        <v>5.6443267718371484</v>
      </c>
      <c r="S31" s="8">
        <f t="shared" si="68"/>
        <v>0.48849894447293785</v>
      </c>
      <c r="T31" s="8">
        <f t="shared" si="69"/>
        <v>0.72248268043098374</v>
      </c>
      <c r="U31" s="8">
        <f t="shared" si="70"/>
        <v>2.9680060183974257</v>
      </c>
      <c r="V31" s="8">
        <f t="shared" si="71"/>
        <v>94.105464796545462</v>
      </c>
      <c r="W31" s="8">
        <f t="shared" si="43"/>
        <v>0.12945222028532855</v>
      </c>
      <c r="X31" s="8">
        <f t="shared" si="72"/>
        <v>0.15834906941508731</v>
      </c>
      <c r="Y31" s="8">
        <f t="shared" si="73"/>
        <v>0.61389447019603016</v>
      </c>
      <c r="Z31" s="8">
        <f t="shared" si="74"/>
        <v>16.892605326460114</v>
      </c>
      <c r="AA31" s="8">
        <f t="shared" si="56"/>
        <v>2364.3153512912404</v>
      </c>
      <c r="AB31" s="8">
        <f t="shared" si="57"/>
        <v>537.75343973363647</v>
      </c>
      <c r="AC31" s="8">
        <f t="shared" si="58"/>
        <v>764.91250986425359</v>
      </c>
      <c r="AD31" s="8">
        <f t="shared" si="59"/>
        <v>962.87850360822654</v>
      </c>
      <c r="AE31" s="8">
        <f t="shared" si="60"/>
        <v>0.51066672666731505</v>
      </c>
      <c r="AF31" s="8">
        <f t="shared" si="61"/>
        <v>0.11614896831460708</v>
      </c>
      <c r="AG31" s="8">
        <f t="shared" si="62"/>
        <v>0.16521288811407039</v>
      </c>
      <c r="AH31" s="8">
        <f t="shared" si="63"/>
        <v>0.20797141690400753</v>
      </c>
      <c r="AN31" s="10">
        <v>100</v>
      </c>
      <c r="AO31" s="8">
        <f t="shared" si="53"/>
        <v>1.5041639472653701</v>
      </c>
      <c r="AP31" s="8">
        <f t="shared" si="54"/>
        <v>1.2598064187468161</v>
      </c>
      <c r="AV31" s="5">
        <f t="shared" si="75"/>
        <v>57617</v>
      </c>
      <c r="AW31" s="5">
        <f t="shared" si="75"/>
        <v>247300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424</v>
      </c>
      <c r="B38" s="10">
        <v>5</v>
      </c>
      <c r="C38" s="31">
        <f>1-0.235-0.025</f>
        <v>0.74</v>
      </c>
      <c r="D38" s="12">
        <f>H38/$C38</f>
        <v>34410.810810810814</v>
      </c>
      <c r="E38" s="12">
        <f t="shared" ref="E38:G45" si="76">I38/$C38</f>
        <v>3814.864864864865</v>
      </c>
      <c r="F38" s="12">
        <f t="shared" si="76"/>
        <v>1405.4054054054054</v>
      </c>
      <c r="G38" s="12">
        <f>K38/$C38</f>
        <v>266.2162162162162</v>
      </c>
      <c r="H38" s="5">
        <v>25464</v>
      </c>
      <c r="I38" s="5">
        <v>2823</v>
      </c>
      <c r="J38" s="5">
        <v>1040</v>
      </c>
      <c r="K38" s="5">
        <v>197</v>
      </c>
      <c r="L38" s="26">
        <f t="shared" ref="L38:O45" si="77">W4*D38*1000/1000000</f>
        <v>4.3331791895524985</v>
      </c>
      <c r="M38" s="26">
        <f t="shared" si="77"/>
        <v>0.7063489505426801</v>
      </c>
      <c r="N38" s="26">
        <f t="shared" si="77"/>
        <v>3.2888541506631079</v>
      </c>
      <c r="O38" s="26">
        <f t="shared" si="77"/>
        <v>32.775449517571623</v>
      </c>
      <c r="P38" s="26">
        <f>SUM(L38:O38)</f>
        <v>41.103831808329907</v>
      </c>
      <c r="Q38" s="26">
        <f>SUM(L38:N38)</f>
        <v>8.3283822907582863</v>
      </c>
      <c r="R38" s="26">
        <f>(LN(L48/(L38*0.25)))/$B$1</f>
        <v>0.22829115649121634</v>
      </c>
      <c r="S38" s="26">
        <f>(R38-R39)/(1-0.25)</f>
        <v>0.29386184565614293</v>
      </c>
      <c r="T38" s="26">
        <f>S38+R40</f>
        <v>0.28205286286217429</v>
      </c>
      <c r="V38" s="26">
        <f>(LN(L51/(L39*0.25)))/$B$1</f>
        <v>0.12365723562554622</v>
      </c>
      <c r="W38" s="26">
        <f>(V38-V39)/(1-0.25)</f>
        <v>0.26958245906335615</v>
      </c>
      <c r="X38" s="26">
        <f>W38+V40</f>
        <v>0.24953645235852534</v>
      </c>
      <c r="Z38" s="26">
        <f>(LN(L54/(L40*0.25)))/$B$1</f>
        <v>0.16392045007142905</v>
      </c>
      <c r="AA38" s="26">
        <f>(Z38-Z39)/(1-0.25)</f>
        <v>0.12129671609398418</v>
      </c>
      <c r="AB38" s="26">
        <f>AA38+Z40</f>
        <v>0.28961873771595259</v>
      </c>
    </row>
    <row r="39" spans="1:28" x14ac:dyDescent="0.2">
      <c r="A39" s="5" t="s">
        <v>425</v>
      </c>
      <c r="B39" s="10">
        <v>12</v>
      </c>
      <c r="C39" s="31">
        <f>1-0.255-0.025</f>
        <v>0.72</v>
      </c>
      <c r="D39" s="12">
        <f t="shared" ref="D39:D44" si="78">H39/$C39</f>
        <v>33690.277777777781</v>
      </c>
      <c r="E39" s="12">
        <f t="shared" si="76"/>
        <v>4011.1111111111113</v>
      </c>
      <c r="F39" s="12">
        <f t="shared" si="76"/>
        <v>1830.5555555555557</v>
      </c>
      <c r="G39" s="12">
        <f t="shared" si="76"/>
        <v>343.05555555555554</v>
      </c>
      <c r="H39" s="5">
        <v>24257</v>
      </c>
      <c r="I39" s="5">
        <v>2888</v>
      </c>
      <c r="J39" s="5">
        <v>1318</v>
      </c>
      <c r="K39" s="5">
        <v>247</v>
      </c>
      <c r="L39" s="26">
        <f t="shared" si="77"/>
        <v>4.3726997083491703</v>
      </c>
      <c r="M39" s="26">
        <f t="shared" si="77"/>
        <v>0.75576593850178198</v>
      </c>
      <c r="N39" s="26">
        <f t="shared" si="77"/>
        <v>8.5341941141701003</v>
      </c>
      <c r="O39" s="26">
        <f t="shared" si="77"/>
        <v>63.241434941490652</v>
      </c>
      <c r="P39" s="26">
        <f t="shared" ref="P39:P44" si="79">SUM(L39:O39)</f>
        <v>76.904094702511713</v>
      </c>
      <c r="Q39" s="26">
        <f t="shared" ref="Q39:Q44" si="80">SUM(L39:N39)</f>
        <v>13.662659761021054</v>
      </c>
      <c r="R39" s="26">
        <f>(LN(L49/L38))/$B$1</f>
        <v>7.8947722491091513E-3</v>
      </c>
      <c r="V39" s="26">
        <f>(LN(L52/L39))/$B$1</f>
        <v>-7.8529608671970882E-2</v>
      </c>
      <c r="Z39" s="26">
        <f>(LN(L55/L40))/$B$1</f>
        <v>7.2947913000940917E-2</v>
      </c>
    </row>
    <row r="40" spans="1:28" x14ac:dyDescent="0.2">
      <c r="A40" s="5" t="s">
        <v>426</v>
      </c>
      <c r="B40" s="10">
        <v>25</v>
      </c>
      <c r="C40" s="31">
        <f>1-0.235-0.025</f>
        <v>0.74</v>
      </c>
      <c r="D40" s="12">
        <f t="shared" si="78"/>
        <v>97667.567567567574</v>
      </c>
      <c r="E40" s="12">
        <f t="shared" si="76"/>
        <v>8029.72972972973</v>
      </c>
      <c r="F40" s="12">
        <f t="shared" si="76"/>
        <v>2145.9459459459458</v>
      </c>
      <c r="G40" s="12">
        <f t="shared" si="76"/>
        <v>294.59459459459458</v>
      </c>
      <c r="H40" s="5">
        <v>72274</v>
      </c>
      <c r="I40" s="5">
        <v>5942</v>
      </c>
      <c r="J40" s="5">
        <v>1588</v>
      </c>
      <c r="K40" s="5">
        <v>218</v>
      </c>
      <c r="L40" s="26">
        <f t="shared" si="77"/>
        <v>12.139870329704888</v>
      </c>
      <c r="M40" s="26">
        <f t="shared" si="77"/>
        <v>1.3764520938712201</v>
      </c>
      <c r="N40" s="26">
        <f t="shared" si="77"/>
        <v>10.082555670433022</v>
      </c>
      <c r="O40" s="26">
        <f t="shared" si="77"/>
        <v>34.910831505136493</v>
      </c>
      <c r="P40" s="26">
        <f t="shared" si="79"/>
        <v>58.509709599145623</v>
      </c>
      <c r="Q40" s="26">
        <f t="shared" si="80"/>
        <v>23.59887809400913</v>
      </c>
      <c r="R40" s="26">
        <f>LN(L50/L38)/$B$1</f>
        <v>-1.1808982793968614E-2</v>
      </c>
      <c r="V40" s="26">
        <f>LN(L53/L39)/$B$1</f>
        <v>-2.0046006704830817E-2</v>
      </c>
      <c r="Z40" s="26">
        <f>LN(L56/L40)/$B$1</f>
        <v>0.16832202162196838</v>
      </c>
    </row>
    <row r="41" spans="1:28" x14ac:dyDescent="0.2">
      <c r="A41" s="5" t="s">
        <v>427</v>
      </c>
      <c r="B41" s="10">
        <v>45</v>
      </c>
      <c r="C41" s="31">
        <f>1-0.22-0.025</f>
        <v>0.755</v>
      </c>
      <c r="D41" s="12">
        <f t="shared" si="78"/>
        <v>128647.6821192053</v>
      </c>
      <c r="E41" s="12">
        <f t="shared" si="76"/>
        <v>9116.5562913907288</v>
      </c>
      <c r="F41" s="12">
        <f t="shared" si="76"/>
        <v>1415.8940397350993</v>
      </c>
      <c r="G41" s="12">
        <f t="shared" si="76"/>
        <v>222.51655629139071</v>
      </c>
      <c r="H41" s="5">
        <v>97129</v>
      </c>
      <c r="I41" s="5">
        <v>6883</v>
      </c>
      <c r="J41" s="5">
        <v>1069</v>
      </c>
      <c r="K41" s="5">
        <v>168</v>
      </c>
      <c r="L41" s="26">
        <f t="shared" si="77"/>
        <v>15.627430824488352</v>
      </c>
      <c r="M41" s="26">
        <f t="shared" si="77"/>
        <v>1.5044602721825451</v>
      </c>
      <c r="N41" s="26">
        <f t="shared" si="77"/>
        <v>4.8859591921927326</v>
      </c>
      <c r="O41" s="26">
        <f t="shared" si="77"/>
        <v>33.185577993836517</v>
      </c>
      <c r="P41" s="26">
        <f t="shared" si="79"/>
        <v>55.203428282700145</v>
      </c>
      <c r="Q41" s="26">
        <f t="shared" si="80"/>
        <v>22.017850288863631</v>
      </c>
      <c r="R41" s="5" t="s">
        <v>535</v>
      </c>
      <c r="V41" s="5" t="s">
        <v>535</v>
      </c>
      <c r="Z41" s="5" t="s">
        <v>535</v>
      </c>
    </row>
    <row r="42" spans="1:28" x14ac:dyDescent="0.2">
      <c r="A42" s="5" t="s">
        <v>428</v>
      </c>
      <c r="B42" s="10">
        <v>70</v>
      </c>
      <c r="C42" s="31">
        <f>1-0.23-0.025</f>
        <v>0.745</v>
      </c>
      <c r="D42" s="12">
        <f t="shared" si="78"/>
        <v>97864.429530201349</v>
      </c>
      <c r="E42" s="12">
        <f t="shared" si="76"/>
        <v>14093.959731543624</v>
      </c>
      <c r="F42" s="12">
        <f t="shared" si="76"/>
        <v>3006.7114093959731</v>
      </c>
      <c r="G42" s="12">
        <f t="shared" si="76"/>
        <v>404.0268456375839</v>
      </c>
      <c r="H42" s="5">
        <v>72909</v>
      </c>
      <c r="I42" s="5">
        <v>10500</v>
      </c>
      <c r="J42" s="5">
        <v>2240</v>
      </c>
      <c r="K42" s="5">
        <v>301</v>
      </c>
      <c r="L42" s="26">
        <f t="shared" si="77"/>
        <v>12.040878517126787</v>
      </c>
      <c r="M42" s="26">
        <f t="shared" si="77"/>
        <v>1.8556077776202955</v>
      </c>
      <c r="N42" s="26">
        <f t="shared" si="77"/>
        <v>4.4476422350513269</v>
      </c>
      <c r="O42" s="26">
        <f t="shared" si="77"/>
        <v>16.549891019296847</v>
      </c>
      <c r="P42" s="26">
        <f t="shared" si="79"/>
        <v>34.894019549095262</v>
      </c>
      <c r="Q42" s="26">
        <f t="shared" si="80"/>
        <v>18.344128529798411</v>
      </c>
      <c r="R42" s="6" t="s">
        <v>539</v>
      </c>
      <c r="S42" s="6" t="s">
        <v>540</v>
      </c>
      <c r="T42" s="6" t="s">
        <v>541</v>
      </c>
      <c r="V42" s="6" t="s">
        <v>539</v>
      </c>
      <c r="W42" s="6" t="s">
        <v>540</v>
      </c>
      <c r="X42" s="6" t="s">
        <v>541</v>
      </c>
      <c r="Z42" s="6" t="s">
        <v>539</v>
      </c>
      <c r="AA42" s="6" t="s">
        <v>540</v>
      </c>
      <c r="AB42" s="6" t="s">
        <v>541</v>
      </c>
    </row>
    <row r="43" spans="1:28" x14ac:dyDescent="0.2">
      <c r="A43" s="5" t="s">
        <v>429</v>
      </c>
      <c r="B43" s="10">
        <v>100</v>
      </c>
      <c r="C43" s="31">
        <f>1-0.23-0.025</f>
        <v>0.745</v>
      </c>
      <c r="D43" s="12">
        <f t="shared" si="78"/>
        <v>26550.335570469801</v>
      </c>
      <c r="E43" s="12">
        <f t="shared" si="76"/>
        <v>4865.7718120805366</v>
      </c>
      <c r="F43" s="12">
        <f t="shared" si="76"/>
        <v>1995.9731543624162</v>
      </c>
      <c r="G43" s="12">
        <f t="shared" si="76"/>
        <v>67.114093959731548</v>
      </c>
      <c r="H43" s="5">
        <v>19780</v>
      </c>
      <c r="I43" s="5">
        <v>3625</v>
      </c>
      <c r="J43" s="5">
        <v>1487</v>
      </c>
      <c r="K43" s="5">
        <v>50</v>
      </c>
      <c r="L43" s="26">
        <f t="shared" si="77"/>
        <v>3.4850382254837253</v>
      </c>
      <c r="M43" s="26">
        <f t="shared" si="77"/>
        <v>0.76933470548897798</v>
      </c>
      <c r="N43" s="26">
        <f t="shared" si="77"/>
        <v>1.2625554735394031</v>
      </c>
      <c r="O43" s="26">
        <f t="shared" si="77"/>
        <v>1.683119285146875</v>
      </c>
      <c r="P43" s="26">
        <f t="shared" si="79"/>
        <v>7.200047689658982</v>
      </c>
      <c r="Q43" s="26">
        <f t="shared" si="80"/>
        <v>5.5169284045121065</v>
      </c>
      <c r="R43" s="26">
        <f>(LN(M48/(M38*0.25)))/$B$1</f>
        <v>9.4120806078224664E-2</v>
      </c>
      <c r="S43" s="26">
        <f>(R43-R44)/(1-0.25)</f>
        <v>0.15785760559283846</v>
      </c>
      <c r="T43" s="26">
        <f>S43+R45</f>
        <v>0.17444454242963506</v>
      </c>
      <c r="V43" s="26">
        <f>(LN(M51/(M39*0.25)))/$B$1</f>
        <v>7.661457981087906E-2</v>
      </c>
      <c r="W43" s="26">
        <f>(V43-V44)/(1-0.25)</f>
        <v>0.15891241164829781</v>
      </c>
      <c r="X43" s="26">
        <f>W43+V45</f>
        <v>4.5957234947179015E-3</v>
      </c>
      <c r="Z43" s="26">
        <f>(LN(M54/(M40*0.25)))/$B$1</f>
        <v>0.15875962017811618</v>
      </c>
      <c r="AA43" s="26">
        <f>(Z43-Z44)/(1-0.25)</f>
        <v>0.16334234073116197</v>
      </c>
      <c r="AB43" s="26">
        <f>AA43+Z45</f>
        <v>0.13905761564616181</v>
      </c>
    </row>
    <row r="44" spans="1:28" x14ac:dyDescent="0.2">
      <c r="A44" s="5" t="s">
        <v>430</v>
      </c>
      <c r="B44" s="10">
        <v>120</v>
      </c>
      <c r="C44" s="31">
        <f>1-0.205-0.025</f>
        <v>0.77</v>
      </c>
      <c r="D44" s="12">
        <f t="shared" si="78"/>
        <v>4823.3766233766237</v>
      </c>
      <c r="E44" s="12">
        <f t="shared" si="76"/>
        <v>1380.5194805194806</v>
      </c>
      <c r="F44" s="12">
        <f t="shared" si="76"/>
        <v>1088.3116883116884</v>
      </c>
      <c r="G44" s="12">
        <f t="shared" si="76"/>
        <v>89.610389610389603</v>
      </c>
      <c r="H44" s="5">
        <v>3714</v>
      </c>
      <c r="I44" s="5">
        <v>1063</v>
      </c>
      <c r="J44" s="5">
        <v>838</v>
      </c>
      <c r="K44" s="5">
        <v>69</v>
      </c>
      <c r="L44" s="26">
        <f t="shared" si="77"/>
        <v>0.72292621766584342</v>
      </c>
      <c r="M44" s="26">
        <f t="shared" si="77"/>
        <v>0.3006150744344443</v>
      </c>
      <c r="N44" s="26">
        <f t="shared" si="77"/>
        <v>0.79547136623824044</v>
      </c>
      <c r="O44" s="26">
        <f t="shared" si="77"/>
        <v>4.4080459626810331</v>
      </c>
      <c r="P44" s="26">
        <f t="shared" si="79"/>
        <v>6.2270586210195615</v>
      </c>
      <c r="Q44" s="26">
        <f t="shared" si="80"/>
        <v>1.8190126583385282</v>
      </c>
      <c r="R44" s="26">
        <f>(LN(M49/M38))/$B$1</f>
        <v>-2.4272398116404185E-2</v>
      </c>
      <c r="V44" s="26">
        <f>(LN(M52/M39))/$B$1</f>
        <v>-4.2569728925344302E-2</v>
      </c>
      <c r="Z44" s="26">
        <f>(LN(M55/M40))/$B$1</f>
        <v>3.6252864629744697E-2</v>
      </c>
    </row>
    <row r="45" spans="1:28" x14ac:dyDescent="0.2">
      <c r="A45" s="5" t="s">
        <v>431</v>
      </c>
      <c r="B45" s="10">
        <v>150</v>
      </c>
      <c r="C45" s="31">
        <f>1-0.215-0.025</f>
        <v>0.76</v>
      </c>
      <c r="D45" s="12">
        <f>H45/$C45</f>
        <v>264.4736842105263</v>
      </c>
      <c r="E45" s="12">
        <f t="shared" si="76"/>
        <v>165.78947368421052</v>
      </c>
      <c r="F45" s="12">
        <f t="shared" si="76"/>
        <v>167.10526315789474</v>
      </c>
      <c r="G45" s="12">
        <f t="shared" si="76"/>
        <v>38.157894736842103</v>
      </c>
      <c r="H45" s="5">
        <v>201</v>
      </c>
      <c r="I45" s="5">
        <v>126</v>
      </c>
      <c r="J45" s="5">
        <v>127</v>
      </c>
      <c r="K45" s="5">
        <v>29</v>
      </c>
      <c r="L45" s="26">
        <f t="shared" si="77"/>
        <v>0.1703438900728842</v>
      </c>
      <c r="M45" s="26">
        <f t="shared" si="77"/>
        <v>4.9989471146947649E-2</v>
      </c>
      <c r="N45" s="26">
        <f t="shared" si="77"/>
        <v>0.15694871045312841</v>
      </c>
      <c r="O45" s="26">
        <f t="shared" si="77"/>
        <v>1.5930142957724989</v>
      </c>
      <c r="P45" s="26">
        <f>SUM(L45:O45)</f>
        <v>1.9702963674454592</v>
      </c>
      <c r="Q45" s="26">
        <f>SUM(L45:N45)</f>
        <v>0.37728207167296024</v>
      </c>
      <c r="R45" s="26">
        <f>LN(M50/M38)/$B$1</f>
        <v>1.6586936836796594E-2</v>
      </c>
      <c r="V45" s="26">
        <f>LN(M53/M39)/$B$1</f>
        <v>-0.15431668815357991</v>
      </c>
      <c r="Z45" s="26">
        <f>LN(M56/M40)/$B$1</f>
        <v>-2.4284725085000149E-2</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432</v>
      </c>
      <c r="B48" s="10">
        <v>5</v>
      </c>
      <c r="C48" s="31">
        <f>1-0.25-0.025</f>
        <v>0.72499999999999998</v>
      </c>
      <c r="D48" s="12">
        <f t="shared" ref="D48:G65" si="81">H48/$C48</f>
        <v>9081.3793103448279</v>
      </c>
      <c r="E48" s="12">
        <f t="shared" si="81"/>
        <v>1077.2413793103449</v>
      </c>
      <c r="F48" s="12">
        <f t="shared" si="81"/>
        <v>691.0344827586207</v>
      </c>
      <c r="G48" s="12">
        <f>K48/$C48</f>
        <v>155.86206896551724</v>
      </c>
      <c r="H48" s="5">
        <v>6584</v>
      </c>
      <c r="I48" s="5">
        <v>781</v>
      </c>
      <c r="J48" s="5">
        <v>501</v>
      </c>
      <c r="K48" s="5">
        <v>113</v>
      </c>
      <c r="L48" s="26">
        <f>W14*D48*1000/1000000</f>
        <v>1.4005075217327618</v>
      </c>
      <c r="M48" s="26">
        <f>X14*E48*1000/1000000</f>
        <v>0.19631115487703585</v>
      </c>
      <c r="N48" s="26">
        <f>Y14*F48*1000/1000000</f>
        <v>3.9577424958873646</v>
      </c>
      <c r="O48" s="26">
        <f>Z14*G48*1000/1000000</f>
        <v>26.595373518333382</v>
      </c>
      <c r="P48" s="26">
        <f>SUM(L48:O48)</f>
        <v>32.149934690830541</v>
      </c>
      <c r="Q48" s="26">
        <f>SUM(L48:N48)</f>
        <v>5.554561172497162</v>
      </c>
      <c r="R48" s="26">
        <f>(LN(N48/(N38*0.25)))/$B$1</f>
        <v>1.3968257114621923</v>
      </c>
      <c r="S48" s="26">
        <f>(R48-R49)/(1-0.25)</f>
        <v>0.3340827906721498</v>
      </c>
      <c r="T48" s="26">
        <f>S48+R50</f>
        <v>1.4869149958845593</v>
      </c>
      <c r="V48" s="26">
        <f>(LN(N51/(N39*0.25)))/$B$1</f>
        <v>0.37520464177072371</v>
      </c>
      <c r="W48" s="26">
        <f>(V48-V49)/(1-0.25)</f>
        <v>0.24392738230846153</v>
      </c>
      <c r="X48" s="26">
        <f>W48+V50</f>
        <v>0.33252687190094554</v>
      </c>
      <c r="Z48" s="26">
        <f>(LN(N54/(N40*0.25)))/$B$1</f>
        <v>0.10964776223305531</v>
      </c>
      <c r="AA48" s="26">
        <f>(Z48-Z49)/(1-0.25)</f>
        <v>0.26752471271738165</v>
      </c>
      <c r="AB48" s="26">
        <f>AA48+Z50</f>
        <v>-5.4220202035212439E-2</v>
      </c>
    </row>
    <row r="49" spans="1:28" x14ac:dyDescent="0.2">
      <c r="A49" s="5" t="s">
        <v>433</v>
      </c>
      <c r="B49" s="10">
        <v>5</v>
      </c>
      <c r="C49" s="31">
        <f>1-0.24-0.025</f>
        <v>0.73499999999999999</v>
      </c>
      <c r="D49" s="12">
        <f t="shared" si="81"/>
        <v>33104.761904761908</v>
      </c>
      <c r="E49" s="12">
        <f t="shared" si="81"/>
        <v>3691.1564625850342</v>
      </c>
      <c r="F49" s="12">
        <f t="shared" si="81"/>
        <v>2115.6462585034014</v>
      </c>
      <c r="G49" s="12">
        <f t="shared" si="81"/>
        <v>356.46258503401361</v>
      </c>
      <c r="H49" s="5">
        <v>24332</v>
      </c>
      <c r="I49" s="5">
        <v>2713</v>
      </c>
      <c r="J49" s="5">
        <v>1555</v>
      </c>
      <c r="K49" s="5">
        <v>262</v>
      </c>
      <c r="L49" s="26">
        <f t="shared" ref="L49:O64" si="82">W15*D49*1000/1000000</f>
        <v>4.3718362497409231</v>
      </c>
      <c r="M49" s="26">
        <f t="shared" si="82"/>
        <v>0.68732203079315812</v>
      </c>
      <c r="N49" s="26">
        <f t="shared" si="82"/>
        <v>11.942288931589067</v>
      </c>
      <c r="O49" s="26">
        <f t="shared" si="82"/>
        <v>32.901787793393495</v>
      </c>
      <c r="P49" s="26">
        <f t="shared" ref="P49:P65" si="83">SUM(L49:O49)</f>
        <v>49.903235005516642</v>
      </c>
      <c r="Q49" s="26">
        <f t="shared" ref="Q49:Q65" si="84">SUM(L49:N49)</f>
        <v>17.001447212123146</v>
      </c>
      <c r="R49" s="26">
        <f>(LN(N49/N38))/$B$1</f>
        <v>1.1462636184580799</v>
      </c>
      <c r="V49" s="26">
        <f>(LN(N52/N39))/$B$1</f>
        <v>0.19225910503937757</v>
      </c>
      <c r="Z49" s="26">
        <f>(LN(N55/N40))/$B$1</f>
        <v>-9.0995772304980932E-2</v>
      </c>
    </row>
    <row r="50" spans="1:28" x14ac:dyDescent="0.2">
      <c r="A50" s="5" t="s">
        <v>434</v>
      </c>
      <c r="B50" s="10">
        <v>5</v>
      </c>
      <c r="C50" s="31">
        <f>1-0.26-0.025</f>
        <v>0.71499999999999997</v>
      </c>
      <c r="D50" s="12">
        <f t="shared" si="81"/>
        <v>34328.671328671328</v>
      </c>
      <c r="E50" s="12">
        <f t="shared" si="81"/>
        <v>3658.7412587412591</v>
      </c>
      <c r="F50" s="12">
        <f t="shared" si="81"/>
        <v>2269.9300699300702</v>
      </c>
      <c r="G50" s="12">
        <f t="shared" si="81"/>
        <v>359.44055944055947</v>
      </c>
      <c r="H50" s="5">
        <v>24545</v>
      </c>
      <c r="I50" s="5">
        <v>2616</v>
      </c>
      <c r="J50" s="5">
        <v>1623</v>
      </c>
      <c r="K50" s="5">
        <v>257</v>
      </c>
      <c r="L50" s="26">
        <f t="shared" si="82"/>
        <v>4.2759931486262621</v>
      </c>
      <c r="M50" s="26">
        <f t="shared" si="82"/>
        <v>0.71965338296917736</v>
      </c>
      <c r="N50" s="26">
        <f t="shared" si="82"/>
        <v>12.030865258995034</v>
      </c>
      <c r="O50" s="26">
        <f t="shared" si="82"/>
        <v>48.451932170685055</v>
      </c>
      <c r="P50" s="26">
        <f t="shared" si="83"/>
        <v>65.478443961275531</v>
      </c>
      <c r="Q50" s="26">
        <f t="shared" si="84"/>
        <v>17.026511790590472</v>
      </c>
      <c r="R50" s="26">
        <f>LN(N50/N38)/$B$1</f>
        <v>1.1528322052124096</v>
      </c>
      <c r="V50" s="26">
        <f>LN(N53/N39)/$B$1</f>
        <v>8.859948959248401E-2</v>
      </c>
      <c r="Z50" s="26">
        <f>LN(N56/N40)/$B$1</f>
        <v>-0.32174491475259409</v>
      </c>
    </row>
    <row r="51" spans="1:28" x14ac:dyDescent="0.2">
      <c r="A51" s="5" t="s">
        <v>435</v>
      </c>
      <c r="B51" s="10">
        <v>12</v>
      </c>
      <c r="C51" s="31">
        <f>1-0.25-0.025</f>
        <v>0.72499999999999998</v>
      </c>
      <c r="D51" s="12">
        <f>H51/$C51</f>
        <v>9828.9655172413804</v>
      </c>
      <c r="E51" s="12">
        <f t="shared" si="81"/>
        <v>1121.3793103448277</v>
      </c>
      <c r="F51" s="12">
        <f t="shared" si="81"/>
        <v>638.62068965517244</v>
      </c>
      <c r="G51" s="12">
        <f t="shared" si="81"/>
        <v>143.44827586206898</v>
      </c>
      <c r="H51" s="5">
        <v>7126</v>
      </c>
      <c r="I51" s="5">
        <v>813</v>
      </c>
      <c r="J51" s="5">
        <v>463</v>
      </c>
      <c r="K51" s="5">
        <v>104</v>
      </c>
      <c r="L51" s="26">
        <f t="shared" si="82"/>
        <v>1.2563373585457287</v>
      </c>
      <c r="M51" s="26">
        <f t="shared" si="82"/>
        <v>0.20594904096945896</v>
      </c>
      <c r="N51" s="26">
        <f t="shared" si="82"/>
        <v>3.2540220705242056</v>
      </c>
      <c r="O51" s="26">
        <f t="shared" si="82"/>
        <v>14.923003616980839</v>
      </c>
      <c r="P51" s="26">
        <f t="shared" si="83"/>
        <v>19.639312087020233</v>
      </c>
      <c r="Q51" s="26">
        <f t="shared" si="84"/>
        <v>4.7163084700393929</v>
      </c>
    </row>
    <row r="52" spans="1:28" x14ac:dyDescent="0.2">
      <c r="A52" s="5" t="s">
        <v>436</v>
      </c>
      <c r="B52" s="10">
        <v>12</v>
      </c>
      <c r="C52" s="31">
        <f>1-0.265-0.025</f>
        <v>0.71</v>
      </c>
      <c r="D52" s="12">
        <f t="shared" si="81"/>
        <v>32150.704225352114</v>
      </c>
      <c r="E52" s="12">
        <f t="shared" si="81"/>
        <v>3811.2676056338032</v>
      </c>
      <c r="F52" s="12">
        <f t="shared" si="81"/>
        <v>2071.8309859154929</v>
      </c>
      <c r="G52" s="12">
        <f t="shared" si="81"/>
        <v>305.63380281690144</v>
      </c>
      <c r="H52" s="5">
        <v>22827</v>
      </c>
      <c r="I52" s="5">
        <v>2706</v>
      </c>
      <c r="J52" s="5">
        <v>1471</v>
      </c>
      <c r="K52" s="5">
        <v>217</v>
      </c>
      <c r="L52" s="26">
        <f t="shared" si="82"/>
        <v>4.0029628155977388</v>
      </c>
      <c r="M52" s="26">
        <f t="shared" si="82"/>
        <v>0.72042461270113634</v>
      </c>
      <c r="N52" s="26">
        <f t="shared" si="82"/>
        <v>10.594896507840245</v>
      </c>
      <c r="O52" s="26">
        <f t="shared" si="82"/>
        <v>25.338351573250861</v>
      </c>
      <c r="P52" s="26">
        <f t="shared" si="83"/>
        <v>40.656635509389986</v>
      </c>
      <c r="Q52" s="26">
        <f t="shared" si="84"/>
        <v>15.318283936139121</v>
      </c>
      <c r="R52" s="6" t="s">
        <v>545</v>
      </c>
      <c r="S52" s="6" t="s">
        <v>546</v>
      </c>
      <c r="T52" s="6" t="s">
        <v>547</v>
      </c>
      <c r="V52" s="6" t="s">
        <v>545</v>
      </c>
      <c r="W52" s="6" t="s">
        <v>546</v>
      </c>
      <c r="X52" s="6" t="s">
        <v>547</v>
      </c>
      <c r="Z52" s="6" t="s">
        <v>545</v>
      </c>
      <c r="AA52" s="6" t="s">
        <v>546</v>
      </c>
      <c r="AB52" s="6" t="s">
        <v>547</v>
      </c>
    </row>
    <row r="53" spans="1:28" x14ac:dyDescent="0.2">
      <c r="A53" s="5" t="s">
        <v>437</v>
      </c>
      <c r="B53" s="10">
        <v>12</v>
      </c>
      <c r="C53" s="31">
        <f>1-0.265-0.025</f>
        <v>0.71</v>
      </c>
      <c r="D53" s="12">
        <f t="shared" si="81"/>
        <v>34352.112676056342</v>
      </c>
      <c r="E53" s="12">
        <f t="shared" si="81"/>
        <v>3330.9859154929577</v>
      </c>
      <c r="F53" s="12">
        <f t="shared" si="81"/>
        <v>2083.0985915492961</v>
      </c>
      <c r="G53" s="12">
        <f t="shared" si="81"/>
        <v>369.0140845070423</v>
      </c>
      <c r="H53" s="5">
        <v>24390</v>
      </c>
      <c r="I53" s="5">
        <v>2365</v>
      </c>
      <c r="J53" s="5">
        <v>1479</v>
      </c>
      <c r="K53" s="5">
        <v>262</v>
      </c>
      <c r="L53" s="26">
        <f t="shared" si="82"/>
        <v>4.2751912705912183</v>
      </c>
      <c r="M53" s="26">
        <f t="shared" si="82"/>
        <v>0.63531786529398826</v>
      </c>
      <c r="N53" s="26">
        <f t="shared" si="82"/>
        <v>9.4286729117060073</v>
      </c>
      <c r="O53" s="26">
        <f t="shared" si="82"/>
        <v>58.680061406663953</v>
      </c>
      <c r="P53" s="26">
        <f t="shared" si="83"/>
        <v>73.019243454255161</v>
      </c>
      <c r="Q53" s="26">
        <f t="shared" si="84"/>
        <v>14.339182047591214</v>
      </c>
      <c r="R53" s="26">
        <f>(LN(O48/(O38*0.25)))/$B$1</f>
        <v>1.0465350125197392</v>
      </c>
      <c r="S53" s="26">
        <f>(R53-R54)/(1-0.25)</f>
        <v>1.3908203109670596</v>
      </c>
      <c r="T53" s="26">
        <f>S53+R55</f>
        <v>1.7382802864444624</v>
      </c>
      <c r="V53" s="26">
        <f>(LN(O51/(O39*0.25)))/$B$1</f>
        <v>-5.1343512931381972E-2</v>
      </c>
      <c r="W53" s="26">
        <f>(V53-V54)/(1-0.25)</f>
        <v>1.0155604504015974</v>
      </c>
      <c r="X53" s="26">
        <f>W53+V55</f>
        <v>0.94901849239950697</v>
      </c>
      <c r="Z53" s="26">
        <f>(LN(O54/(O40*0.25)))/$B$1</f>
        <v>-0.21441526991826074</v>
      </c>
      <c r="AA53" s="26">
        <f>(Z53-Z54)/(1-0.25)</f>
        <v>0.37606529101005498</v>
      </c>
      <c r="AB53" s="26">
        <f>AA53+Z55</f>
        <v>-6.825018658172527E-2</v>
      </c>
    </row>
    <row r="54" spans="1:28" x14ac:dyDescent="0.2">
      <c r="A54" s="5" t="s">
        <v>438</v>
      </c>
      <c r="B54" s="10">
        <v>25</v>
      </c>
      <c r="C54" s="31">
        <f>1-0.265-0.025</f>
        <v>0.71</v>
      </c>
      <c r="D54" s="12">
        <f t="shared" si="81"/>
        <v>29218.309859154931</v>
      </c>
      <c r="E54" s="12">
        <f t="shared" si="81"/>
        <v>2445.0704225352115</v>
      </c>
      <c r="F54" s="12">
        <f t="shared" si="81"/>
        <v>677.46478873239437</v>
      </c>
      <c r="G54" s="12">
        <f t="shared" si="81"/>
        <v>74.647887323943664</v>
      </c>
      <c r="H54" s="5">
        <v>20745</v>
      </c>
      <c r="I54" s="5">
        <v>1736</v>
      </c>
      <c r="J54" s="5">
        <v>481</v>
      </c>
      <c r="K54" s="5">
        <v>53</v>
      </c>
      <c r="L54" s="26">
        <f t="shared" si="82"/>
        <v>3.6495769236279534</v>
      </c>
      <c r="M54" s="26">
        <f t="shared" si="82"/>
        <v>0.41140360202208426</v>
      </c>
      <c r="N54" s="26">
        <f t="shared" si="82"/>
        <v>2.8515597937845403</v>
      </c>
      <c r="O54" s="26">
        <f t="shared" si="82"/>
        <v>6.8571067731696225</v>
      </c>
      <c r="P54" s="26">
        <f t="shared" si="83"/>
        <v>13.769647092604201</v>
      </c>
      <c r="Q54" s="26">
        <f t="shared" si="84"/>
        <v>6.9125403194345783</v>
      </c>
      <c r="R54" s="26">
        <f>(LN(O49/O38))/$B$1</f>
        <v>3.4197792944446739E-3</v>
      </c>
      <c r="V54" s="26">
        <f>(LN(O52/O39))/$B$1</f>
        <v>-0.81301385073258003</v>
      </c>
      <c r="Z54" s="26">
        <f>(LN(O55/O40))/$B$1</f>
        <v>-0.49646423817580193</v>
      </c>
    </row>
    <row r="55" spans="1:28" x14ac:dyDescent="0.2">
      <c r="A55" s="5" t="s">
        <v>439</v>
      </c>
      <c r="B55" s="10">
        <v>25</v>
      </c>
      <c r="C55" s="31">
        <f>1-0.24-0.025</f>
        <v>0.73499999999999999</v>
      </c>
      <c r="D55" s="12">
        <f t="shared" si="81"/>
        <v>105900.68027210885</v>
      </c>
      <c r="E55" s="12">
        <f t="shared" si="81"/>
        <v>8806.8027210884356</v>
      </c>
      <c r="F55" s="12">
        <f t="shared" si="81"/>
        <v>2431.2925170068029</v>
      </c>
      <c r="G55" s="12">
        <f t="shared" si="81"/>
        <v>321.08843537414964</v>
      </c>
      <c r="H55" s="5">
        <v>77837</v>
      </c>
      <c r="I55" s="5">
        <v>6473</v>
      </c>
      <c r="J55" s="5">
        <v>1787</v>
      </c>
      <c r="K55" s="5">
        <v>236</v>
      </c>
      <c r="L55" s="26">
        <f t="shared" si="82"/>
        <v>13.1781678092634</v>
      </c>
      <c r="M55" s="26">
        <f t="shared" si="82"/>
        <v>1.433750466524734</v>
      </c>
      <c r="N55" s="26">
        <f t="shared" si="82"/>
        <v>9.1014753376462956</v>
      </c>
      <c r="O55" s="26">
        <f t="shared" si="82"/>
        <v>19.970873187270989</v>
      </c>
      <c r="P55" s="26">
        <f t="shared" si="83"/>
        <v>43.684266800705416</v>
      </c>
      <c r="Q55" s="26">
        <f t="shared" si="84"/>
        <v>23.713393613434427</v>
      </c>
      <c r="R55" s="26">
        <f>LN(O50/O38)/$B$1</f>
        <v>0.34745997547740276</v>
      </c>
      <c r="V55" s="26">
        <f>LN(O53/O39)/$B$1</f>
        <v>-6.6541958002090368E-2</v>
      </c>
      <c r="Z55" s="26">
        <f>LN(O56/O40)/$B$1</f>
        <v>-0.44431547759178025</v>
      </c>
    </row>
    <row r="56" spans="1:28" x14ac:dyDescent="0.2">
      <c r="A56" s="5" t="s">
        <v>440</v>
      </c>
      <c r="B56" s="10">
        <v>25</v>
      </c>
      <c r="C56" s="31">
        <f>1-0.26-0.025</f>
        <v>0.71499999999999997</v>
      </c>
      <c r="D56" s="12">
        <f t="shared" si="81"/>
        <v>119323.07692307692</v>
      </c>
      <c r="E56" s="12">
        <f t="shared" si="81"/>
        <v>7855.9440559440563</v>
      </c>
      <c r="F56" s="12">
        <f t="shared" si="81"/>
        <v>2327.2727272727275</v>
      </c>
      <c r="G56" s="12">
        <f t="shared" si="81"/>
        <v>246.15384615384616</v>
      </c>
      <c r="H56" s="5">
        <v>85316</v>
      </c>
      <c r="I56" s="5">
        <v>5617</v>
      </c>
      <c r="J56" s="5">
        <v>1664</v>
      </c>
      <c r="K56" s="5">
        <v>176</v>
      </c>
      <c r="L56" s="26">
        <f t="shared" si="82"/>
        <v>14.670774398404156</v>
      </c>
      <c r="M56" s="26">
        <f t="shared" si="82"/>
        <v>1.339356033478478</v>
      </c>
      <c r="N56" s="26">
        <f t="shared" si="82"/>
        <v>7.0205652879482106</v>
      </c>
      <c r="O56" s="26">
        <f t="shared" si="82"/>
        <v>21.177562045003818</v>
      </c>
      <c r="P56" s="26">
        <f t="shared" si="83"/>
        <v>44.208257764834663</v>
      </c>
      <c r="Q56" s="26">
        <f t="shared" si="84"/>
        <v>23.030695719830845</v>
      </c>
    </row>
    <row r="57" spans="1:28" x14ac:dyDescent="0.2">
      <c r="A57" s="5" t="s">
        <v>441</v>
      </c>
      <c r="B57" s="10">
        <v>45</v>
      </c>
      <c r="C57" s="31">
        <f>1-0.265-0.025</f>
        <v>0.71</v>
      </c>
      <c r="D57" s="12">
        <f t="shared" si="81"/>
        <v>42900</v>
      </c>
      <c r="E57" s="12">
        <f t="shared" si="81"/>
        <v>3029.5774647887324</v>
      </c>
      <c r="F57" s="12">
        <f t="shared" si="81"/>
        <v>507.04225352112678</v>
      </c>
      <c r="G57" s="12">
        <f t="shared" si="81"/>
        <v>46.478873239436624</v>
      </c>
      <c r="H57" s="5">
        <v>30459</v>
      </c>
      <c r="I57" s="5">
        <v>2151</v>
      </c>
      <c r="J57" s="5">
        <v>360</v>
      </c>
      <c r="K57" s="5">
        <v>33</v>
      </c>
      <c r="L57" s="26">
        <f t="shared" si="82"/>
        <v>5.83351711529808</v>
      </c>
      <c r="M57" s="26">
        <f t="shared" si="82"/>
        <v>0.52671194088188833</v>
      </c>
      <c r="N57" s="26">
        <f t="shared" si="82"/>
        <v>1.5598396230142084</v>
      </c>
      <c r="O57" s="26">
        <f t="shared" si="82"/>
        <v>3.5637184799621102</v>
      </c>
      <c r="P57" s="26">
        <f t="shared" si="83"/>
        <v>11.483787159156288</v>
      </c>
      <c r="Q57" s="26">
        <f t="shared" si="84"/>
        <v>7.920068679194177</v>
      </c>
      <c r="R57" s="4"/>
      <c r="S57" s="4"/>
      <c r="T57" s="4"/>
      <c r="V57" s="4"/>
      <c r="W57" s="4"/>
      <c r="X57" s="4"/>
      <c r="Z57" s="4"/>
      <c r="AA57" s="4"/>
      <c r="AB57" s="4"/>
    </row>
    <row r="58" spans="1:28" x14ac:dyDescent="0.2">
      <c r="A58" s="5" t="s">
        <v>442</v>
      </c>
      <c r="B58" s="10">
        <v>45</v>
      </c>
      <c r="C58" s="31">
        <f t="shared" ref="C58:C63" si="85">1-0.25-0.025</f>
        <v>0.72499999999999998</v>
      </c>
      <c r="D58" s="12">
        <f t="shared" si="81"/>
        <v>132897.93103448275</v>
      </c>
      <c r="E58" s="12">
        <f t="shared" si="81"/>
        <v>8717.2413793103442</v>
      </c>
      <c r="F58" s="12">
        <f t="shared" si="81"/>
        <v>1354.4827586206898</v>
      </c>
      <c r="G58" s="12">
        <f t="shared" si="81"/>
        <v>147.58620689655172</v>
      </c>
      <c r="H58" s="5">
        <v>96351</v>
      </c>
      <c r="I58" s="5">
        <v>6320</v>
      </c>
      <c r="J58" s="5">
        <v>982</v>
      </c>
      <c r="K58" s="5">
        <v>107</v>
      </c>
      <c r="L58" s="26">
        <f t="shared" si="82"/>
        <v>17.801812508017118</v>
      </c>
      <c r="M58" s="26">
        <f t="shared" si="82"/>
        <v>1.4367465987682573</v>
      </c>
      <c r="N58" s="26">
        <f t="shared" si="82"/>
        <v>2.8512327160547661</v>
      </c>
      <c r="O58" s="26">
        <f t="shared" si="82"/>
        <v>16.398877192352806</v>
      </c>
      <c r="P58" s="26">
        <f t="shared" si="83"/>
        <v>38.488669015192947</v>
      </c>
      <c r="Q58" s="26">
        <f t="shared" si="84"/>
        <v>22.089791822840141</v>
      </c>
      <c r="R58" s="6" t="s">
        <v>548</v>
      </c>
      <c r="S58" s="6" t="s">
        <v>549</v>
      </c>
      <c r="T58" s="6" t="s">
        <v>550</v>
      </c>
      <c r="V58" s="6" t="s">
        <v>548</v>
      </c>
      <c r="W58" s="6" t="s">
        <v>549</v>
      </c>
      <c r="X58" s="6" t="s">
        <v>550</v>
      </c>
      <c r="Z58" s="6" t="s">
        <v>548</v>
      </c>
      <c r="AA58" s="6" t="s">
        <v>549</v>
      </c>
      <c r="AB58" s="6" t="s">
        <v>550</v>
      </c>
    </row>
    <row r="59" spans="1:28" x14ac:dyDescent="0.2">
      <c r="A59" s="5" t="s">
        <v>443</v>
      </c>
      <c r="B59" s="10">
        <v>45</v>
      </c>
      <c r="C59" s="31">
        <f t="shared" si="85"/>
        <v>0.72499999999999998</v>
      </c>
      <c r="D59" s="12">
        <f t="shared" si="81"/>
        <v>147862.06896551725</v>
      </c>
      <c r="E59" s="12">
        <f t="shared" si="81"/>
        <v>8859.310344827587</v>
      </c>
      <c r="F59" s="12">
        <f t="shared" si="81"/>
        <v>1634.4827586206898</v>
      </c>
      <c r="G59" s="12">
        <f t="shared" si="81"/>
        <v>195.86206896551724</v>
      </c>
      <c r="H59" s="7">
        <v>107200</v>
      </c>
      <c r="I59" s="5">
        <v>6423</v>
      </c>
      <c r="J59" s="5">
        <v>1185</v>
      </c>
      <c r="K59" s="5">
        <v>142</v>
      </c>
      <c r="L59" s="26">
        <f t="shared" si="82"/>
        <v>17.920455443414053</v>
      </c>
      <c r="M59" s="26">
        <f t="shared" si="82"/>
        <v>1.4560014822041527</v>
      </c>
      <c r="N59" s="26">
        <f t="shared" si="82"/>
        <v>4.1057929102590673</v>
      </c>
      <c r="O59" s="26">
        <f t="shared" si="82"/>
        <v>19.069710390296091</v>
      </c>
      <c r="P59" s="26">
        <f t="shared" si="83"/>
        <v>42.551960226173364</v>
      </c>
      <c r="Q59" s="26">
        <f t="shared" si="84"/>
        <v>23.482249835877276</v>
      </c>
      <c r="R59" s="26">
        <f>(LN(Q48/(Q38*0.25)))/$B$1</f>
        <v>0.87221737752181916</v>
      </c>
      <c r="S59" s="26">
        <f>(R59-R60)/(1-0.25)</f>
        <v>0.31717370510593046</v>
      </c>
      <c r="T59" s="26">
        <f>S59+R61</f>
        <v>0.95282029340547258</v>
      </c>
      <c r="V59" s="26">
        <f>(LN(Q51/(Q39*0.25)))/$B$1</f>
        <v>0.28680373695932526</v>
      </c>
      <c r="W59" s="26">
        <f>(V59-V60)/(1-0.25)</f>
        <v>0.24684279405438589</v>
      </c>
      <c r="X59" s="26">
        <f>W59+V61</f>
        <v>0.28980212454109466</v>
      </c>
      <c r="Z59" s="26">
        <f>(LN(Q54/(Q40*0.25)))/$B$1</f>
        <v>0.14082878957226017</v>
      </c>
      <c r="AA59" s="26">
        <f>(Z59-Z60)/(1-0.25)</f>
        <v>0.18203441884195112</v>
      </c>
      <c r="AB59" s="26">
        <f>AA59+Z61</f>
        <v>0.16037108564110614</v>
      </c>
    </row>
    <row r="60" spans="1:28" x14ac:dyDescent="0.2">
      <c r="A60" s="5" t="s">
        <v>444</v>
      </c>
      <c r="B60" s="10">
        <v>70</v>
      </c>
      <c r="C60" s="31">
        <f t="shared" si="85"/>
        <v>0.72499999999999998</v>
      </c>
      <c r="D60" s="12">
        <f t="shared" si="81"/>
        <v>28604.137931034482</v>
      </c>
      <c r="E60" s="12">
        <f t="shared" si="81"/>
        <v>3801.3793103448279</v>
      </c>
      <c r="F60" s="12">
        <f t="shared" si="81"/>
        <v>827.58620689655174</v>
      </c>
      <c r="G60" s="12">
        <f t="shared" si="81"/>
        <v>107.58620689655173</v>
      </c>
      <c r="H60" s="5">
        <v>20738</v>
      </c>
      <c r="I60" s="5">
        <v>2756</v>
      </c>
      <c r="J60" s="5">
        <v>600</v>
      </c>
      <c r="K60" s="5">
        <v>78</v>
      </c>
      <c r="L60" s="26">
        <f t="shared" si="82"/>
        <v>3.567782871038788</v>
      </c>
      <c r="M60" s="26">
        <f t="shared" si="82"/>
        <v>0.52483861515362851</v>
      </c>
      <c r="N60" s="26">
        <f t="shared" si="82"/>
        <v>0.91221858673163692</v>
      </c>
      <c r="O60" s="26">
        <f t="shared" si="82"/>
        <v>3.1642925133585917</v>
      </c>
      <c r="P60" s="26">
        <f t="shared" si="83"/>
        <v>8.1691325862826449</v>
      </c>
      <c r="Q60" s="26">
        <f t="shared" si="84"/>
        <v>5.0048400729240532</v>
      </c>
      <c r="R60" s="26">
        <f>(LN(Q49/Q38))/$B$1</f>
        <v>0.63433709869237132</v>
      </c>
      <c r="S60" s="10"/>
      <c r="T60" s="10"/>
      <c r="V60" s="26">
        <f>(LN(Q52/Q39))/$B$1</f>
        <v>0.10167164141853584</v>
      </c>
      <c r="W60" s="10"/>
      <c r="X60" s="10"/>
      <c r="Z60" s="26">
        <f>(LN(Q55/Q40))/$B$1</f>
        <v>4.3029754407968215E-3</v>
      </c>
      <c r="AA60" s="10"/>
      <c r="AB60" s="10"/>
    </row>
    <row r="61" spans="1:28" x14ac:dyDescent="0.2">
      <c r="A61" s="5" t="s">
        <v>445</v>
      </c>
      <c r="B61" s="10">
        <v>70</v>
      </c>
      <c r="C61" s="31">
        <f t="shared" si="85"/>
        <v>0.72499999999999998</v>
      </c>
      <c r="D61" s="12">
        <f t="shared" si="81"/>
        <v>96139.310344827594</v>
      </c>
      <c r="E61" s="12">
        <f t="shared" si="81"/>
        <v>13121.379310344828</v>
      </c>
      <c r="F61" s="12">
        <f t="shared" si="81"/>
        <v>2895.1724137931037</v>
      </c>
      <c r="G61" s="12">
        <f t="shared" si="81"/>
        <v>314.48275862068965</v>
      </c>
      <c r="H61" s="5">
        <v>69701</v>
      </c>
      <c r="I61" s="5">
        <v>9513</v>
      </c>
      <c r="J61" s="5">
        <v>2099</v>
      </c>
      <c r="K61" s="5">
        <v>228</v>
      </c>
      <c r="L61" s="26">
        <f t="shared" si="82"/>
        <v>11.8098476398548</v>
      </c>
      <c r="M61" s="26">
        <f t="shared" si="82"/>
        <v>1.7683452197496796</v>
      </c>
      <c r="N61" s="26">
        <f t="shared" si="82"/>
        <v>3.171693814977985</v>
      </c>
      <c r="O61" s="26">
        <f t="shared" si="82"/>
        <v>11.749813321889432</v>
      </c>
      <c r="P61" s="26">
        <f t="shared" si="83"/>
        <v>28.499699996471897</v>
      </c>
      <c r="Q61" s="26">
        <f t="shared" si="84"/>
        <v>16.749886674582463</v>
      </c>
      <c r="R61" s="26">
        <f>LN(Q50/Q38)/$B$1</f>
        <v>0.63564658829954213</v>
      </c>
      <c r="S61" s="10"/>
      <c r="T61" s="10"/>
      <c r="V61" s="26">
        <f>LN(Q53/Q39)/$B$1</f>
        <v>4.2959330486708788E-2</v>
      </c>
      <c r="W61" s="10"/>
      <c r="X61" s="10"/>
      <c r="Z61" s="26">
        <f>LN(Q56/Q40)/$B$1</f>
        <v>-2.1663333200844997E-2</v>
      </c>
      <c r="AA61" s="10"/>
      <c r="AB61" s="10"/>
    </row>
    <row r="62" spans="1:28" x14ac:dyDescent="0.2">
      <c r="A62" s="5" t="s">
        <v>446</v>
      </c>
      <c r="B62" s="10">
        <v>70</v>
      </c>
      <c r="C62" s="31">
        <f t="shared" si="85"/>
        <v>0.72499999999999998</v>
      </c>
      <c r="D62" s="12">
        <f t="shared" si="81"/>
        <v>88968.275862068971</v>
      </c>
      <c r="E62" s="12">
        <f t="shared" si="81"/>
        <v>11521.379310344828</v>
      </c>
      <c r="F62" s="12">
        <f t="shared" si="81"/>
        <v>2634.4827586206898</v>
      </c>
      <c r="G62" s="12">
        <f t="shared" si="81"/>
        <v>306.20689655172413</v>
      </c>
      <c r="H62" s="5">
        <v>64502</v>
      </c>
      <c r="I62" s="5">
        <v>8353</v>
      </c>
      <c r="J62" s="5">
        <v>1910</v>
      </c>
      <c r="K62" s="5">
        <v>222</v>
      </c>
      <c r="L62" s="26">
        <f t="shared" si="82"/>
        <v>11.165255531296351</v>
      </c>
      <c r="M62" s="26">
        <f t="shared" si="82"/>
        <v>1.5502527707105691</v>
      </c>
      <c r="N62" s="26">
        <f t="shared" si="82"/>
        <v>2.772984569584247</v>
      </c>
      <c r="O62" s="26">
        <f t="shared" si="82"/>
        <v>10.158509087566374</v>
      </c>
      <c r="P62" s="26">
        <f t="shared" si="83"/>
        <v>25.647001959157542</v>
      </c>
      <c r="Q62" s="26">
        <f t="shared" si="84"/>
        <v>15.488492871591168</v>
      </c>
    </row>
    <row r="63" spans="1:28" x14ac:dyDescent="0.2">
      <c r="A63" s="5" t="s">
        <v>447</v>
      </c>
      <c r="B63" s="10">
        <v>100</v>
      </c>
      <c r="C63" s="31">
        <f t="shared" si="85"/>
        <v>0.72499999999999998</v>
      </c>
      <c r="D63" s="12">
        <f t="shared" si="81"/>
        <v>13335.172413793103</v>
      </c>
      <c r="E63" s="12">
        <f t="shared" si="81"/>
        <v>2486.8965517241381</v>
      </c>
      <c r="F63" s="12">
        <f t="shared" si="81"/>
        <v>852.41379310344826</v>
      </c>
      <c r="G63" s="12">
        <f t="shared" si="81"/>
        <v>49.655172413793103</v>
      </c>
      <c r="H63" s="5">
        <v>9668</v>
      </c>
      <c r="I63" s="5">
        <v>1803</v>
      </c>
      <c r="J63" s="5">
        <v>618</v>
      </c>
      <c r="K63" s="5">
        <v>36</v>
      </c>
      <c r="L63" s="26">
        <f t="shared" si="82"/>
        <v>1.7540940218487946</v>
      </c>
      <c r="M63" s="26">
        <f t="shared" si="82"/>
        <v>0.39764921916950213</v>
      </c>
      <c r="N63" s="26">
        <f t="shared" si="82"/>
        <v>0.58685850082197422</v>
      </c>
      <c r="O63" s="26">
        <f t="shared" si="82"/>
        <v>2.1963457964757618</v>
      </c>
      <c r="P63" s="26">
        <f t="shared" si="83"/>
        <v>4.9349475383160328</v>
      </c>
      <c r="Q63" s="26">
        <f t="shared" si="84"/>
        <v>2.7386017418402711</v>
      </c>
    </row>
    <row r="64" spans="1:28" x14ac:dyDescent="0.2">
      <c r="A64" s="5" t="s">
        <v>448</v>
      </c>
      <c r="B64" s="10">
        <v>100</v>
      </c>
      <c r="C64" s="31">
        <f>1-0.24-0.025</f>
        <v>0.73499999999999999</v>
      </c>
      <c r="D64" s="12">
        <f t="shared" si="81"/>
        <v>25934.693877551021</v>
      </c>
      <c r="E64" s="12">
        <f t="shared" si="81"/>
        <v>4699.3197278911566</v>
      </c>
      <c r="F64" s="12">
        <f t="shared" si="81"/>
        <v>1764.6258503401361</v>
      </c>
      <c r="G64" s="12">
        <f t="shared" si="81"/>
        <v>78.911564625850346</v>
      </c>
      <c r="H64" s="5">
        <v>19062</v>
      </c>
      <c r="I64" s="5">
        <v>3454</v>
      </c>
      <c r="J64" s="5">
        <v>1297</v>
      </c>
      <c r="K64" s="5">
        <v>58</v>
      </c>
      <c r="L64" s="26">
        <f t="shared" si="82"/>
        <v>3.3545081480878851</v>
      </c>
      <c r="M64" s="26">
        <f t="shared" si="82"/>
        <v>0.73168900405626724</v>
      </c>
      <c r="N64" s="26">
        <f t="shared" si="82"/>
        <v>1.1753884794560407</v>
      </c>
      <c r="O64" s="26">
        <f t="shared" si="82"/>
        <v>1.1000206453562615</v>
      </c>
      <c r="P64" s="26">
        <f t="shared" si="83"/>
        <v>6.3616062769564552</v>
      </c>
      <c r="Q64" s="26">
        <f t="shared" si="84"/>
        <v>5.2615856316001937</v>
      </c>
      <c r="R64" s="6" t="s">
        <v>555</v>
      </c>
      <c r="S64" s="6" t="s">
        <v>555</v>
      </c>
      <c r="T64" s="6" t="s">
        <v>555</v>
      </c>
      <c r="V64" s="6" t="s">
        <v>556</v>
      </c>
      <c r="W64" s="6" t="s">
        <v>556</v>
      </c>
      <c r="X64" s="6" t="s">
        <v>556</v>
      </c>
      <c r="Z64" s="6" t="s">
        <v>558</v>
      </c>
      <c r="AA64" s="6" t="s">
        <v>557</v>
      </c>
      <c r="AB64" s="6" t="s">
        <v>557</v>
      </c>
    </row>
    <row r="65" spans="1:28" x14ac:dyDescent="0.2">
      <c r="A65" s="5" t="s">
        <v>449</v>
      </c>
      <c r="B65" s="10">
        <v>100</v>
      </c>
      <c r="C65" s="31">
        <f>1-0.23-0.025</f>
        <v>0.745</v>
      </c>
      <c r="D65" s="12">
        <f t="shared" si="81"/>
        <v>24515.43624161074</v>
      </c>
      <c r="E65" s="12">
        <f t="shared" si="81"/>
        <v>4558.3892617449665</v>
      </c>
      <c r="F65" s="12">
        <f t="shared" si="81"/>
        <v>1672.4832214765102</v>
      </c>
      <c r="G65" s="12">
        <f>K65/$C65</f>
        <v>76.510067114093957</v>
      </c>
      <c r="H65" s="5">
        <v>18264</v>
      </c>
      <c r="I65" s="5">
        <v>3396</v>
      </c>
      <c r="J65" s="5">
        <v>1246</v>
      </c>
      <c r="K65" s="5">
        <v>57</v>
      </c>
      <c r="L65" s="26">
        <f>W31*D65*1000/1000000</f>
        <v>3.1735776527399202</v>
      </c>
      <c r="M65" s="26">
        <f t="shared" ref="M65:N65" si="86">X31*E65*1000/1000000</f>
        <v>0.72181669762904233</v>
      </c>
      <c r="N65" s="26">
        <f t="shared" si="86"/>
        <v>1.0267282011600718</v>
      </c>
      <c r="O65" s="26">
        <f>Z31*G65*1000/1000000</f>
        <v>1.2924543672593642</v>
      </c>
      <c r="P65" s="26">
        <f t="shared" si="83"/>
        <v>6.2145769187883992</v>
      </c>
      <c r="Q65" s="26">
        <f t="shared" si="84"/>
        <v>4.9221225515290348</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0.35634373517786783</v>
      </c>
      <c r="S66" s="26">
        <f>(R66-R67)/(1-0.25)</f>
        <v>0.32072791698659792</v>
      </c>
      <c r="T66" s="26">
        <f>S66+R68</f>
        <v>0.44243019814515383</v>
      </c>
      <c r="V66" s="26">
        <f>(LN(L60/(L42*0.25)))/$B$1</f>
        <v>0.15105005839905569</v>
      </c>
      <c r="W66" s="26">
        <f>(V66-V67)/(1-0.25)</f>
        <v>0.22436146995450024</v>
      </c>
      <c r="X66" s="26">
        <f>W66+V68</f>
        <v>0.15724979714411946</v>
      </c>
      <c r="Z66" s="26">
        <f>(LN(L63/(L43*0.25)))/$B$1</f>
        <v>0.62201586235794037</v>
      </c>
      <c r="AA66" s="26">
        <f>(Z66-Z67)/(1-0.25)</f>
        <v>0.87459757138952965</v>
      </c>
      <c r="AB66" s="26">
        <f>AA66+Z68</f>
        <v>0.79138026992626442</v>
      </c>
    </row>
    <row r="67" spans="1:28" x14ac:dyDescent="0.2">
      <c r="M67" s="12"/>
      <c r="N67" s="12"/>
      <c r="R67" s="26">
        <f>(LN(L58/L41))/$B$1</f>
        <v>0.11579779743791938</v>
      </c>
      <c r="V67" s="26">
        <f>(LN(L61/L42))/$B$1</f>
        <v>-1.7221044066819485E-2</v>
      </c>
      <c r="Z67" s="26">
        <f>(LN(L64/L43))/$B$1</f>
        <v>-3.3932316184206841E-2</v>
      </c>
    </row>
    <row r="68" spans="1:28" x14ac:dyDescent="0.2">
      <c r="M68" s="12"/>
      <c r="N68" s="12"/>
      <c r="R68" s="26">
        <f>LN(L59/L41)/$B$1</f>
        <v>0.12170228115855591</v>
      </c>
      <c r="V68" s="26">
        <f>LN(L62/L42)/$B$1</f>
        <v>-6.711167281038076E-2</v>
      </c>
      <c r="Z68" s="26">
        <f>LN(L65/L43)/$B$1</f>
        <v>-8.3217301463265267E-2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0.29934103888899055</v>
      </c>
      <c r="S71" s="26">
        <f>(R71-R72)/(1-0.25)</f>
        <v>0.45370267069895004</v>
      </c>
      <c r="T71" s="26">
        <f>S71+R73</f>
        <v>0.42460023249954637</v>
      </c>
      <c r="V71" s="26">
        <f>(LN(M60/(M42*0.25)))/$B$1</f>
        <v>0.10970454439720748</v>
      </c>
      <c r="W71" s="26">
        <f>(V71-V72)/(1-0.25)</f>
        <v>0.20336082082480034</v>
      </c>
      <c r="X71" s="26">
        <f>W71+V73</f>
        <v>4.3543674331485149E-2</v>
      </c>
      <c r="Z71" s="26">
        <f>(LN(M63/(M43*0.25)))/$B$1</f>
        <v>0.64563421900961748</v>
      </c>
      <c r="AA71" s="26">
        <f>(Z71-Z72)/(1-0.25)</f>
        <v>0.92030702586266411</v>
      </c>
      <c r="AB71" s="26">
        <f>AA71+Z73</f>
        <v>0.86363600607284186</v>
      </c>
    </row>
    <row r="72" spans="1:28" x14ac:dyDescent="0.2">
      <c r="M72" s="12"/>
      <c r="N72" s="12"/>
      <c r="R72" s="26">
        <f>(LN(M58/M41))/$B$1</f>
        <v>-4.0935964135222012E-2</v>
      </c>
      <c r="V72" s="26">
        <f>(LN(M61/M42))/$B$1</f>
        <v>-4.2816071221392762E-2</v>
      </c>
      <c r="Z72" s="26">
        <f>(LN(M64/M43))/$B$1</f>
        <v>-4.4596050387380619E-2</v>
      </c>
    </row>
    <row r="73" spans="1:28" x14ac:dyDescent="0.2">
      <c r="M73" s="12"/>
      <c r="N73" s="12"/>
      <c r="R73" s="26">
        <f>LN(M59/M41)/$B$1</f>
        <v>-2.9102438199403693E-2</v>
      </c>
      <c r="V73" s="26">
        <f>LN(M62/M42)/$B$1</f>
        <v>-0.15981714649331519</v>
      </c>
      <c r="Z73" s="26">
        <f>LN(M65/M43)/$B$1</f>
        <v>-5.6671019789822225E-2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0.21734377824215104</v>
      </c>
      <c r="S76" s="26">
        <f>(R76-R77)/(1-0.25)</f>
        <v>0.92814926058870306</v>
      </c>
      <c r="T76" s="26">
        <f>S76+R78</f>
        <v>0.77351215892345082</v>
      </c>
      <c r="V76" s="26">
        <f>(LN(N60/(N42*0.25)))/$B$1</f>
        <v>-0.17596035468315108</v>
      </c>
      <c r="W76" s="26">
        <f>(V76-V77)/(1-0.25)</f>
        <v>0.16610720029453296</v>
      </c>
      <c r="X76" s="26">
        <f>W76+V78</f>
        <v>-0.25384828312648283</v>
      </c>
      <c r="Z76" s="26">
        <f>(LN(N63/(N43*0.25)))/$B$1</f>
        <v>0.55127555328932121</v>
      </c>
      <c r="AA76" s="26">
        <f>(Z76-Z77)/(1-0.25)</f>
        <v>0.81982116067905164</v>
      </c>
      <c r="AB76" s="26">
        <f>AA76+Z78</f>
        <v>0.63603398030298641</v>
      </c>
    </row>
    <row r="77" spans="1:28" x14ac:dyDescent="0.2">
      <c r="M77" s="12"/>
      <c r="N77" s="12"/>
      <c r="R77" s="26">
        <f>(LN(N58/N41))/$B$1</f>
        <v>-0.47876816719937626</v>
      </c>
      <c r="V77" s="26">
        <f>(LN(N61/N42))/$B$1</f>
        <v>-0.3005407549040508</v>
      </c>
      <c r="Z77" s="26">
        <f>(LN(N64/N43))/$B$1</f>
        <v>-6.3590317219967593E-2</v>
      </c>
    </row>
    <row r="78" spans="1:28" x14ac:dyDescent="0.2">
      <c r="M78" s="12"/>
      <c r="N78" s="12"/>
      <c r="R78" s="26">
        <f>LN(N59/N41)/$B$1</f>
        <v>-0.15463710166525219</v>
      </c>
      <c r="V78" s="26">
        <f>LN(N62/N42)/$B$1</f>
        <v>-0.4199554834210158</v>
      </c>
      <c r="Z78" s="26">
        <f>LN(N65/N43)/$B$1</f>
        <v>-0.18378718037606528</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-0.75112578317282008</v>
      </c>
      <c r="S81" s="26">
        <f>(R81-R82)/(1-0.25)</f>
        <v>-0.16606102625955868</v>
      </c>
      <c r="T81" s="26">
        <f>S81+R83</f>
        <v>-0.65851804931422731</v>
      </c>
      <c r="V81" s="26">
        <f>(LN(O60/(O42*0.25)))/$B$1</f>
        <v>-0.23836058632891413</v>
      </c>
      <c r="W81" s="26">
        <f>(V81-V82)/(1-0.25)</f>
        <v>8.8161782849692227E-2</v>
      </c>
      <c r="X81" s="26">
        <f>W81+V83</f>
        <v>-0.34567628722313798</v>
      </c>
      <c r="Z81" s="26">
        <f>(LN(O63/(O43*0.25)))/$B$1</f>
        <v>1.4688360441725796</v>
      </c>
      <c r="AA81" s="26">
        <f>(Z81-Z82)/(1-0.25)</f>
        <v>2.4625308334882963</v>
      </c>
      <c r="AB81" s="26">
        <f>AA81+Z83</f>
        <v>2.2277701506316125</v>
      </c>
    </row>
    <row r="82" spans="13:28" x14ac:dyDescent="0.2">
      <c r="M82" s="12"/>
      <c r="N82" s="12"/>
      <c r="R82" s="26">
        <f>(LN(O58/O41))/$B$1</f>
        <v>-0.62658001347815107</v>
      </c>
      <c r="V82" s="26">
        <f>(LN(O61/O42))/$B$1</f>
        <v>-0.3044819234661833</v>
      </c>
      <c r="Z82" s="26">
        <f>(LN(O64/O43))/$B$1</f>
        <v>-0.37806208094364258</v>
      </c>
    </row>
    <row r="83" spans="13:28" x14ac:dyDescent="0.2">
      <c r="M83" s="12"/>
      <c r="N83" s="12"/>
      <c r="R83" s="26">
        <f>LN(O59/O41)/$B$1</f>
        <v>-0.4924570230546686</v>
      </c>
      <c r="V83" s="26">
        <f>LN(O62/O42)/$B$1</f>
        <v>-0.43383807007283021</v>
      </c>
      <c r="Z83" s="26">
        <f>LN(O65/O43)/$B$1</f>
        <v>-0.23476068285668353</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0.32341398878879457</v>
      </c>
      <c r="S87" s="26">
        <f>(R87-R88)/(1-0.25)</f>
        <v>0.427352468363493</v>
      </c>
      <c r="T87" s="26">
        <f>S87+R89</f>
        <v>0.48458918701066178</v>
      </c>
      <c r="V87" s="26">
        <f>(LN(Q60/(Q42*0.25)))/$B$1</f>
        <v>7.7680237994738346E-2</v>
      </c>
      <c r="W87" s="26">
        <f>(V87-V88)/(1-0.25)</f>
        <v>0.21132838798602141</v>
      </c>
      <c r="X87" s="26">
        <f>W87+V89</f>
        <v>6.0917544129421242E-2</v>
      </c>
      <c r="Z87" s="26">
        <f>(LN(Q63/(Q43*0.25)))/$B$1</f>
        <v>0.60970718321123551</v>
      </c>
      <c r="AA87" s="26">
        <f>(Z87-Z88)/(1-0.25)</f>
        <v>0.86910744399620599</v>
      </c>
      <c r="AB87" s="26">
        <f>AA87+Z89</f>
        <v>0.76770174926613877</v>
      </c>
    </row>
    <row r="88" spans="13:28" x14ac:dyDescent="0.2">
      <c r="M88" s="12"/>
      <c r="N88" s="12"/>
      <c r="R88" s="26">
        <f>(LN(Q58/Q41))/$B$1</f>
        <v>2.899637516174836E-3</v>
      </c>
      <c r="S88" s="10"/>
      <c r="T88" s="10"/>
      <c r="V88" s="26">
        <f>(LN(Q61/Q42))/$B$1</f>
        <v>-8.0816052994777732E-2</v>
      </c>
      <c r="W88" s="10"/>
      <c r="X88" s="10"/>
      <c r="Z88" s="26">
        <f>(LN(Q64/Q43))/$B$1</f>
        <v>-4.212339978591894E-2</v>
      </c>
      <c r="AA88" s="10"/>
      <c r="AB88" s="10"/>
    </row>
    <row r="89" spans="13:28" x14ac:dyDescent="0.2">
      <c r="M89" s="12"/>
      <c r="N89" s="12"/>
      <c r="R89" s="26">
        <f>LN(Q59/Q41)/$B$1</f>
        <v>5.7236718647168755E-2</v>
      </c>
      <c r="S89" s="10"/>
      <c r="T89" s="10"/>
      <c r="V89" s="26">
        <f>LN(Q62/Q42)/$B$1</f>
        <v>-0.15041084385660017</v>
      </c>
      <c r="W89" s="10"/>
      <c r="X89" s="10"/>
      <c r="Z89" s="26">
        <f>LN(Q65/Q43)/$B$1</f>
        <v>-0.10140569473006721</v>
      </c>
      <c r="AA89" s="10"/>
      <c r="AB89" s="1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Z89"/>
  <sheetViews>
    <sheetView tabSelected="1" workbookViewId="0">
      <selection activeCell="L16" sqref="L16"/>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585</v>
      </c>
      <c r="B1" s="4">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3" t="s">
        <v>588</v>
      </c>
      <c r="AP3" s="43" t="s">
        <v>589</v>
      </c>
      <c r="AQ3" s="43" t="s">
        <v>44</v>
      </c>
      <c r="AR3" s="43" t="s">
        <v>45</v>
      </c>
      <c r="AS3" s="4" t="s">
        <v>590</v>
      </c>
      <c r="AT3" s="4" t="s">
        <v>591</v>
      </c>
      <c r="AU3" s="43" t="s">
        <v>592</v>
      </c>
      <c r="AV3" s="45" t="s">
        <v>600</v>
      </c>
      <c r="AW3" s="45" t="s">
        <v>601</v>
      </c>
      <c r="AX3" s="45" t="s">
        <v>44</v>
      </c>
      <c r="AY3" s="45" t="s">
        <v>45</v>
      </c>
      <c r="AZ3" s="45" t="s">
        <v>592</v>
      </c>
    </row>
    <row r="4" spans="1:52" x14ac:dyDescent="0.2">
      <c r="A4" s="5" t="s">
        <v>450</v>
      </c>
      <c r="B4" s="10">
        <v>5</v>
      </c>
      <c r="C4" s="5">
        <v>27101</v>
      </c>
      <c r="D4" s="5">
        <v>2950</v>
      </c>
      <c r="E4" s="5">
        <v>1378</v>
      </c>
      <c r="F4" s="5">
        <v>380</v>
      </c>
      <c r="G4" s="5">
        <v>2898</v>
      </c>
      <c r="H4" s="5">
        <v>19041</v>
      </c>
      <c r="I4" s="7">
        <v>207700</v>
      </c>
      <c r="J4" s="7">
        <v>294900</v>
      </c>
      <c r="K4" s="5">
        <v>2965</v>
      </c>
      <c r="L4" s="5">
        <v>64382</v>
      </c>
      <c r="M4" s="7">
        <v>763900</v>
      </c>
      <c r="N4" s="7">
        <v>3636000</v>
      </c>
      <c r="O4" s="8">
        <f>(224333+K4)/235871</f>
        <v>0.96365386164471256</v>
      </c>
      <c r="P4" s="8">
        <f>(224333+L4)/235871</f>
        <v>1.224037715530947</v>
      </c>
      <c r="Q4" s="8">
        <f t="shared" ref="Q4:R9" si="0">(224333+M4)/235871</f>
        <v>4.1897181086271731</v>
      </c>
      <c r="R4" s="8">
        <f t="shared" si="0"/>
        <v>16.36628920045279</v>
      </c>
      <c r="S4" s="8">
        <f>4/3*3.14*((O4/2)^3)</f>
        <v>0.4683188039715801</v>
      </c>
      <c r="T4" s="8">
        <f t="shared" ref="T4:V9" si="1">4/3*3.14*((P4/2)^3)</f>
        <v>0.95976033336371191</v>
      </c>
      <c r="U4" s="8">
        <f t="shared" si="1"/>
        <v>38.488661605769863</v>
      </c>
      <c r="V4" s="8">
        <f>4/3*3.14*((R4/2)^3)</f>
        <v>2294.1883021742569</v>
      </c>
      <c r="W4" s="8">
        <f>(S4*265)/1000</f>
        <v>0.12410448305246873</v>
      </c>
      <c r="X4" s="8">
        <f>(10^(-0.665+LOG(T4, 10)*0.959))</f>
        <v>0.2079189733328439</v>
      </c>
      <c r="Y4" s="8">
        <f>(10^(-0.665+LOG(U4, 10)*0.959))</f>
        <v>7.1669465262008707</v>
      </c>
      <c r="Z4" s="8">
        <f>(10^(-0.665+LOG(V4, 10)*0.959))</f>
        <v>361.27945866750599</v>
      </c>
      <c r="AA4" s="8">
        <f>W4*C4</f>
        <v>3363.3555952049551</v>
      </c>
      <c r="AB4" s="8">
        <f>X4*D4</f>
        <v>613.36097133188946</v>
      </c>
      <c r="AC4" s="8">
        <f t="shared" ref="AC4:AD9" si="2">Y4*E4</f>
        <v>9876.0523131047994</v>
      </c>
      <c r="AD4" s="8">
        <f>Z4*F4</f>
        <v>137286.19429365228</v>
      </c>
      <c r="AE4" s="8">
        <f>AA4/(AA4+AB4+AC4+AD4)</f>
        <v>2.2253398624605996E-2</v>
      </c>
      <c r="AF4" s="8">
        <f>AB4/(AA4+AB4+AC4+AD4)</f>
        <v>4.0582584295527947E-3</v>
      </c>
      <c r="AG4" s="8">
        <f>AC4/(AA4+AB4+AC4+AD4)</f>
        <v>6.5344184621546259E-2</v>
      </c>
      <c r="AH4" s="8">
        <f>AD4/(AA4+AB4+AC4+AD4)</f>
        <v>0.90834415832429505</v>
      </c>
      <c r="AI4" s="8">
        <f>LN((AVERAGE(G14:G16))/G4)/1.125</f>
        <v>0.44963937192514358</v>
      </c>
      <c r="AJ4" s="8">
        <f>LN((AVERAGE(H14:H16))/H4)/1.125</f>
        <v>6.5742586660350238E-2</v>
      </c>
      <c r="AK4" s="8">
        <f>LN((AVERAGE(I14:I16))/I4)/1.125</f>
        <v>4.5194513172887474E-2</v>
      </c>
      <c r="AL4" s="8">
        <f>LN((AVERAGE(J14:J16))/J4)/1.125</f>
        <v>-8.2772445582675047E-3</v>
      </c>
      <c r="AM4" s="15">
        <f>(AI4*AE4)+(AJ4*AF4)+(AG4*AK4)+(AH4*AL4)</f>
        <v>5.7074164583888806E-3</v>
      </c>
      <c r="AN4" s="10">
        <v>5</v>
      </c>
      <c r="AO4" s="44">
        <f>H4/L4</f>
        <v>0.29575036500885343</v>
      </c>
      <c r="AP4" s="44">
        <f>I4/M4</f>
        <v>0.27189422699306193</v>
      </c>
      <c r="AQ4" s="44">
        <f>LN((AVERAGE(AO14:AO16))/AO4)/1.125</f>
        <v>0.11814472365941471</v>
      </c>
      <c r="AR4" s="44">
        <f>LN((AVERAGE(AP14:AP16))/AP4)/1.125</f>
        <v>0.12372439832443351</v>
      </c>
      <c r="AS4" s="8">
        <f>AB4/(AB4+AC4)</f>
        <v>5.8474287808064823E-2</v>
      </c>
      <c r="AT4" s="8">
        <f>AC4/(AC4+AB4)</f>
        <v>0.94152571219193515</v>
      </c>
      <c r="AU4" s="44">
        <f>(AQ4*AS4)+(AR4*AT4)</f>
        <v>0.12339813082219583</v>
      </c>
      <c r="AV4" s="46">
        <f>H4</f>
        <v>19041</v>
      </c>
      <c r="AW4" s="46">
        <f t="shared" ref="AW4:AW11" si="3">I4</f>
        <v>207700</v>
      </c>
      <c r="AX4" s="48">
        <f>LN((AVERAGE(AV14:AV16))/AV4)/1.125</f>
        <v>6.5742586660350238E-2</v>
      </c>
      <c r="AY4" s="48">
        <f>LN((AVERAGE(AW14:AW16))/AW4)/1.125</f>
        <v>4.5194513172887474E-2</v>
      </c>
      <c r="AZ4" s="48">
        <f t="shared" ref="AZ4:AZ9" si="4">(AX4*AS4)+(AY4*AT4)</f>
        <v>4.6396047135894639E-2</v>
      </c>
    </row>
    <row r="5" spans="1:52" x14ac:dyDescent="0.2">
      <c r="A5" s="5" t="s">
        <v>451</v>
      </c>
      <c r="B5" s="10">
        <v>12</v>
      </c>
      <c r="C5" s="5">
        <v>28227</v>
      </c>
      <c r="D5" s="5">
        <v>2789</v>
      </c>
      <c r="E5" s="5">
        <v>1354</v>
      </c>
      <c r="F5" s="5">
        <v>244</v>
      </c>
      <c r="G5" s="5">
        <v>3919</v>
      </c>
      <c r="H5" s="5">
        <v>19358</v>
      </c>
      <c r="I5" s="7">
        <v>197400</v>
      </c>
      <c r="J5" s="7">
        <v>287100</v>
      </c>
      <c r="K5" s="5">
        <v>7223</v>
      </c>
      <c r="L5" s="5">
        <v>58920</v>
      </c>
      <c r="M5" s="7">
        <v>689400</v>
      </c>
      <c r="N5" s="7">
        <v>3307000</v>
      </c>
      <c r="O5" s="8">
        <f t="shared" ref="O5:P9" si="5">(224333+K5)/235871</f>
        <v>0.9817061020642639</v>
      </c>
      <c r="P5" s="8">
        <f t="shared" si="5"/>
        <v>1.2008809900326873</v>
      </c>
      <c r="Q5" s="8">
        <f t="shared" si="0"/>
        <v>3.8738674953682311</v>
      </c>
      <c r="R5" s="8">
        <f t="shared" si="0"/>
        <v>14.971458975456924</v>
      </c>
      <c r="S5" s="8">
        <f t="shared" ref="S5:S9" si="6">4/3*3.14*((O5/2)^3)</f>
        <v>0.49513413626159736</v>
      </c>
      <c r="T5" s="8">
        <f t="shared" si="1"/>
        <v>0.90631320487797817</v>
      </c>
      <c r="U5" s="8">
        <f t="shared" si="1"/>
        <v>30.423745734139519</v>
      </c>
      <c r="V5" s="8">
        <f t="shared" si="1"/>
        <v>1756.1870545094889</v>
      </c>
      <c r="W5" s="8">
        <f t="shared" ref="W5:W9" si="7">(S5*265)/1000</f>
        <v>0.13121054610932331</v>
      </c>
      <c r="X5" s="8">
        <f t="shared" ref="X5:Z9" si="8">(10^(-0.665+LOG(T5, 10)*0.959))</f>
        <v>0.19680217646270609</v>
      </c>
      <c r="Y5" s="8">
        <f t="shared" si="8"/>
        <v>5.7200649853307786</v>
      </c>
      <c r="Z5" s="8">
        <f t="shared" si="8"/>
        <v>279.60399339738234</v>
      </c>
      <c r="AA5" s="8">
        <f t="shared" ref="AA5:AB9" si="9">W5*C5</f>
        <v>3703.6800850278692</v>
      </c>
      <c r="AB5" s="8">
        <f t="shared" si="9"/>
        <v>548.88127015448731</v>
      </c>
      <c r="AC5" s="8">
        <f t="shared" si="2"/>
        <v>7744.967990137874</v>
      </c>
      <c r="AD5" s="8">
        <f t="shared" si="2"/>
        <v>68223.374388961296</v>
      </c>
      <c r="AE5" s="8">
        <f t="shared" ref="AE5:AE9" si="10">AA5/(AA5+AB5+AC5+AD5)</f>
        <v>4.6168516092709409E-2</v>
      </c>
      <c r="AF5" s="8">
        <f t="shared" ref="AF5:AF9" si="11">AB5/(AA5+AB5+AC5+AD5)</f>
        <v>6.8421227461182149E-3</v>
      </c>
      <c r="AG5" s="8">
        <f t="shared" ref="AG5:AG9" si="12">AC5/(AA5+AB5+AC5+AD5)</f>
        <v>9.6545509083166142E-2</v>
      </c>
      <c r="AH5" s="8">
        <f t="shared" ref="AH5:AH9" si="13">AD5/(AA5+AB5+AC5+AD5)</f>
        <v>0.85044385207800621</v>
      </c>
      <c r="AI5" s="8">
        <f>LN((AVERAGE(G17:G19))/G5)/1.125</f>
        <v>0.38131008608339284</v>
      </c>
      <c r="AJ5" s="8">
        <f>LN((AVERAGE(H17:H19))/H5)/1.125</f>
        <v>9.838455391770487E-2</v>
      </c>
      <c r="AK5" s="8">
        <f>LN((AVERAGE(I17:I19))/I5)/1.125</f>
        <v>8.0726744968006831E-2</v>
      </c>
      <c r="AL5" s="8">
        <f>LN((AVERAGE(J17:J19))/J5)/1.125</f>
        <v>1.3519483256469962E-2</v>
      </c>
      <c r="AM5" s="15">
        <f t="shared" ref="AM5:AM9" si="14">(AI5*AE5)+(AJ5*AF5)+(AG5*AK5)+(AH5*AL5)</f>
        <v>3.7569046148180116E-2</v>
      </c>
      <c r="AN5" s="10">
        <v>12</v>
      </c>
      <c r="AO5" s="44">
        <f t="shared" ref="AO5:AO11" si="15">H5/L5</f>
        <v>0.32854718262050236</v>
      </c>
      <c r="AP5" s="44">
        <f t="shared" ref="AP5:AP11" si="16">I5/M5</f>
        <v>0.2863359442993908</v>
      </c>
      <c r="AQ5" s="44">
        <f>LN((AVERAGE(AO17:AO19))/AO5)/1.125</f>
        <v>0.13280595515787585</v>
      </c>
      <c r="AR5" s="44">
        <f>LN((AVERAGE(AP17:AP19))/AP5)/1.125</f>
        <v>0.13742594726907154</v>
      </c>
      <c r="AS5" s="8">
        <f t="shared" ref="AS5:AS9" si="17">AB5/(AB5+AC5)</f>
        <v>6.6179315891634505E-2</v>
      </c>
      <c r="AT5" s="8">
        <f t="shared" ref="AT5:AT9" si="18">AC5/(AC5+AB5)</f>
        <v>0.9338206841083655</v>
      </c>
      <c r="AU5" s="44">
        <f t="shared" ref="AU5:AU9" si="19">(AQ5*AS5)+(AR5*AT5)</f>
        <v>0.13712019935172787</v>
      </c>
      <c r="AV5" s="46">
        <f t="shared" ref="AV5:AV11" si="20">H5</f>
        <v>19358</v>
      </c>
      <c r="AW5" s="46">
        <f t="shared" si="3"/>
        <v>197400</v>
      </c>
      <c r="AX5" s="48">
        <f>LN((AVERAGE(AV17:AV19))/AV5)/1.125</f>
        <v>9.838455391770487E-2</v>
      </c>
      <c r="AY5" s="48">
        <f>LN((AVERAGE(AW17:AW19))/AW5)/1.125</f>
        <v>8.0726744968006831E-2</v>
      </c>
      <c r="AZ5" s="48">
        <f t="shared" si="4"/>
        <v>8.1895326684443034E-2</v>
      </c>
    </row>
    <row r="6" spans="1:52" x14ac:dyDescent="0.2">
      <c r="A6" s="5" t="s">
        <v>452</v>
      </c>
      <c r="B6" s="10">
        <v>30</v>
      </c>
      <c r="C6" s="5">
        <v>95880</v>
      </c>
      <c r="D6" s="5">
        <v>6478</v>
      </c>
      <c r="E6" s="5">
        <v>1405</v>
      </c>
      <c r="F6" s="5">
        <v>159</v>
      </c>
      <c r="G6" s="5">
        <v>5465</v>
      </c>
      <c r="H6" s="5">
        <v>19203</v>
      </c>
      <c r="I6" s="7">
        <v>210700</v>
      </c>
      <c r="J6" s="7">
        <v>286000</v>
      </c>
      <c r="K6" s="5">
        <v>2382</v>
      </c>
      <c r="L6" s="5">
        <v>48474</v>
      </c>
      <c r="M6" s="7">
        <v>635300</v>
      </c>
      <c r="N6" s="7">
        <v>2807000</v>
      </c>
      <c r="O6" s="8">
        <f t="shared" si="5"/>
        <v>0.96118217161075337</v>
      </c>
      <c r="P6" s="8">
        <f t="shared" si="5"/>
        <v>1.1565940704876818</v>
      </c>
      <c r="Q6" s="8">
        <f t="shared" si="0"/>
        <v>3.6445048352701264</v>
      </c>
      <c r="R6" s="8">
        <f t="shared" si="0"/>
        <v>12.851656201906975</v>
      </c>
      <c r="S6" s="8">
        <f t="shared" si="6"/>
        <v>0.46472444551105768</v>
      </c>
      <c r="T6" s="8">
        <f t="shared" si="1"/>
        <v>0.8096946731175434</v>
      </c>
      <c r="U6" s="8">
        <f t="shared" si="1"/>
        <v>25.333429721373257</v>
      </c>
      <c r="V6" s="8">
        <f t="shared" si="1"/>
        <v>1110.850705057494</v>
      </c>
      <c r="W6" s="8">
        <f t="shared" si="7"/>
        <v>0.12315197806043028</v>
      </c>
      <c r="X6" s="8">
        <f t="shared" si="8"/>
        <v>0.17663636123951781</v>
      </c>
      <c r="Y6" s="8">
        <f t="shared" si="8"/>
        <v>4.7989092401181939</v>
      </c>
      <c r="Z6" s="8">
        <f t="shared" si="8"/>
        <v>180.21204357171067</v>
      </c>
      <c r="AA6" s="8">
        <f t="shared" si="9"/>
        <v>11807.811656434056</v>
      </c>
      <c r="AB6" s="8">
        <f t="shared" si="9"/>
        <v>1144.2503481095964</v>
      </c>
      <c r="AC6" s="8">
        <f t="shared" si="2"/>
        <v>6742.4674823660625</v>
      </c>
      <c r="AD6" s="8">
        <f t="shared" si="2"/>
        <v>28653.714927901994</v>
      </c>
      <c r="AE6" s="8">
        <f t="shared" si="10"/>
        <v>0.24422420709068557</v>
      </c>
      <c r="AF6" s="8">
        <f t="shared" si="11"/>
        <v>2.3666843790486218E-2</v>
      </c>
      <c r="AG6" s="8">
        <f t="shared" si="12"/>
        <v>0.13945630423553657</v>
      </c>
      <c r="AH6" s="8">
        <f t="shared" si="13"/>
        <v>0.59265264488329172</v>
      </c>
      <c r="AI6" s="8">
        <f>LN((AVERAGE(G20:G22))/G6)/1.125</f>
        <v>0.17310919276430281</v>
      </c>
      <c r="AJ6" s="8">
        <f>LN((AVERAGE(H20:H22))/H6)/1.125</f>
        <v>6.7041233792257238E-2</v>
      </c>
      <c r="AK6" s="8">
        <f>LN((AVERAGE(I20:I22))/I6)/1.125</f>
        <v>3.6487438525967409E-3</v>
      </c>
      <c r="AL6" s="8">
        <f>LN((AVERAGE(J20:J22))/J6)/1.125</f>
        <v>1.2423326814559423E-3</v>
      </c>
      <c r="AM6" s="15">
        <f t="shared" si="14"/>
        <v>4.5109221832928405E-2</v>
      </c>
      <c r="AN6" s="10">
        <v>30</v>
      </c>
      <c r="AO6" s="44">
        <f t="shared" si="15"/>
        <v>0.39615051367743531</v>
      </c>
      <c r="AP6" s="44">
        <f t="shared" si="16"/>
        <v>0.33165433653392096</v>
      </c>
      <c r="AQ6" s="44">
        <f>LN((AVERAGE(AO20:AO22))/AO6)/1.125</f>
        <v>0.14123988643121679</v>
      </c>
      <c r="AR6" s="44">
        <f>LN((AVERAGE(AP20:AP22))/AP6)/1.125</f>
        <v>0.1832275512069319</v>
      </c>
      <c r="AS6" s="8">
        <f t="shared" si="17"/>
        <v>0.14508574703763494</v>
      </c>
      <c r="AT6" s="8">
        <f t="shared" si="18"/>
        <v>0.85491425296236512</v>
      </c>
      <c r="AU6" s="44">
        <f t="shared" si="19"/>
        <v>0.17713573949658151</v>
      </c>
      <c r="AV6" s="46">
        <f t="shared" si="20"/>
        <v>19203</v>
      </c>
      <c r="AW6" s="46">
        <f t="shared" si="3"/>
        <v>210700</v>
      </c>
      <c r="AX6" s="48">
        <f>LN((AVERAGE(AV20:AV22))/AV6)/1.125</f>
        <v>6.7041233792257238E-2</v>
      </c>
      <c r="AY6" s="48">
        <f>LN((AVERAGE(AW20:AW22))/AW6)/1.125</f>
        <v>3.6487438525967409E-3</v>
      </c>
      <c r="AZ6" s="48">
        <f t="shared" si="4"/>
        <v>1.2846090612068142E-2</v>
      </c>
    </row>
    <row r="7" spans="1:52" x14ac:dyDescent="0.2">
      <c r="A7" s="5" t="s">
        <v>453</v>
      </c>
      <c r="B7" s="10">
        <v>50</v>
      </c>
      <c r="C7" s="7">
        <v>160000</v>
      </c>
      <c r="D7" s="5">
        <v>12181</v>
      </c>
      <c r="E7" s="5">
        <v>1759</v>
      </c>
      <c r="F7" s="5">
        <v>314</v>
      </c>
      <c r="G7" s="5">
        <v>8378</v>
      </c>
      <c r="H7" s="5">
        <v>25218</v>
      </c>
      <c r="I7" s="7">
        <v>254200</v>
      </c>
      <c r="J7" s="7">
        <v>291400</v>
      </c>
      <c r="K7" s="5">
        <v>942.1</v>
      </c>
      <c r="L7" s="5">
        <v>38514</v>
      </c>
      <c r="M7" s="7">
        <v>532700</v>
      </c>
      <c r="N7" s="7">
        <v>1908000</v>
      </c>
      <c r="O7" s="8">
        <f t="shared" si="5"/>
        <v>0.95507756358348417</v>
      </c>
      <c r="P7" s="8">
        <f t="shared" si="5"/>
        <v>1.1143675992385669</v>
      </c>
      <c r="Q7" s="8">
        <f t="shared" si="0"/>
        <v>3.2095213061376771</v>
      </c>
      <c r="R7" s="8">
        <f t="shared" si="0"/>
        <v>9.0402508150641658</v>
      </c>
      <c r="S7" s="8">
        <f t="shared" si="6"/>
        <v>0.45592596528957796</v>
      </c>
      <c r="T7" s="8">
        <f t="shared" si="1"/>
        <v>0.72420884807752084</v>
      </c>
      <c r="U7" s="8">
        <f t="shared" si="1"/>
        <v>17.302114704978813</v>
      </c>
      <c r="V7" s="8">
        <f t="shared" si="1"/>
        <v>386.65162268929095</v>
      </c>
      <c r="W7" s="8">
        <f t="shared" si="7"/>
        <v>0.12082038080173815</v>
      </c>
      <c r="X7" s="8">
        <f t="shared" si="8"/>
        <v>0.15871187035231932</v>
      </c>
      <c r="Y7" s="8">
        <f t="shared" si="8"/>
        <v>3.3291787983922414</v>
      </c>
      <c r="Z7" s="8">
        <f t="shared" si="8"/>
        <v>65.499762284804618</v>
      </c>
      <c r="AA7" s="8">
        <f t="shared" si="9"/>
        <v>19331.260928278105</v>
      </c>
      <c r="AB7" s="8">
        <f t="shared" si="9"/>
        <v>1933.2692927616017</v>
      </c>
      <c r="AC7" s="8">
        <f t="shared" si="2"/>
        <v>5856.0255063719524</v>
      </c>
      <c r="AD7" s="8">
        <f t="shared" si="2"/>
        <v>20566.925357428649</v>
      </c>
      <c r="AE7" s="8">
        <f t="shared" si="10"/>
        <v>0.40537391551225066</v>
      </c>
      <c r="AF7" s="8">
        <f t="shared" si="11"/>
        <v>4.054039443438294E-2</v>
      </c>
      <c r="AG7" s="8">
        <f t="shared" si="12"/>
        <v>0.12280005932696587</v>
      </c>
      <c r="AH7" s="8">
        <f t="shared" si="13"/>
        <v>0.43128563072640058</v>
      </c>
      <c r="AI7" s="8">
        <f>LN((AVERAGE(G23:G25))/G7)/1.125</f>
        <v>0.11501775541311605</v>
      </c>
      <c r="AJ7" s="8">
        <f>LN((AVERAGE(H23:H25))/H7)/1.125</f>
        <v>6.8003714647012325E-2</v>
      </c>
      <c r="AK7" s="8">
        <f>LN((AVERAGE(I23:I25))/I7)/1.125</f>
        <v>-3.2283625383370408E-2</v>
      </c>
      <c r="AL7" s="8">
        <f>LN((AVERAGE(J23:J25))/J7)/1.125</f>
        <v>-1.2904939188475831E-2</v>
      </c>
      <c r="AM7" s="15">
        <f t="shared" si="14"/>
        <v>3.985194933028325E-2</v>
      </c>
      <c r="AN7" s="10">
        <v>50</v>
      </c>
      <c r="AO7" s="44">
        <f t="shared" si="15"/>
        <v>0.65477488705405829</v>
      </c>
      <c r="AP7" s="44">
        <f t="shared" si="16"/>
        <v>0.47719166510230898</v>
      </c>
      <c r="AQ7" s="44">
        <f>LN((AVERAGE(AO23:AO25))/AO7)/1.125</f>
        <v>2.8260507139359292E-2</v>
      </c>
      <c r="AR7" s="44">
        <f>LN((AVERAGE(AP23:AP25))/AP7)/1.125</f>
        <v>0.19517140760767013</v>
      </c>
      <c r="AS7" s="8">
        <f t="shared" si="17"/>
        <v>0.24819567658122912</v>
      </c>
      <c r="AT7" s="8">
        <f t="shared" si="18"/>
        <v>0.7518043234187709</v>
      </c>
      <c r="AU7" s="44">
        <f t="shared" si="19"/>
        <v>0.15374484373715552</v>
      </c>
      <c r="AV7" s="46">
        <f t="shared" si="20"/>
        <v>25218</v>
      </c>
      <c r="AW7" s="46">
        <f t="shared" si="3"/>
        <v>254200</v>
      </c>
      <c r="AX7" s="48">
        <f>LN((AVERAGE(AV23:AV25))/AV7)/1.125</f>
        <v>6.8003714647012325E-2</v>
      </c>
      <c r="AY7" s="48">
        <f>LN((AVERAGE(AW23:AW25))/AW7)/1.125</f>
        <v>-3.2283625383370408E-2</v>
      </c>
      <c r="AZ7" s="48">
        <f t="shared" si="4"/>
        <v>-7.3927411719977819E-3</v>
      </c>
    </row>
    <row r="8" spans="1:52" x14ac:dyDescent="0.2">
      <c r="A8" s="5" t="s">
        <v>454</v>
      </c>
      <c r="B8" s="10">
        <v>60</v>
      </c>
      <c r="C8" s="5">
        <v>81240</v>
      </c>
      <c r="D8" s="5">
        <v>10689</v>
      </c>
      <c r="E8" s="5">
        <v>1216</v>
      </c>
      <c r="F8" s="5">
        <v>264</v>
      </c>
      <c r="G8" s="5">
        <v>13177</v>
      </c>
      <c r="H8" s="5">
        <v>37299</v>
      </c>
      <c r="I8" s="7">
        <v>288400</v>
      </c>
      <c r="J8" s="7">
        <v>290800</v>
      </c>
      <c r="K8" s="5">
        <v>2059</v>
      </c>
      <c r="L8" s="5">
        <v>38788</v>
      </c>
      <c r="M8" s="7">
        <v>518300</v>
      </c>
      <c r="N8" s="7">
        <v>1684000</v>
      </c>
      <c r="O8" s="8">
        <f t="shared" si="5"/>
        <v>0.95981277901904005</v>
      </c>
      <c r="P8" s="8">
        <f t="shared" si="5"/>
        <v>1.1155292511584722</v>
      </c>
      <c r="Q8" s="8">
        <f t="shared" si="0"/>
        <v>3.1484709862594382</v>
      </c>
      <c r="R8" s="8">
        <f t="shared" si="0"/>
        <v>8.0905791725137899</v>
      </c>
      <c r="S8" s="8">
        <f t="shared" si="6"/>
        <v>0.46274100054247874</v>
      </c>
      <c r="T8" s="8">
        <f t="shared" si="1"/>
        <v>0.72647602422143009</v>
      </c>
      <c r="U8" s="8">
        <f t="shared" si="1"/>
        <v>16.333433337149796</v>
      </c>
      <c r="V8" s="8">
        <f t="shared" si="1"/>
        <v>277.15150045004418</v>
      </c>
      <c r="W8" s="8">
        <f t="shared" si="7"/>
        <v>0.12262636514375687</v>
      </c>
      <c r="X8" s="8">
        <f t="shared" si="8"/>
        <v>0.15918832504778477</v>
      </c>
      <c r="Y8" s="8">
        <f t="shared" si="8"/>
        <v>3.1502230688841228</v>
      </c>
      <c r="Z8" s="8">
        <f t="shared" si="8"/>
        <v>47.595492767119524</v>
      </c>
      <c r="AA8" s="8">
        <f t="shared" si="9"/>
        <v>9962.1659042788087</v>
      </c>
      <c r="AB8" s="8">
        <f t="shared" si="9"/>
        <v>1701.5640064357715</v>
      </c>
      <c r="AC8" s="8">
        <f t="shared" si="2"/>
        <v>3830.6712517630936</v>
      </c>
      <c r="AD8" s="8">
        <f t="shared" si="2"/>
        <v>12565.210090519555</v>
      </c>
      <c r="AE8" s="8">
        <f t="shared" si="10"/>
        <v>0.35503577773960376</v>
      </c>
      <c r="AF8" s="8">
        <f t="shared" si="11"/>
        <v>6.0641039930801478E-2</v>
      </c>
      <c r="AG8" s="8">
        <f t="shared" si="12"/>
        <v>0.13651904216434627</v>
      </c>
      <c r="AH8" s="8">
        <f t="shared" si="13"/>
        <v>0.44780414016524844</v>
      </c>
      <c r="AI8" s="8">
        <f>LN((AVERAGE(G26:G28))/G8)/1.125</f>
        <v>3.5981256660107069E-2</v>
      </c>
      <c r="AJ8" s="8">
        <f>LN((AVERAGE(H26:H28))/H8)/1.125</f>
        <v>5.8745750000475834E-2</v>
      </c>
      <c r="AK8" s="8">
        <f>LN((AVERAGE(I26:I28))/I8)/1.125</f>
        <v>-9.3986687381899421E-3</v>
      </c>
      <c r="AL8" s="8">
        <f>LN((AVERAGE(J26:J28))/J8)/1.125</f>
        <v>-3.5733248731677821E-3</v>
      </c>
      <c r="AM8" s="15">
        <f t="shared" si="14"/>
        <v>1.3453789887795478E-2</v>
      </c>
      <c r="AN8" s="10">
        <v>60</v>
      </c>
      <c r="AO8" s="44">
        <f t="shared" si="15"/>
        <v>0.96161183871300404</v>
      </c>
      <c r="AP8" s="44">
        <f t="shared" si="16"/>
        <v>0.55643449739533091</v>
      </c>
      <c r="AQ8" s="44">
        <f>LN((AVERAGE(AO26:AO28))/AO8)/1.125</f>
        <v>-2.8855097881738661E-2</v>
      </c>
      <c r="AR8" s="44">
        <f>LN((AVERAGE(AP26:AP28))/AP8)/1.125</f>
        <v>0.27697319778308238</v>
      </c>
      <c r="AS8" s="8">
        <f t="shared" si="17"/>
        <v>0.30757260438518502</v>
      </c>
      <c r="AT8" s="8">
        <f t="shared" si="18"/>
        <v>0.69242739561481492</v>
      </c>
      <c r="AU8" s="44">
        <f t="shared" si="19"/>
        <v>0.18290879239077096</v>
      </c>
      <c r="AV8" s="46">
        <f t="shared" si="20"/>
        <v>37299</v>
      </c>
      <c r="AW8" s="46">
        <f t="shared" si="3"/>
        <v>288400</v>
      </c>
      <c r="AX8" s="48">
        <f>LN((AVERAGE(AV26:AV28))/AV8)/1.125</f>
        <v>5.8745750000475834E-2</v>
      </c>
      <c r="AY8" s="48">
        <f>LN((AVERAGE(AW26:AW28))/AW8)/1.125</f>
        <v>-9.3986687381899421E-3</v>
      </c>
      <c r="AZ8" s="48">
        <f t="shared" si="4"/>
        <v>1.1560687607576097E-2</v>
      </c>
    </row>
    <row r="9" spans="1:52" x14ac:dyDescent="0.2">
      <c r="A9" s="5" t="s">
        <v>455</v>
      </c>
      <c r="B9" s="10">
        <v>70</v>
      </c>
      <c r="C9" s="5">
        <v>44507</v>
      </c>
      <c r="D9" s="5">
        <v>7799</v>
      </c>
      <c r="E9" s="5">
        <v>958</v>
      </c>
      <c r="F9" s="5">
        <v>110</v>
      </c>
      <c r="G9" s="5">
        <v>16780</v>
      </c>
      <c r="H9" s="5">
        <v>54147</v>
      </c>
      <c r="I9" s="7">
        <v>274000</v>
      </c>
      <c r="J9" s="7">
        <v>292700</v>
      </c>
      <c r="K9" s="5">
        <v>3085</v>
      </c>
      <c r="L9" s="5">
        <v>45596</v>
      </c>
      <c r="M9" s="7">
        <v>357000</v>
      </c>
      <c r="N9" s="7">
        <v>1619000</v>
      </c>
      <c r="O9" s="8">
        <f t="shared" si="5"/>
        <v>0.96416261431036454</v>
      </c>
      <c r="P9" s="8">
        <f t="shared" si="5"/>
        <v>1.1443924857231282</v>
      </c>
      <c r="Q9" s="8">
        <f t="shared" si="0"/>
        <v>2.4646226115122247</v>
      </c>
      <c r="R9" s="8">
        <f t="shared" si="0"/>
        <v>7.8150048119522957</v>
      </c>
      <c r="S9" s="8">
        <f t="shared" si="6"/>
        <v>0.46906093013738015</v>
      </c>
      <c r="T9" s="8">
        <f t="shared" si="1"/>
        <v>0.78433824150888487</v>
      </c>
      <c r="U9" s="8">
        <f t="shared" si="1"/>
        <v>7.8348319087073852</v>
      </c>
      <c r="V9" s="8">
        <f t="shared" si="1"/>
        <v>249.78488051795787</v>
      </c>
      <c r="W9" s="8">
        <f t="shared" si="7"/>
        <v>0.12430114648640574</v>
      </c>
      <c r="X9" s="8">
        <f t="shared" si="8"/>
        <v>0.17132816016370972</v>
      </c>
      <c r="Y9" s="8">
        <f t="shared" si="8"/>
        <v>1.5573078270570562</v>
      </c>
      <c r="Z9" s="8">
        <f t="shared" si="8"/>
        <v>43.079031896925386</v>
      </c>
      <c r="AA9" s="8">
        <f t="shared" si="9"/>
        <v>5532.27112667046</v>
      </c>
      <c r="AB9" s="8">
        <f t="shared" si="9"/>
        <v>1336.1883211167722</v>
      </c>
      <c r="AC9" s="8">
        <f t="shared" si="2"/>
        <v>1491.9008983206597</v>
      </c>
      <c r="AD9" s="8">
        <f t="shared" si="2"/>
        <v>4738.6935086617923</v>
      </c>
      <c r="AE9" s="8">
        <f t="shared" si="10"/>
        <v>0.42234127655380432</v>
      </c>
      <c r="AF9" s="8">
        <f t="shared" si="11"/>
        <v>0.10200647588224346</v>
      </c>
      <c r="AG9" s="8">
        <f t="shared" si="12"/>
        <v>0.11389379071660372</v>
      </c>
      <c r="AH9" s="8">
        <f t="shared" si="13"/>
        <v>0.36175845684734842</v>
      </c>
      <c r="AI9" s="8">
        <f>LN((AVERAGE(G29:G31))/G9)/1.125</f>
        <v>1.2170744498059004E-2</v>
      </c>
      <c r="AJ9" s="8">
        <f>LN((AVERAGE(H29:H31))/H9)/1.125</f>
        <v>6.900787282639079E-3</v>
      </c>
      <c r="AK9" s="8">
        <f>LN((AVERAGE(I29:I31))/I9)/1.125</f>
        <v>4.8529086265768663E-3</v>
      </c>
      <c r="AL9" s="8">
        <f>LN((AVERAGE(J29:J31))/J9)/1.125</f>
        <v>-3.2683041121702193E-2</v>
      </c>
      <c r="AM9" s="15">
        <f t="shared" si="14"/>
        <v>-5.426517602347824E-3</v>
      </c>
      <c r="AN9" s="10">
        <v>70</v>
      </c>
      <c r="AO9" s="44">
        <f t="shared" si="15"/>
        <v>1.1875383805596982</v>
      </c>
      <c r="AP9" s="44">
        <f t="shared" si="16"/>
        <v>0.7675070028011205</v>
      </c>
      <c r="AQ9" s="44">
        <f>LN((AVERAGE(AO29:AO31))/AO9)/1.125</f>
        <v>-9.0082711085859735E-3</v>
      </c>
      <c r="AR9" s="44">
        <f>LN((AVERAGE(AP29:AP31))/AP9)/1.125</f>
        <v>0.21587147624931904</v>
      </c>
      <c r="AS9" s="8">
        <f t="shared" si="17"/>
        <v>0.47247035628620265</v>
      </c>
      <c r="AT9" s="8">
        <f t="shared" si="18"/>
        <v>0.5275296437137974</v>
      </c>
      <c r="AU9" s="44">
        <f t="shared" si="19"/>
        <v>0.10962246189357842</v>
      </c>
      <c r="AV9" s="46">
        <f t="shared" si="20"/>
        <v>54147</v>
      </c>
      <c r="AW9" s="46">
        <f t="shared" si="3"/>
        <v>274000</v>
      </c>
      <c r="AX9" s="48">
        <f>LN((AVERAGE(AV29:AV31))/AV9)/1.125</f>
        <v>6.900787282639079E-3</v>
      </c>
      <c r="AY9" s="48">
        <f>LN((AVERAGE(AW29:AW31))/AW9)/1.125</f>
        <v>4.8529086265768663E-3</v>
      </c>
      <c r="AZ9" s="48">
        <f t="shared" si="4"/>
        <v>5.8204705848374904E-3</v>
      </c>
    </row>
    <row r="10" spans="1:52" x14ac:dyDescent="0.2">
      <c r="A10" s="5" t="s">
        <v>456</v>
      </c>
      <c r="B10" s="10">
        <v>100</v>
      </c>
      <c r="C10" s="5">
        <v>9539</v>
      </c>
      <c r="D10" s="5">
        <v>2734</v>
      </c>
      <c r="E10" s="5">
        <v>1066</v>
      </c>
      <c r="F10" s="5">
        <v>43</v>
      </c>
      <c r="G10" s="5">
        <v>24399</v>
      </c>
      <c r="H10" s="5">
        <v>79092</v>
      </c>
      <c r="I10" s="7">
        <v>283800</v>
      </c>
      <c r="J10" s="7">
        <v>296900</v>
      </c>
      <c r="K10" s="5">
        <v>10942</v>
      </c>
      <c r="L10" s="5">
        <v>51949</v>
      </c>
      <c r="M10" s="7">
        <v>222100</v>
      </c>
      <c r="N10" s="7">
        <v>1068000</v>
      </c>
      <c r="O10" s="8">
        <f t="shared" ref="O10:O11" si="21">(224333+K10)/235871</f>
        <v>0.99747319509392851</v>
      </c>
      <c r="P10" s="8">
        <f t="shared" ref="P10:P11" si="22">(224333+L10)/235871</f>
        <v>1.1713266997638541</v>
      </c>
      <c r="Q10" s="8">
        <f t="shared" ref="Q10:Q11" si="23">(224333+M10)/235871</f>
        <v>1.8926998232084487</v>
      </c>
      <c r="R10" s="8">
        <f t="shared" ref="R10:R11" si="24">(224333+N10)/235871</f>
        <v>5.478982155500252</v>
      </c>
      <c r="S10" s="8">
        <f t="shared" ref="S10:S11" si="25">4/3*3.14*((O10/2)^3)</f>
        <v>0.51937626523442681</v>
      </c>
      <c r="T10" s="8">
        <f t="shared" ref="T10:T11" si="26">4/3*3.14*((P10/2)^3)</f>
        <v>0.84103201172060693</v>
      </c>
      <c r="U10" s="8">
        <f t="shared" ref="U10:U11" si="27">4/3*3.14*((Q10/2)^3)</f>
        <v>3.5483268895011859</v>
      </c>
      <c r="V10" s="8">
        <f t="shared" ref="V10:V11" si="28">4/3*3.14*((R10/2)^3)</f>
        <v>86.075203003887879</v>
      </c>
      <c r="W10" s="8">
        <f t="shared" ref="W10:W11" si="29">(S10*265)/1000</f>
        <v>0.13763471028712312</v>
      </c>
      <c r="X10" s="8">
        <f t="shared" ref="X10:X11" si="30">(10^(-0.665+LOG(T10, 10)*0.959))</f>
        <v>0.18318723723669111</v>
      </c>
      <c r="Y10" s="8">
        <f t="shared" ref="Y10:Y11" si="31">(10^(-0.665+LOG(U10, 10)*0.959))</f>
        <v>0.72857229717704608</v>
      </c>
      <c r="Z10" s="8">
        <f t="shared" ref="Z10:Z11" si="32">(10^(-0.665+LOG(V10, 10)*0.959))</f>
        <v>15.507723726679906</v>
      </c>
      <c r="AA10" s="8">
        <f t="shared" ref="AA10:AA11" si="33">W10*C10</f>
        <v>1312.8975014288674</v>
      </c>
      <c r="AB10" s="8">
        <f t="shared" ref="AB10:AB11" si="34">X10*D10</f>
        <v>500.8339066051135</v>
      </c>
      <c r="AC10" s="8">
        <f t="shared" ref="AC10:AC11" si="35">Y10*E10</f>
        <v>776.65806879073114</v>
      </c>
      <c r="AD10" s="8">
        <f t="shared" ref="AD10:AD11" si="36">Z10*F10</f>
        <v>666.83212024723593</v>
      </c>
      <c r="AE10" s="8">
        <f t="shared" ref="AE10:AE11" si="37">AA10/(AA10+AB10+AC10+AD10)</f>
        <v>0.40307282212824747</v>
      </c>
      <c r="AF10" s="8">
        <f t="shared" ref="AF10:AF11" si="38">AB10/(AA10+AB10+AC10+AD10)</f>
        <v>0.15376107878424175</v>
      </c>
      <c r="AG10" s="8">
        <f t="shared" ref="AG10:AG11" si="39">AC10/(AA10+AB10+AC10+AD10)</f>
        <v>0.23844188847602552</v>
      </c>
      <c r="AH10" s="8">
        <f t="shared" ref="AH10:AH11" si="40">AD10/(AA10+AB10+AC10+AD10)</f>
        <v>0.20472421061148527</v>
      </c>
      <c r="AI10" s="8"/>
      <c r="AN10" s="10">
        <v>100</v>
      </c>
      <c r="AO10" s="44">
        <f t="shared" si="15"/>
        <v>1.5224932144988355</v>
      </c>
      <c r="AP10" s="44">
        <f t="shared" si="16"/>
        <v>1.2778027915353445</v>
      </c>
      <c r="AQ10" s="54"/>
      <c r="AR10" s="54"/>
      <c r="AU10" s="54"/>
      <c r="AV10" s="46">
        <f t="shared" si="20"/>
        <v>79092</v>
      </c>
      <c r="AW10" s="46">
        <f t="shared" si="3"/>
        <v>283800</v>
      </c>
    </row>
    <row r="11" spans="1:52" x14ac:dyDescent="0.2">
      <c r="A11" s="5" t="s">
        <v>457</v>
      </c>
      <c r="B11" s="10">
        <v>120</v>
      </c>
      <c r="C11" s="5">
        <v>1600</v>
      </c>
      <c r="D11" s="5">
        <v>642</v>
      </c>
      <c r="E11" s="5">
        <v>753</v>
      </c>
      <c r="F11" s="5">
        <v>34</v>
      </c>
      <c r="G11" s="5">
        <v>30145</v>
      </c>
      <c r="H11" s="7">
        <v>112500</v>
      </c>
      <c r="I11" s="7">
        <v>288100</v>
      </c>
      <c r="J11" s="7">
        <v>299200</v>
      </c>
      <c r="K11" s="5">
        <v>61896</v>
      </c>
      <c r="L11" s="5">
        <v>77492</v>
      </c>
      <c r="M11" s="7">
        <v>234400</v>
      </c>
      <c r="N11" s="7">
        <v>1052000</v>
      </c>
      <c r="O11" s="8">
        <f t="shared" si="21"/>
        <v>1.2134980561408566</v>
      </c>
      <c r="P11" s="8">
        <f t="shared" si="22"/>
        <v>1.2796189442534267</v>
      </c>
      <c r="Q11" s="8">
        <f t="shared" si="23"/>
        <v>1.9448469714377774</v>
      </c>
      <c r="R11" s="8">
        <f t="shared" si="24"/>
        <v>5.4111484667466536</v>
      </c>
      <c r="S11" s="8">
        <f t="shared" si="25"/>
        <v>0.93518095249026933</v>
      </c>
      <c r="T11" s="8">
        <f t="shared" si="26"/>
        <v>1.096529653314386</v>
      </c>
      <c r="U11" s="8">
        <f t="shared" si="27"/>
        <v>3.8497692785147768</v>
      </c>
      <c r="V11" s="8">
        <f t="shared" si="28"/>
        <v>82.917604627264154</v>
      </c>
      <c r="W11" s="8">
        <f t="shared" si="29"/>
        <v>0.24782295240992139</v>
      </c>
      <c r="X11" s="8">
        <f t="shared" si="30"/>
        <v>0.23625420393297519</v>
      </c>
      <c r="Y11" s="8">
        <f t="shared" si="31"/>
        <v>0.7878288485644408</v>
      </c>
      <c r="Z11" s="8">
        <f t="shared" si="32"/>
        <v>14.961744387302856</v>
      </c>
      <c r="AA11" s="8">
        <f t="shared" si="33"/>
        <v>396.5167238558742</v>
      </c>
      <c r="AB11" s="8">
        <f t="shared" si="34"/>
        <v>151.67519892497006</v>
      </c>
      <c r="AC11" s="8">
        <f t="shared" si="35"/>
        <v>593.23512296902391</v>
      </c>
      <c r="AD11" s="8">
        <f t="shared" si="36"/>
        <v>508.69930916829708</v>
      </c>
      <c r="AE11" s="8">
        <f t="shared" si="37"/>
        <v>0.24029476450337564</v>
      </c>
      <c r="AF11" s="8">
        <f t="shared" si="38"/>
        <v>9.1917324072126633E-2</v>
      </c>
      <c r="AG11" s="8">
        <f t="shared" si="39"/>
        <v>0.35950890742451308</v>
      </c>
      <c r="AH11" s="8">
        <f t="shared" si="40"/>
        <v>0.30827900399998459</v>
      </c>
      <c r="AI11" s="8"/>
      <c r="AN11" s="10">
        <v>120</v>
      </c>
      <c r="AO11" s="44">
        <f t="shared" si="15"/>
        <v>1.4517627626077532</v>
      </c>
      <c r="AP11" s="44">
        <f t="shared" si="16"/>
        <v>1.2290955631399318</v>
      </c>
      <c r="AQ11" s="54"/>
      <c r="AR11" s="54"/>
      <c r="AU11" s="54"/>
      <c r="AV11" s="46">
        <f t="shared" si="20"/>
        <v>112500</v>
      </c>
      <c r="AW11" s="46">
        <f t="shared" si="3"/>
        <v>288100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s="4" customFormat="1" x14ac:dyDescent="0.2">
      <c r="A13" s="4" t="s">
        <v>40</v>
      </c>
      <c r="B13" s="4"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4" t="s">
        <v>115</v>
      </c>
      <c r="AV13" s="5"/>
      <c r="AW13" s="5"/>
      <c r="AX13" s="5"/>
      <c r="AY13" s="5"/>
      <c r="AZ13" s="5"/>
    </row>
    <row r="14" spans="1:52" x14ac:dyDescent="0.2">
      <c r="A14" s="5" t="s">
        <v>458</v>
      </c>
      <c r="B14" s="10">
        <v>5</v>
      </c>
      <c r="C14" s="5">
        <v>9756</v>
      </c>
      <c r="D14" s="5">
        <v>967</v>
      </c>
      <c r="E14" s="5">
        <v>546</v>
      </c>
      <c r="F14" s="5">
        <v>103</v>
      </c>
      <c r="G14" s="5">
        <v>5216</v>
      </c>
      <c r="H14" s="5">
        <v>19588</v>
      </c>
      <c r="I14" s="7">
        <v>221200</v>
      </c>
      <c r="J14" s="7">
        <v>292800</v>
      </c>
      <c r="K14" s="5">
        <v>12259</v>
      </c>
      <c r="L14" s="5">
        <v>60241</v>
      </c>
      <c r="M14" s="7">
        <v>720900</v>
      </c>
      <c r="N14" s="7">
        <v>2791000</v>
      </c>
      <c r="O14" s="8">
        <f t="shared" ref="O14:R29" si="41">(224333+K14)/235871</f>
        <v>1.0030567555994589</v>
      </c>
      <c r="P14" s="8">
        <f t="shared" si="41"/>
        <v>1.2064815089604064</v>
      </c>
      <c r="Q14" s="8">
        <f t="shared" si="41"/>
        <v>4.007415070101878</v>
      </c>
      <c r="R14" s="8">
        <f t="shared" si="41"/>
        <v>12.783822513153376</v>
      </c>
      <c r="S14" s="8">
        <f t="shared" ref="S14:V29" si="42">4/3*3.14*((O14/2)^3)</f>
        <v>0.52814712426673582</v>
      </c>
      <c r="T14" s="8">
        <f t="shared" si="42"/>
        <v>0.91905268471666535</v>
      </c>
      <c r="U14" s="8">
        <f t="shared" si="42"/>
        <v>33.679945402559781</v>
      </c>
      <c r="V14" s="8">
        <f t="shared" si="42"/>
        <v>1093.3534882682679</v>
      </c>
      <c r="W14" s="8">
        <f t="shared" ref="W14:W31" si="43">(S14*265)/1000</f>
        <v>0.13995898793068501</v>
      </c>
      <c r="X14" s="8">
        <f t="shared" ref="X14:Z29" si="44">(10^(-0.665+LOG(T14, 10)*0.959))</f>
        <v>0.19945432190058066</v>
      </c>
      <c r="Y14" s="8">
        <f t="shared" si="44"/>
        <v>6.3059300986555655</v>
      </c>
      <c r="Z14" s="8">
        <f t="shared" si="44"/>
        <v>177.48898690175196</v>
      </c>
      <c r="AA14" s="8">
        <f t="shared" ref="AA14:AA19" si="45">W14*C14</f>
        <v>1365.439886251763</v>
      </c>
      <c r="AB14" s="8">
        <f t="shared" ref="AB14:AB19" si="46">X14*D14</f>
        <v>192.8723292778615</v>
      </c>
      <c r="AC14" s="8">
        <f t="shared" ref="AC14:AC19" si="47">Y14*E14</f>
        <v>3443.0378338659389</v>
      </c>
      <c r="AD14" s="8">
        <f t="shared" ref="AD14:AD19" si="48">Z14*F14</f>
        <v>18281.365650880452</v>
      </c>
      <c r="AE14" s="8">
        <f t="shared" ref="AE14:AE19" si="49">AA14/(AA14+AB14+AC14+AD14)</f>
        <v>5.8646074789100992E-2</v>
      </c>
      <c r="AF14" s="8">
        <f t="shared" ref="AF14:AF19" si="50">AB14/(AA14+AB14+AC14+AD14)</f>
        <v>8.2839275177669681E-3</v>
      </c>
      <c r="AG14" s="8">
        <f t="shared" ref="AG14:AG19" si="51">AC14/(AA14+AB14+AC14+AD14)</f>
        <v>0.14787956345767353</v>
      </c>
      <c r="AH14" s="8">
        <f t="shared" ref="AH14:AH19" si="52">AD14/(AA14+AB14+AC14+AD14)</f>
        <v>0.78519043423545853</v>
      </c>
      <c r="AI14" s="8"/>
      <c r="AJ14" s="8"/>
      <c r="AK14" s="8"/>
      <c r="AL14" s="8"/>
      <c r="AM14" s="8"/>
      <c r="AN14" s="10">
        <v>5</v>
      </c>
      <c r="AO14" s="8">
        <f t="shared" ref="AO14:AO31" si="53">H14/L14</f>
        <v>0.32516060490363707</v>
      </c>
      <c r="AP14" s="8">
        <f t="shared" ref="AP14:AP31" si="54">I14/M14</f>
        <v>0.3068386738798724</v>
      </c>
      <c r="AV14" s="5">
        <f t="shared" ref="AV14:AW29" si="55">H14</f>
        <v>19588</v>
      </c>
      <c r="AW14" s="5">
        <f t="shared" si="55"/>
        <v>221200</v>
      </c>
    </row>
    <row r="15" spans="1:52" x14ac:dyDescent="0.2">
      <c r="A15" s="5" t="s">
        <v>459</v>
      </c>
      <c r="B15" s="10">
        <v>5</v>
      </c>
      <c r="C15" s="5">
        <v>29545</v>
      </c>
      <c r="D15" s="5">
        <v>3189</v>
      </c>
      <c r="E15" s="5">
        <v>1739</v>
      </c>
      <c r="F15" s="5">
        <v>287</v>
      </c>
      <c r="G15" s="5">
        <v>4794</v>
      </c>
      <c r="H15" s="5">
        <v>19752</v>
      </c>
      <c r="I15" s="7">
        <v>218700</v>
      </c>
      <c r="J15" s="7">
        <v>291800</v>
      </c>
      <c r="K15" s="5">
        <v>15254</v>
      </c>
      <c r="L15" s="5">
        <v>58270</v>
      </c>
      <c r="M15" s="7">
        <v>706000</v>
      </c>
      <c r="N15" s="7">
        <v>2565000</v>
      </c>
      <c r="O15" s="8">
        <f t="shared" si="41"/>
        <v>1.0157543742130233</v>
      </c>
      <c r="P15" s="8">
        <f t="shared" si="41"/>
        <v>1.1981252464270724</v>
      </c>
      <c r="Q15" s="8">
        <f t="shared" si="41"/>
        <v>3.9442449474500894</v>
      </c>
      <c r="R15" s="8">
        <f t="shared" si="41"/>
        <v>11.825671659508799</v>
      </c>
      <c r="S15" s="8">
        <f t="shared" si="42"/>
        <v>0.54845942168872708</v>
      </c>
      <c r="T15" s="8">
        <f t="shared" si="42"/>
        <v>0.90008817537058539</v>
      </c>
      <c r="U15" s="8">
        <f t="shared" si="42"/>
        <v>32.112197878865956</v>
      </c>
      <c r="V15" s="8">
        <f t="shared" si="42"/>
        <v>865.47763078902858</v>
      </c>
      <c r="W15" s="8">
        <f t="shared" si="43"/>
        <v>0.14534174674751268</v>
      </c>
      <c r="X15" s="8">
        <f t="shared" si="44"/>
        <v>0.195505675320997</v>
      </c>
      <c r="Y15" s="8">
        <f t="shared" si="44"/>
        <v>6.0241608593446845</v>
      </c>
      <c r="Z15" s="8">
        <f t="shared" si="44"/>
        <v>141.84967914744402</v>
      </c>
      <c r="AA15" s="8">
        <f t="shared" si="45"/>
        <v>4294.1219076552625</v>
      </c>
      <c r="AB15" s="8">
        <f t="shared" si="46"/>
        <v>623.46759859865938</v>
      </c>
      <c r="AC15" s="8">
        <f t="shared" si="47"/>
        <v>10476.015734400406</v>
      </c>
      <c r="AD15" s="8">
        <f t="shared" si="48"/>
        <v>40710.857915316432</v>
      </c>
      <c r="AE15" s="8">
        <f t="shared" si="49"/>
        <v>7.6537973382216962E-2</v>
      </c>
      <c r="AF15" s="8">
        <f t="shared" si="50"/>
        <v>1.1112620342973705E-2</v>
      </c>
      <c r="AG15" s="8">
        <f t="shared" si="51"/>
        <v>0.18672339320451237</v>
      </c>
      <c r="AH15" s="8">
        <f t="shared" si="52"/>
        <v>0.72562601307029695</v>
      </c>
      <c r="AI15" s="8"/>
      <c r="AJ15" s="8"/>
      <c r="AK15" s="8"/>
      <c r="AL15" s="8"/>
      <c r="AM15" s="8"/>
      <c r="AN15" s="10">
        <v>5</v>
      </c>
      <c r="AO15" s="8">
        <f t="shared" si="53"/>
        <v>0.33897374292088556</v>
      </c>
      <c r="AP15" s="8">
        <f t="shared" si="54"/>
        <v>0.30977337110481584</v>
      </c>
      <c r="AV15" s="5">
        <f t="shared" si="55"/>
        <v>19752</v>
      </c>
      <c r="AW15" s="5">
        <f t="shared" si="55"/>
        <v>218700</v>
      </c>
    </row>
    <row r="16" spans="1:52" x14ac:dyDescent="0.2">
      <c r="A16" s="5" t="s">
        <v>460</v>
      </c>
      <c r="B16" s="10">
        <v>5</v>
      </c>
      <c r="C16" s="5">
        <v>32169</v>
      </c>
      <c r="D16" s="5">
        <v>2748</v>
      </c>
      <c r="E16" s="5">
        <v>1704</v>
      </c>
      <c r="F16" s="5">
        <v>295</v>
      </c>
      <c r="G16" s="5">
        <v>4408</v>
      </c>
      <c r="H16" s="5">
        <v>22168</v>
      </c>
      <c r="I16" s="7">
        <v>215700</v>
      </c>
      <c r="J16" s="7">
        <v>291900</v>
      </c>
      <c r="K16" s="5">
        <v>4768</v>
      </c>
      <c r="L16" s="5">
        <v>63475</v>
      </c>
      <c r="M16" s="7">
        <v>672200</v>
      </c>
      <c r="N16" s="7">
        <v>2796000</v>
      </c>
      <c r="O16" s="8">
        <f t="shared" si="41"/>
        <v>0.97129787044613369</v>
      </c>
      <c r="P16" s="8">
        <f t="shared" si="41"/>
        <v>1.2201923932997274</v>
      </c>
      <c r="Q16" s="8">
        <f t="shared" si="41"/>
        <v>3.8009462799581129</v>
      </c>
      <c r="R16" s="8">
        <f t="shared" si="41"/>
        <v>12.805020540888876</v>
      </c>
      <c r="S16" s="8">
        <f t="shared" si="42"/>
        <v>0.47955200084865274</v>
      </c>
      <c r="T16" s="8">
        <f t="shared" si="42"/>
        <v>0.95074343992335608</v>
      </c>
      <c r="U16" s="8">
        <f t="shared" si="42"/>
        <v>28.737804933013891</v>
      </c>
      <c r="V16" s="8">
        <f t="shared" si="42"/>
        <v>1098.8014809774654</v>
      </c>
      <c r="W16" s="8">
        <f t="shared" si="43"/>
        <v>0.12708128022489298</v>
      </c>
      <c r="X16" s="8">
        <f t="shared" si="44"/>
        <v>0.20604531335909851</v>
      </c>
      <c r="Y16" s="8">
        <f t="shared" si="44"/>
        <v>5.4157298838425545</v>
      </c>
      <c r="Z16" s="8">
        <f t="shared" si="44"/>
        <v>178.33703728047789</v>
      </c>
      <c r="AA16" s="8">
        <f t="shared" si="45"/>
        <v>4088.0777035545825</v>
      </c>
      <c r="AB16" s="8">
        <f t="shared" si="46"/>
        <v>566.21252111080275</v>
      </c>
      <c r="AC16" s="8">
        <f t="shared" si="47"/>
        <v>9228.4037220677128</v>
      </c>
      <c r="AD16" s="8">
        <f t="shared" si="48"/>
        <v>52609.425997740975</v>
      </c>
      <c r="AE16" s="8">
        <f t="shared" si="49"/>
        <v>6.1482138138601011E-2</v>
      </c>
      <c r="AF16" s="8">
        <f t="shared" si="50"/>
        <v>8.5154830615061274E-3</v>
      </c>
      <c r="AG16" s="8">
        <f t="shared" si="51"/>
        <v>0.13878943444387282</v>
      </c>
      <c r="AH16" s="8">
        <f t="shared" si="52"/>
        <v>0.79121294435601996</v>
      </c>
      <c r="AI16" s="8"/>
      <c r="AJ16" s="8"/>
      <c r="AK16" s="8"/>
      <c r="AL16" s="8"/>
      <c r="AM16" s="8"/>
      <c r="AN16" s="10">
        <v>5</v>
      </c>
      <c r="AO16" s="8">
        <f t="shared" si="53"/>
        <v>0.34923985821189446</v>
      </c>
      <c r="AP16" s="8">
        <f t="shared" si="54"/>
        <v>0.32088664088069024</v>
      </c>
      <c r="AV16" s="5">
        <f t="shared" si="55"/>
        <v>22168</v>
      </c>
      <c r="AW16" s="5">
        <f t="shared" si="55"/>
        <v>215700</v>
      </c>
    </row>
    <row r="17" spans="1:49" x14ac:dyDescent="0.2">
      <c r="A17" s="5" t="s">
        <v>461</v>
      </c>
      <c r="B17" s="10">
        <v>12</v>
      </c>
      <c r="C17" s="5">
        <v>8231</v>
      </c>
      <c r="D17" s="5">
        <v>949</v>
      </c>
      <c r="E17" s="5">
        <v>593</v>
      </c>
      <c r="F17" s="5">
        <v>73</v>
      </c>
      <c r="G17" s="5">
        <v>5982</v>
      </c>
      <c r="H17" s="5">
        <v>20463</v>
      </c>
      <c r="I17" s="7">
        <v>217100</v>
      </c>
      <c r="J17" s="7">
        <v>294200</v>
      </c>
      <c r="K17" s="5">
        <v>4180</v>
      </c>
      <c r="L17" s="5">
        <v>54724</v>
      </c>
      <c r="M17" s="7">
        <v>692100</v>
      </c>
      <c r="N17" s="7">
        <v>2098000</v>
      </c>
      <c r="O17" s="8">
        <f t="shared" si="41"/>
        <v>0.96880498238443891</v>
      </c>
      <c r="P17" s="8">
        <f t="shared" si="41"/>
        <v>1.1830916051570561</v>
      </c>
      <c r="Q17" s="8">
        <f t="shared" si="41"/>
        <v>3.8853144303454008</v>
      </c>
      <c r="R17" s="8">
        <f t="shared" si="41"/>
        <v>9.8457758690131474</v>
      </c>
      <c r="S17" s="8">
        <f t="shared" si="42"/>
        <v>0.47586908168668379</v>
      </c>
      <c r="T17" s="8">
        <f t="shared" si="42"/>
        <v>0.86662959509250137</v>
      </c>
      <c r="U17" s="8">
        <f t="shared" si="42"/>
        <v>30.694241867478627</v>
      </c>
      <c r="V17" s="8">
        <f t="shared" si="42"/>
        <v>499.49165085591721</v>
      </c>
      <c r="W17" s="8">
        <f t="shared" si="43"/>
        <v>0.1261053066469712</v>
      </c>
      <c r="X17" s="8">
        <f t="shared" si="44"/>
        <v>0.18853081363524571</v>
      </c>
      <c r="Y17" s="8">
        <f t="shared" si="44"/>
        <v>5.7688278294333992</v>
      </c>
      <c r="Z17" s="8">
        <f t="shared" si="44"/>
        <v>83.731442989095584</v>
      </c>
      <c r="AA17" s="8">
        <f t="shared" si="45"/>
        <v>1037.9727790112199</v>
      </c>
      <c r="AB17" s="8">
        <f t="shared" si="46"/>
        <v>178.91574213984819</v>
      </c>
      <c r="AC17" s="8">
        <f t="shared" si="47"/>
        <v>3420.914902854006</v>
      </c>
      <c r="AD17" s="8">
        <f t="shared" si="48"/>
        <v>6112.3953382039772</v>
      </c>
      <c r="AE17" s="8">
        <f t="shared" si="49"/>
        <v>9.6553822117231958E-2</v>
      </c>
      <c r="AF17" s="8">
        <f t="shared" si="50"/>
        <v>1.6643017129023104E-2</v>
      </c>
      <c r="AG17" s="8">
        <f t="shared" si="51"/>
        <v>0.31821875841773223</v>
      </c>
      <c r="AH17" s="8">
        <f t="shared" si="52"/>
        <v>0.56858440233601271</v>
      </c>
      <c r="AI17" s="8"/>
      <c r="AJ17" s="8"/>
      <c r="AK17" s="8"/>
      <c r="AL17" s="8"/>
      <c r="AM17" s="8"/>
      <c r="AN17" s="10">
        <v>12</v>
      </c>
      <c r="AO17" s="8">
        <f t="shared" si="53"/>
        <v>0.37393099919596523</v>
      </c>
      <c r="AP17" s="8">
        <f t="shared" si="54"/>
        <v>0.31368299378702502</v>
      </c>
      <c r="AV17" s="5">
        <f t="shared" si="55"/>
        <v>20463</v>
      </c>
      <c r="AW17" s="5">
        <f t="shared" si="55"/>
        <v>217100</v>
      </c>
    </row>
    <row r="18" spans="1:49" x14ac:dyDescent="0.2">
      <c r="A18" s="5" t="s">
        <v>462</v>
      </c>
      <c r="B18" s="10">
        <v>12</v>
      </c>
      <c r="C18" s="5">
        <v>26920</v>
      </c>
      <c r="D18" s="5">
        <v>3108</v>
      </c>
      <c r="E18" s="5">
        <v>1983</v>
      </c>
      <c r="F18" s="5">
        <v>239</v>
      </c>
      <c r="G18" s="5">
        <v>6527</v>
      </c>
      <c r="H18" s="5">
        <v>21081</v>
      </c>
      <c r="I18" s="7">
        <v>217400</v>
      </c>
      <c r="J18" s="7">
        <v>289500</v>
      </c>
      <c r="K18" s="5">
        <v>5539</v>
      </c>
      <c r="L18" s="5">
        <v>53650</v>
      </c>
      <c r="M18" s="7">
        <v>648400</v>
      </c>
      <c r="N18" s="7">
        <v>2557000</v>
      </c>
      <c r="O18" s="8">
        <f t="shared" si="41"/>
        <v>0.97456660632294767</v>
      </c>
      <c r="P18" s="8">
        <f t="shared" si="41"/>
        <v>1.178538268799471</v>
      </c>
      <c r="Q18" s="8">
        <f t="shared" si="41"/>
        <v>3.7000436679371353</v>
      </c>
      <c r="R18" s="8">
        <f t="shared" si="41"/>
        <v>11.791754815132</v>
      </c>
      <c r="S18" s="8">
        <f t="shared" si="42"/>
        <v>0.48440986179142309</v>
      </c>
      <c r="T18" s="8">
        <f t="shared" si="42"/>
        <v>0.85666192626957105</v>
      </c>
      <c r="U18" s="8">
        <f t="shared" si="42"/>
        <v>26.509341912483723</v>
      </c>
      <c r="V18" s="8">
        <f t="shared" si="42"/>
        <v>858.05221901500568</v>
      </c>
      <c r="W18" s="8">
        <f t="shared" si="43"/>
        <v>0.12836861337472713</v>
      </c>
      <c r="X18" s="8">
        <f t="shared" si="44"/>
        <v>0.18645081125659865</v>
      </c>
      <c r="Y18" s="8">
        <f t="shared" si="44"/>
        <v>5.0123292338752492</v>
      </c>
      <c r="Z18" s="8">
        <f t="shared" si="44"/>
        <v>140.68236361192638</v>
      </c>
      <c r="AA18" s="8">
        <f t="shared" si="45"/>
        <v>3455.6830720476542</v>
      </c>
      <c r="AB18" s="8">
        <f t="shared" si="46"/>
        <v>579.48912138550861</v>
      </c>
      <c r="AC18" s="8">
        <f t="shared" si="47"/>
        <v>9939.4488707746186</v>
      </c>
      <c r="AD18" s="8">
        <f t="shared" si="48"/>
        <v>33623.084903250405</v>
      </c>
      <c r="AE18" s="8">
        <f t="shared" si="49"/>
        <v>7.2601882838854701E-2</v>
      </c>
      <c r="AF18" s="8">
        <f t="shared" si="50"/>
        <v>1.2174727953941655E-2</v>
      </c>
      <c r="AG18" s="8">
        <f t="shared" si="51"/>
        <v>0.20882201502673398</v>
      </c>
      <c r="AH18" s="8">
        <f t="shared" si="52"/>
        <v>0.70640137418046978</v>
      </c>
      <c r="AI18" s="8"/>
      <c r="AJ18" s="8"/>
      <c r="AK18" s="8"/>
      <c r="AL18" s="8"/>
      <c r="AM18" s="8"/>
      <c r="AN18" s="10">
        <v>12</v>
      </c>
      <c r="AO18" s="8">
        <f t="shared" si="53"/>
        <v>0.39293569431500464</v>
      </c>
      <c r="AP18" s="8">
        <f t="shared" si="54"/>
        <v>0.33528685996298579</v>
      </c>
      <c r="AV18" s="5">
        <f t="shared" si="55"/>
        <v>21081</v>
      </c>
      <c r="AW18" s="5">
        <f t="shared" si="55"/>
        <v>217400</v>
      </c>
    </row>
    <row r="19" spans="1:49" x14ac:dyDescent="0.2">
      <c r="A19" s="5" t="s">
        <v>463</v>
      </c>
      <c r="B19" s="10">
        <v>12</v>
      </c>
      <c r="C19" s="5">
        <v>29956</v>
      </c>
      <c r="D19" s="5">
        <v>2998</v>
      </c>
      <c r="E19" s="5">
        <v>1797</v>
      </c>
      <c r="F19" s="5">
        <v>191</v>
      </c>
      <c r="G19" s="5">
        <v>5546</v>
      </c>
      <c r="H19" s="5">
        <v>23327</v>
      </c>
      <c r="I19" s="7">
        <v>214000</v>
      </c>
      <c r="J19" s="7">
        <v>290800</v>
      </c>
      <c r="K19" s="5">
        <v>2519</v>
      </c>
      <c r="L19" s="5">
        <v>61776</v>
      </c>
      <c r="M19" s="7">
        <v>605100</v>
      </c>
      <c r="N19" s="7">
        <v>2495000</v>
      </c>
      <c r="O19" s="8">
        <f t="shared" si="41"/>
        <v>0.96176299757070605</v>
      </c>
      <c r="P19" s="8">
        <f t="shared" si="41"/>
        <v>1.2129893034752046</v>
      </c>
      <c r="Q19" s="8">
        <f t="shared" si="41"/>
        <v>3.5164687477477097</v>
      </c>
      <c r="R19" s="8">
        <f t="shared" si="41"/>
        <v>11.528899271211806</v>
      </c>
      <c r="S19" s="8">
        <f t="shared" si="42"/>
        <v>0.46556742982813087</v>
      </c>
      <c r="T19" s="8">
        <f t="shared" si="42"/>
        <v>0.93400523648129008</v>
      </c>
      <c r="U19" s="8">
        <f t="shared" si="42"/>
        <v>22.756144547260114</v>
      </c>
      <c r="V19" s="8">
        <f t="shared" si="42"/>
        <v>801.940102850269</v>
      </c>
      <c r="W19" s="8">
        <f t="shared" si="43"/>
        <v>0.12337536890445468</v>
      </c>
      <c r="X19" s="8">
        <f t="shared" si="44"/>
        <v>0.20256527099007471</v>
      </c>
      <c r="Y19" s="8">
        <f t="shared" si="44"/>
        <v>4.3296983260192015</v>
      </c>
      <c r="Z19" s="8">
        <f t="shared" si="44"/>
        <v>131.84756475000285</v>
      </c>
      <c r="AA19" s="8">
        <f t="shared" si="45"/>
        <v>3695.8325509018441</v>
      </c>
      <c r="AB19" s="8">
        <f t="shared" si="46"/>
        <v>607.29068242824394</v>
      </c>
      <c r="AC19" s="8">
        <f t="shared" si="47"/>
        <v>7780.467891856505</v>
      </c>
      <c r="AD19" s="8">
        <f t="shared" si="48"/>
        <v>25182.884867250545</v>
      </c>
      <c r="AE19" s="8">
        <f t="shared" si="49"/>
        <v>9.9173116117871635E-2</v>
      </c>
      <c r="AF19" s="8">
        <f t="shared" si="50"/>
        <v>1.6295897754096404E-2</v>
      </c>
      <c r="AG19" s="8">
        <f t="shared" si="51"/>
        <v>0.20877927640476318</v>
      </c>
      <c r="AH19" s="8">
        <f t="shared" si="52"/>
        <v>0.6757517097232687</v>
      </c>
      <c r="AI19" s="8"/>
      <c r="AJ19" s="8"/>
      <c r="AK19" s="8"/>
      <c r="AL19" s="8"/>
      <c r="AM19" s="8"/>
      <c r="AN19" s="10">
        <v>12</v>
      </c>
      <c r="AO19" s="8">
        <f t="shared" si="53"/>
        <v>0.37760619010619012</v>
      </c>
      <c r="AP19" s="8">
        <f t="shared" si="54"/>
        <v>0.35366055197488017</v>
      </c>
      <c r="AV19" s="5">
        <f t="shared" si="55"/>
        <v>23327</v>
      </c>
      <c r="AW19" s="5">
        <f t="shared" si="55"/>
        <v>214000</v>
      </c>
    </row>
    <row r="20" spans="1:49" x14ac:dyDescent="0.2">
      <c r="A20" s="5" t="s">
        <v>464</v>
      </c>
      <c r="B20" s="10">
        <v>30</v>
      </c>
      <c r="C20" s="5">
        <v>27104</v>
      </c>
      <c r="D20" s="5">
        <v>1853</v>
      </c>
      <c r="E20" s="5">
        <v>458</v>
      </c>
      <c r="F20" s="5">
        <v>54</v>
      </c>
      <c r="G20" s="5">
        <v>6667</v>
      </c>
      <c r="H20" s="5">
        <v>20254</v>
      </c>
      <c r="I20" s="7">
        <v>210000</v>
      </c>
      <c r="J20" s="7">
        <v>290700</v>
      </c>
      <c r="K20" s="5">
        <v>2953</v>
      </c>
      <c r="L20" s="5">
        <v>45423</v>
      </c>
      <c r="M20" s="7">
        <v>541000</v>
      </c>
      <c r="N20" s="7">
        <v>2000000</v>
      </c>
      <c r="O20" s="8">
        <f t="shared" si="41"/>
        <v>0.96360298637814734</v>
      </c>
      <c r="P20" s="8">
        <f t="shared" si="41"/>
        <v>1.14365903396348</v>
      </c>
      <c r="Q20" s="8">
        <f t="shared" si="41"/>
        <v>3.244710032178606</v>
      </c>
      <c r="R20" s="8">
        <f t="shared" si="41"/>
        <v>9.4302945253973576</v>
      </c>
      <c r="S20" s="8">
        <f t="shared" si="42"/>
        <v>0.46824463443697245</v>
      </c>
      <c r="T20" s="8">
        <f t="shared" si="42"/>
        <v>0.78283113887393574</v>
      </c>
      <c r="U20" s="8">
        <f t="shared" si="42"/>
        <v>17.877470595367587</v>
      </c>
      <c r="V20" s="8">
        <f t="shared" si="42"/>
        <v>438.88846625478493</v>
      </c>
      <c r="W20" s="8">
        <f t="shared" si="43"/>
        <v>0.1240848281257977</v>
      </c>
      <c r="X20" s="8">
        <f t="shared" si="44"/>
        <v>0.17101243883959419</v>
      </c>
      <c r="Y20" s="8">
        <f t="shared" si="44"/>
        <v>3.435275115285529</v>
      </c>
      <c r="Z20" s="8">
        <f t="shared" si="44"/>
        <v>73.963532873515121</v>
      </c>
      <c r="AA20" s="8">
        <f t="shared" ref="AA20:AA31" si="56">W20*C20</f>
        <v>3363.1951815216207</v>
      </c>
      <c r="AB20" s="8">
        <f t="shared" ref="AB20:AB31" si="57">X20*D20</f>
        <v>316.88604916976806</v>
      </c>
      <c r="AC20" s="8">
        <f t="shared" ref="AC20:AC31" si="58">Y20*E20</f>
        <v>1573.3560028007723</v>
      </c>
      <c r="AD20" s="8">
        <f t="shared" ref="AD20:AD31" si="59">Z20*F20</f>
        <v>3994.0307751698165</v>
      </c>
      <c r="AE20" s="8">
        <f t="shared" ref="AE20:AE31" si="60">AA20/(AA20+AB20+AC20+AD20)</f>
        <v>0.36368822021026315</v>
      </c>
      <c r="AF20" s="8">
        <f t="shared" ref="AF20:AF31" si="61">AB20/(AA20+AB20+AC20+AD20)</f>
        <v>3.4267331216820129E-2</v>
      </c>
      <c r="AG20" s="8">
        <f t="shared" ref="AG20:AG31" si="62">AC20/(AA20+AB20+AC20+AD20)</f>
        <v>0.17013911281737132</v>
      </c>
      <c r="AH20" s="8">
        <f t="shared" ref="AH20:AH31" si="63">AD20/(AA20+AB20+AC20+AD20)</f>
        <v>0.43190533575554546</v>
      </c>
      <c r="AN20" s="10">
        <v>30</v>
      </c>
      <c r="AO20" s="8">
        <f t="shared" si="53"/>
        <v>0.44589745283226562</v>
      </c>
      <c r="AP20" s="8">
        <f t="shared" si="54"/>
        <v>0.38817005545286504</v>
      </c>
      <c r="AV20" s="5">
        <f t="shared" si="55"/>
        <v>20254</v>
      </c>
      <c r="AW20" s="5">
        <f t="shared" si="55"/>
        <v>210000</v>
      </c>
    </row>
    <row r="21" spans="1:49" x14ac:dyDescent="0.2">
      <c r="A21" s="5" t="s">
        <v>465</v>
      </c>
      <c r="B21" s="10">
        <v>30</v>
      </c>
      <c r="C21" s="5">
        <v>94423</v>
      </c>
      <c r="D21" s="5">
        <v>6488</v>
      </c>
      <c r="E21" s="5">
        <v>1461</v>
      </c>
      <c r="F21" s="5">
        <v>119</v>
      </c>
      <c r="G21" s="5">
        <v>7253</v>
      </c>
      <c r="H21" s="5">
        <v>21361</v>
      </c>
      <c r="I21" s="7">
        <v>215900</v>
      </c>
      <c r="J21" s="7">
        <v>282700</v>
      </c>
      <c r="K21" s="5">
        <v>2259</v>
      </c>
      <c r="L21" s="5">
        <v>44366</v>
      </c>
      <c r="M21" s="7">
        <v>553300</v>
      </c>
      <c r="N21" s="7">
        <v>2119000</v>
      </c>
      <c r="O21" s="8">
        <f t="shared" si="41"/>
        <v>0.96066070012846005</v>
      </c>
      <c r="P21" s="8">
        <f t="shared" si="41"/>
        <v>1.1391777709001953</v>
      </c>
      <c r="Q21" s="8">
        <f t="shared" si="41"/>
        <v>3.296857180407935</v>
      </c>
      <c r="R21" s="8">
        <f t="shared" si="41"/>
        <v>9.9348075855022451</v>
      </c>
      <c r="S21" s="8">
        <f t="shared" si="42"/>
        <v>0.46396847302517313</v>
      </c>
      <c r="T21" s="8">
        <f t="shared" si="42"/>
        <v>0.77366491648969216</v>
      </c>
      <c r="U21" s="8">
        <f t="shared" si="42"/>
        <v>18.753347428711905</v>
      </c>
      <c r="V21" s="8">
        <f t="shared" si="42"/>
        <v>513.16470505590996</v>
      </c>
      <c r="W21" s="8">
        <f t="shared" si="43"/>
        <v>0.12295164535167087</v>
      </c>
      <c r="X21" s="8">
        <f t="shared" si="44"/>
        <v>0.16909167812405435</v>
      </c>
      <c r="Y21" s="8">
        <f t="shared" si="44"/>
        <v>3.596520737264306</v>
      </c>
      <c r="Z21" s="8">
        <f t="shared" si="44"/>
        <v>85.928306066658351</v>
      </c>
      <c r="AA21" s="8">
        <f t="shared" si="56"/>
        <v>11609.463209040819</v>
      </c>
      <c r="AB21" s="8">
        <f t="shared" si="57"/>
        <v>1097.0668076688646</v>
      </c>
      <c r="AC21" s="8">
        <f t="shared" si="58"/>
        <v>5254.5167971431511</v>
      </c>
      <c r="AD21" s="8">
        <f t="shared" si="59"/>
        <v>10225.468421932344</v>
      </c>
      <c r="AE21" s="8">
        <f t="shared" si="60"/>
        <v>0.41188004660830213</v>
      </c>
      <c r="AF21" s="8">
        <f t="shared" si="61"/>
        <v>3.8921689981599596E-2</v>
      </c>
      <c r="AG21" s="8">
        <f t="shared" si="62"/>
        <v>0.18641952554929864</v>
      </c>
      <c r="AH21" s="8">
        <f t="shared" si="63"/>
        <v>0.36277873786079951</v>
      </c>
      <c r="AN21" s="10">
        <v>30</v>
      </c>
      <c r="AO21" s="8">
        <f t="shared" si="53"/>
        <v>0.48147229860704144</v>
      </c>
      <c r="AP21" s="8">
        <f t="shared" si="54"/>
        <v>0.39020422917043196</v>
      </c>
      <c r="AV21" s="5">
        <f t="shared" si="55"/>
        <v>21361</v>
      </c>
      <c r="AW21" s="5">
        <f t="shared" si="55"/>
        <v>215900</v>
      </c>
    </row>
    <row r="22" spans="1:49" x14ac:dyDescent="0.2">
      <c r="A22" s="5" t="s">
        <v>466</v>
      </c>
      <c r="B22" s="10">
        <v>30</v>
      </c>
      <c r="C22" s="7">
        <v>102300</v>
      </c>
      <c r="D22" s="5">
        <v>5665</v>
      </c>
      <c r="E22" s="5">
        <v>1440</v>
      </c>
      <c r="F22" s="5">
        <v>108</v>
      </c>
      <c r="G22" s="5">
        <v>6000</v>
      </c>
      <c r="H22" s="5">
        <v>20507</v>
      </c>
      <c r="I22" s="7">
        <v>208800</v>
      </c>
      <c r="J22" s="7">
        <v>285800</v>
      </c>
      <c r="K22" s="5">
        <v>2147</v>
      </c>
      <c r="L22" s="5">
        <v>44030</v>
      </c>
      <c r="M22" s="7">
        <v>469900</v>
      </c>
      <c r="N22" s="7">
        <v>2446000</v>
      </c>
      <c r="O22" s="8">
        <f t="shared" si="41"/>
        <v>0.96018586430718489</v>
      </c>
      <c r="P22" s="8">
        <f t="shared" si="41"/>
        <v>1.1377532634363698</v>
      </c>
      <c r="Q22" s="8">
        <f t="shared" si="41"/>
        <v>2.9432740777798032</v>
      </c>
      <c r="R22" s="8">
        <f t="shared" si="41"/>
        <v>11.321158599403912</v>
      </c>
      <c r="S22" s="8">
        <f t="shared" si="42"/>
        <v>0.46328082136683663</v>
      </c>
      <c r="T22" s="8">
        <f t="shared" si="42"/>
        <v>0.77076621028651815</v>
      </c>
      <c r="U22" s="8">
        <f t="shared" si="42"/>
        <v>13.343523173184254</v>
      </c>
      <c r="V22" s="8">
        <f t="shared" si="42"/>
        <v>759.36577827293581</v>
      </c>
      <c r="W22" s="8">
        <f t="shared" si="43"/>
        <v>0.12276941766221171</v>
      </c>
      <c r="X22" s="8">
        <f t="shared" si="44"/>
        <v>0.168484067250252</v>
      </c>
      <c r="Y22" s="8">
        <f t="shared" si="44"/>
        <v>2.5949824384511837</v>
      </c>
      <c r="Z22" s="8">
        <f t="shared" si="44"/>
        <v>125.12743135919651</v>
      </c>
      <c r="AA22" s="8">
        <f t="shared" si="56"/>
        <v>12559.311426844257</v>
      </c>
      <c r="AB22" s="8">
        <f t="shared" si="57"/>
        <v>954.46224097267759</v>
      </c>
      <c r="AC22" s="8">
        <f t="shared" si="58"/>
        <v>3736.7747113697046</v>
      </c>
      <c r="AD22" s="8">
        <f t="shared" si="59"/>
        <v>13513.762586793222</v>
      </c>
      <c r="AE22" s="8">
        <f t="shared" si="60"/>
        <v>0.40824289680119075</v>
      </c>
      <c r="AF22" s="8">
        <f t="shared" si="61"/>
        <v>3.10249835280937E-2</v>
      </c>
      <c r="AG22" s="8">
        <f t="shared" si="62"/>
        <v>0.12146459953229401</v>
      </c>
      <c r="AH22" s="8">
        <f t="shared" si="63"/>
        <v>0.43926752013842157</v>
      </c>
      <c r="AN22" s="10">
        <v>30</v>
      </c>
      <c r="AO22" s="8">
        <f t="shared" si="53"/>
        <v>0.465750624574154</v>
      </c>
      <c r="AP22" s="8">
        <f t="shared" si="54"/>
        <v>0.4443498616726963</v>
      </c>
      <c r="AV22" s="5">
        <f t="shared" si="55"/>
        <v>20507</v>
      </c>
      <c r="AW22" s="5">
        <f t="shared" si="55"/>
        <v>208800</v>
      </c>
    </row>
    <row r="23" spans="1:49" x14ac:dyDescent="0.2">
      <c r="A23" s="5" t="s">
        <v>467</v>
      </c>
      <c r="B23" s="10">
        <v>50</v>
      </c>
      <c r="C23" s="5">
        <v>46450</v>
      </c>
      <c r="D23" s="5">
        <v>3212</v>
      </c>
      <c r="E23" s="5">
        <v>410</v>
      </c>
      <c r="F23" s="5">
        <v>76</v>
      </c>
      <c r="G23" s="5">
        <v>9112</v>
      </c>
      <c r="H23" s="5">
        <v>26799</v>
      </c>
      <c r="I23" s="7">
        <v>246100</v>
      </c>
      <c r="J23" s="7">
        <v>285500</v>
      </c>
      <c r="K23" s="5">
        <v>3354</v>
      </c>
      <c r="L23" s="5">
        <v>41989</v>
      </c>
      <c r="M23" s="7">
        <v>459800</v>
      </c>
      <c r="N23" s="7">
        <v>2592000</v>
      </c>
      <c r="O23" s="8">
        <f t="shared" si="41"/>
        <v>0.96530306820253442</v>
      </c>
      <c r="P23" s="8">
        <f t="shared" si="41"/>
        <v>1.1291002285147389</v>
      </c>
      <c r="Q23" s="8">
        <f t="shared" si="41"/>
        <v>2.9004540617540946</v>
      </c>
      <c r="R23" s="8">
        <f t="shared" si="41"/>
        <v>11.940141009280497</v>
      </c>
      <c r="S23" s="8">
        <f t="shared" si="42"/>
        <v>0.47072737734752629</v>
      </c>
      <c r="T23" s="8">
        <f t="shared" si="42"/>
        <v>0.75331373098784349</v>
      </c>
      <c r="U23" s="8">
        <f t="shared" si="42"/>
        <v>12.769572900599661</v>
      </c>
      <c r="V23" s="8">
        <f t="shared" si="42"/>
        <v>890.85447271407361</v>
      </c>
      <c r="W23" s="8">
        <f t="shared" si="43"/>
        <v>0.12474275499709446</v>
      </c>
      <c r="X23" s="8">
        <f t="shared" si="44"/>
        <v>0.16482378095297506</v>
      </c>
      <c r="Y23" s="8">
        <f t="shared" si="44"/>
        <v>2.487843977576444</v>
      </c>
      <c r="Z23" s="8">
        <f t="shared" si="44"/>
        <v>145.83598102505078</v>
      </c>
      <c r="AA23" s="8">
        <f t="shared" si="56"/>
        <v>5794.3009696150375</v>
      </c>
      <c r="AB23" s="8">
        <f t="shared" si="57"/>
        <v>529.4139844209559</v>
      </c>
      <c r="AC23" s="8">
        <f t="shared" si="58"/>
        <v>1020.0160308063421</v>
      </c>
      <c r="AD23" s="8">
        <f t="shared" si="59"/>
        <v>11083.53455790386</v>
      </c>
      <c r="AE23" s="8">
        <f t="shared" si="60"/>
        <v>0.31444171443526719</v>
      </c>
      <c r="AF23" s="8">
        <f t="shared" si="61"/>
        <v>2.872992648816293E-2</v>
      </c>
      <c r="AG23" s="8">
        <f t="shared" si="62"/>
        <v>5.5353629568108471E-2</v>
      </c>
      <c r="AH23" s="8">
        <f t="shared" si="63"/>
        <v>0.60147472950846148</v>
      </c>
      <c r="AN23" s="10">
        <v>50</v>
      </c>
      <c r="AO23" s="8">
        <f t="shared" si="53"/>
        <v>0.63823858629641095</v>
      </c>
      <c r="AP23" s="8">
        <f t="shared" si="54"/>
        <v>0.53523270987385818</v>
      </c>
      <c r="AV23" s="5">
        <f t="shared" si="55"/>
        <v>26799</v>
      </c>
      <c r="AW23" s="5">
        <f t="shared" si="55"/>
        <v>246100</v>
      </c>
    </row>
    <row r="24" spans="1:49" x14ac:dyDescent="0.2">
      <c r="A24" s="5" t="s">
        <v>468</v>
      </c>
      <c r="B24" s="10">
        <v>50</v>
      </c>
      <c r="C24" s="7">
        <v>160900</v>
      </c>
      <c r="D24" s="5">
        <v>10960</v>
      </c>
      <c r="E24" s="5">
        <v>1497</v>
      </c>
      <c r="F24" s="5">
        <v>178</v>
      </c>
      <c r="G24" s="5">
        <v>9934</v>
      </c>
      <c r="H24" s="5">
        <v>28087</v>
      </c>
      <c r="I24" s="7">
        <v>243600</v>
      </c>
      <c r="J24" s="7">
        <v>287400</v>
      </c>
      <c r="K24" s="5">
        <v>1643</v>
      </c>
      <c r="L24" s="5">
        <v>40411</v>
      </c>
      <c r="M24" s="7">
        <v>412500</v>
      </c>
      <c r="N24" s="7">
        <v>1671000</v>
      </c>
      <c r="O24" s="8">
        <f t="shared" si="41"/>
        <v>0.95804910311144653</v>
      </c>
      <c r="P24" s="8">
        <f t="shared" si="41"/>
        <v>1.1224101309614154</v>
      </c>
      <c r="Q24" s="8">
        <f t="shared" si="41"/>
        <v>2.6999207193762693</v>
      </c>
      <c r="R24" s="8">
        <f t="shared" si="41"/>
        <v>8.0354643004014914</v>
      </c>
      <c r="S24" s="8">
        <f t="shared" si="42"/>
        <v>0.46019479639657629</v>
      </c>
      <c r="T24" s="8">
        <f t="shared" si="42"/>
        <v>0.74000240592938804</v>
      </c>
      <c r="U24" s="8">
        <f t="shared" si="42"/>
        <v>10.299862636120839</v>
      </c>
      <c r="V24" s="8">
        <f t="shared" si="42"/>
        <v>271.5259398343224</v>
      </c>
      <c r="W24" s="8">
        <f t="shared" si="43"/>
        <v>0.12195162104509272</v>
      </c>
      <c r="X24" s="8">
        <f t="shared" si="44"/>
        <v>0.16202967964072129</v>
      </c>
      <c r="Y24" s="8">
        <f t="shared" si="44"/>
        <v>2.0244420244216075</v>
      </c>
      <c r="Z24" s="8">
        <f t="shared" si="44"/>
        <v>46.66863099756582</v>
      </c>
      <c r="AA24" s="8">
        <f t="shared" si="56"/>
        <v>19622.015826155417</v>
      </c>
      <c r="AB24" s="8">
        <f t="shared" si="57"/>
        <v>1775.8452888623053</v>
      </c>
      <c r="AC24" s="8">
        <f t="shared" si="58"/>
        <v>3030.5897105591462</v>
      </c>
      <c r="AD24" s="8">
        <f t="shared" si="59"/>
        <v>8307.0163175667167</v>
      </c>
      <c r="AE24" s="8">
        <f t="shared" si="60"/>
        <v>0.59941151107920665</v>
      </c>
      <c r="AF24" s="8">
        <f t="shared" si="61"/>
        <v>5.4248356411014421E-2</v>
      </c>
      <c r="AG24" s="8">
        <f t="shared" si="62"/>
        <v>9.2578172088003965E-2</v>
      </c>
      <c r="AH24" s="8">
        <f t="shared" si="63"/>
        <v>0.25376196042177496</v>
      </c>
      <c r="AN24" s="10">
        <v>50</v>
      </c>
      <c r="AO24" s="8">
        <f t="shared" si="53"/>
        <v>0.69503353047437577</v>
      </c>
      <c r="AP24" s="8">
        <f t="shared" si="54"/>
        <v>0.5905454545454546</v>
      </c>
      <c r="AV24" s="5">
        <f t="shared" si="55"/>
        <v>28087</v>
      </c>
      <c r="AW24" s="5">
        <f t="shared" si="55"/>
        <v>243600</v>
      </c>
    </row>
    <row r="25" spans="1:49" x14ac:dyDescent="0.2">
      <c r="A25" s="5" t="s">
        <v>469</v>
      </c>
      <c r="B25" s="10">
        <v>50</v>
      </c>
      <c r="C25" s="7">
        <v>156600</v>
      </c>
      <c r="D25" s="5">
        <v>10340</v>
      </c>
      <c r="E25" s="5">
        <v>1499</v>
      </c>
      <c r="F25" s="5">
        <v>178</v>
      </c>
      <c r="G25" s="5">
        <v>9560</v>
      </c>
      <c r="H25" s="5">
        <v>26783</v>
      </c>
      <c r="I25" s="7">
        <v>245700</v>
      </c>
      <c r="J25" s="7">
        <v>288700</v>
      </c>
      <c r="K25" s="5">
        <v>965.9</v>
      </c>
      <c r="L25" s="5">
        <v>38564</v>
      </c>
      <c r="M25" s="7">
        <v>373800</v>
      </c>
      <c r="N25" s="7">
        <v>1777000</v>
      </c>
      <c r="O25" s="8">
        <f t="shared" si="41"/>
        <v>0.95517846619550517</v>
      </c>
      <c r="P25" s="8">
        <f t="shared" si="41"/>
        <v>1.1145795795159219</v>
      </c>
      <c r="Q25" s="8">
        <f t="shared" si="41"/>
        <v>2.5358479847035031</v>
      </c>
      <c r="R25" s="8">
        <f t="shared" si="41"/>
        <v>8.4848624883940804</v>
      </c>
      <c r="S25" s="8">
        <f t="shared" si="42"/>
        <v>0.45607048438305009</v>
      </c>
      <c r="T25" s="8">
        <f t="shared" si="42"/>
        <v>0.72462221400099347</v>
      </c>
      <c r="U25" s="8">
        <f t="shared" si="42"/>
        <v>8.5339097230508187</v>
      </c>
      <c r="V25" s="8">
        <f t="shared" si="42"/>
        <v>319.6780536629401</v>
      </c>
      <c r="W25" s="8">
        <f t="shared" si="43"/>
        <v>0.12085867836150826</v>
      </c>
      <c r="X25" s="8">
        <f t="shared" si="44"/>
        <v>0.15879874514506492</v>
      </c>
      <c r="Y25" s="8">
        <f t="shared" si="44"/>
        <v>1.6903279570102911</v>
      </c>
      <c r="Z25" s="8">
        <f t="shared" si="44"/>
        <v>54.578248787295834</v>
      </c>
      <c r="AA25" s="8">
        <f t="shared" si="56"/>
        <v>18926.469031412194</v>
      </c>
      <c r="AB25" s="8">
        <f t="shared" si="57"/>
        <v>1641.9790247999713</v>
      </c>
      <c r="AC25" s="8">
        <f t="shared" si="58"/>
        <v>2533.8016075584264</v>
      </c>
      <c r="AD25" s="8">
        <f t="shared" si="59"/>
        <v>9714.9282841386594</v>
      </c>
      <c r="AE25" s="8">
        <f t="shared" si="60"/>
        <v>0.57672445392636151</v>
      </c>
      <c r="AF25" s="8">
        <f t="shared" si="61"/>
        <v>5.003413235002372E-2</v>
      </c>
      <c r="AG25" s="8">
        <f t="shared" si="62"/>
        <v>7.7209612952714363E-2</v>
      </c>
      <c r="AH25" s="8">
        <f t="shared" si="63"/>
        <v>0.29603180077090047</v>
      </c>
      <c r="AN25" s="10">
        <v>50</v>
      </c>
      <c r="AO25" s="8">
        <f t="shared" si="53"/>
        <v>0.69450783113784875</v>
      </c>
      <c r="AP25" s="8">
        <f t="shared" si="54"/>
        <v>0.65730337078651691</v>
      </c>
      <c r="AV25" s="5">
        <f t="shared" si="55"/>
        <v>26783</v>
      </c>
      <c r="AW25" s="5">
        <f t="shared" si="55"/>
        <v>245700</v>
      </c>
    </row>
    <row r="26" spans="1:49" x14ac:dyDescent="0.2">
      <c r="A26" s="5" t="s">
        <v>470</v>
      </c>
      <c r="B26" s="10">
        <v>60</v>
      </c>
      <c r="C26" s="5">
        <v>27135</v>
      </c>
      <c r="D26" s="5">
        <v>2906</v>
      </c>
      <c r="E26" s="5">
        <v>276</v>
      </c>
      <c r="F26" s="5">
        <v>51</v>
      </c>
      <c r="G26" s="5">
        <v>12572</v>
      </c>
      <c r="H26" s="5">
        <v>38459</v>
      </c>
      <c r="I26" s="7">
        <v>281900</v>
      </c>
      <c r="J26" s="7">
        <v>290600</v>
      </c>
      <c r="K26" s="5">
        <v>9445</v>
      </c>
      <c r="L26" s="5">
        <v>43745</v>
      </c>
      <c r="M26" s="7">
        <v>387700</v>
      </c>
      <c r="N26" s="7">
        <v>1403000</v>
      </c>
      <c r="O26" s="8">
        <f t="shared" si="41"/>
        <v>0.99112650558991988</v>
      </c>
      <c r="P26" s="8">
        <f t="shared" si="41"/>
        <v>1.1365449758554464</v>
      </c>
      <c r="Q26" s="8">
        <f t="shared" si="41"/>
        <v>2.5947785018081917</v>
      </c>
      <c r="R26" s="8">
        <f t="shared" si="41"/>
        <v>6.899250013778718</v>
      </c>
      <c r="S26" s="8">
        <f t="shared" si="42"/>
        <v>0.50952520153993297</v>
      </c>
      <c r="T26" s="8">
        <f t="shared" si="42"/>
        <v>0.76831316907809688</v>
      </c>
      <c r="U26" s="8">
        <f t="shared" si="42"/>
        <v>9.1428010793811012</v>
      </c>
      <c r="V26" s="8">
        <f t="shared" si="42"/>
        <v>171.86365634804531</v>
      </c>
      <c r="W26" s="8">
        <f t="shared" si="43"/>
        <v>0.13502417840808223</v>
      </c>
      <c r="X26" s="8">
        <f t="shared" si="44"/>
        <v>0.16796980104361511</v>
      </c>
      <c r="Y26" s="8">
        <f t="shared" si="44"/>
        <v>1.8058223373686446</v>
      </c>
      <c r="Z26" s="8">
        <f t="shared" si="44"/>
        <v>30.098267736996114</v>
      </c>
      <c r="AA26" s="8">
        <f t="shared" si="56"/>
        <v>3663.8810811033113</v>
      </c>
      <c r="AB26" s="8">
        <f t="shared" si="57"/>
        <v>488.12024183274553</v>
      </c>
      <c r="AC26" s="8">
        <f t="shared" si="58"/>
        <v>498.40696511374591</v>
      </c>
      <c r="AD26" s="8">
        <f t="shared" si="59"/>
        <v>1535.0116545868018</v>
      </c>
      <c r="AE26" s="8">
        <f t="shared" si="60"/>
        <v>0.59234152492183756</v>
      </c>
      <c r="AF26" s="8">
        <f t="shared" si="61"/>
        <v>7.8914648699612594E-2</v>
      </c>
      <c r="AG26" s="8">
        <f t="shared" si="62"/>
        <v>8.0577708504185136E-2</v>
      </c>
      <c r="AH26" s="8">
        <f t="shared" si="63"/>
        <v>0.24816611787436468</v>
      </c>
      <c r="AN26" s="10">
        <v>60</v>
      </c>
      <c r="AO26" s="8">
        <f t="shared" si="53"/>
        <v>0.8791633329523374</v>
      </c>
      <c r="AP26" s="8">
        <f t="shared" si="54"/>
        <v>0.7271085891152953</v>
      </c>
      <c r="AV26" s="5">
        <f t="shared" si="55"/>
        <v>38459</v>
      </c>
      <c r="AW26" s="5">
        <f t="shared" si="55"/>
        <v>281900</v>
      </c>
    </row>
    <row r="27" spans="1:49" x14ac:dyDescent="0.2">
      <c r="A27" s="5" t="s">
        <v>471</v>
      </c>
      <c r="B27" s="10">
        <v>60</v>
      </c>
      <c r="C27" s="5">
        <v>77621</v>
      </c>
      <c r="D27" s="5">
        <v>8798</v>
      </c>
      <c r="E27" s="5">
        <v>851</v>
      </c>
      <c r="F27" s="5">
        <v>153</v>
      </c>
      <c r="G27" s="5">
        <v>14469</v>
      </c>
      <c r="H27" s="5">
        <v>40463</v>
      </c>
      <c r="I27" s="7">
        <v>286900</v>
      </c>
      <c r="J27" s="7">
        <v>288300</v>
      </c>
      <c r="K27" s="5">
        <v>3802</v>
      </c>
      <c r="L27" s="5">
        <v>42993</v>
      </c>
      <c r="M27" s="7">
        <v>356700</v>
      </c>
      <c r="N27" s="7">
        <v>1393000</v>
      </c>
      <c r="O27" s="8">
        <f t="shared" si="41"/>
        <v>0.96720241148763519</v>
      </c>
      <c r="P27" s="8">
        <f t="shared" si="41"/>
        <v>1.1333567924840273</v>
      </c>
      <c r="Q27" s="8">
        <f t="shared" si="41"/>
        <v>2.463350729848095</v>
      </c>
      <c r="R27" s="8">
        <f t="shared" si="41"/>
        <v>6.8568539583077195</v>
      </c>
      <c r="S27" s="8">
        <f t="shared" si="42"/>
        <v>0.47351147673477173</v>
      </c>
      <c r="T27" s="8">
        <f t="shared" si="42"/>
        <v>0.76186557978614378</v>
      </c>
      <c r="U27" s="8">
        <f t="shared" si="42"/>
        <v>7.8227085466109303</v>
      </c>
      <c r="V27" s="8">
        <f t="shared" si="42"/>
        <v>168.71476709138253</v>
      </c>
      <c r="W27" s="8">
        <f t="shared" si="43"/>
        <v>0.12548054133471451</v>
      </c>
      <c r="X27" s="8">
        <f t="shared" si="44"/>
        <v>0.16661777882598236</v>
      </c>
      <c r="Y27" s="8">
        <f t="shared" si="44"/>
        <v>1.5549968254349193</v>
      </c>
      <c r="Z27" s="8">
        <f t="shared" si="44"/>
        <v>29.569216680589367</v>
      </c>
      <c r="AA27" s="8">
        <f t="shared" si="56"/>
        <v>9739.9250989418742</v>
      </c>
      <c r="AB27" s="8">
        <f t="shared" si="57"/>
        <v>1465.9032181109928</v>
      </c>
      <c r="AC27" s="8">
        <f t="shared" si="58"/>
        <v>1323.3022984451163</v>
      </c>
      <c r="AD27" s="8">
        <f t="shared" si="59"/>
        <v>4524.090152130173</v>
      </c>
      <c r="AE27" s="8">
        <f t="shared" si="60"/>
        <v>0.5711487132935622</v>
      </c>
      <c r="AF27" s="8">
        <f t="shared" si="61"/>
        <v>8.5960490284257188E-2</v>
      </c>
      <c r="AG27" s="8">
        <f t="shared" si="62"/>
        <v>7.7598379595080313E-2</v>
      </c>
      <c r="AH27" s="8">
        <f t="shared" si="63"/>
        <v>0.26529241682710036</v>
      </c>
      <c r="AN27" s="10">
        <v>60</v>
      </c>
      <c r="AO27" s="8">
        <f t="shared" si="53"/>
        <v>0.94115321098783522</v>
      </c>
      <c r="AP27" s="8">
        <f t="shared" si="54"/>
        <v>0.80431735351836275</v>
      </c>
      <c r="AV27" s="5">
        <f t="shared" si="55"/>
        <v>40463</v>
      </c>
      <c r="AW27" s="5">
        <f t="shared" si="55"/>
        <v>286900</v>
      </c>
    </row>
    <row r="28" spans="1:49" x14ac:dyDescent="0.2">
      <c r="A28" s="5" t="s">
        <v>472</v>
      </c>
      <c r="B28" s="10">
        <v>60</v>
      </c>
      <c r="C28" s="5">
        <v>77185</v>
      </c>
      <c r="D28" s="5">
        <v>8794</v>
      </c>
      <c r="E28" s="5">
        <v>1069</v>
      </c>
      <c r="F28" s="5">
        <v>224</v>
      </c>
      <c r="G28" s="5">
        <v>14123</v>
      </c>
      <c r="H28" s="5">
        <v>40620</v>
      </c>
      <c r="I28" s="7">
        <v>287300</v>
      </c>
      <c r="J28" s="7">
        <v>290000</v>
      </c>
      <c r="K28" s="5">
        <v>2365</v>
      </c>
      <c r="L28" s="5">
        <v>41774</v>
      </c>
      <c r="M28" s="7">
        <v>384000</v>
      </c>
      <c r="N28" s="7">
        <v>1592000</v>
      </c>
      <c r="O28" s="8">
        <f t="shared" si="41"/>
        <v>0.96111009831645267</v>
      </c>
      <c r="P28" s="8">
        <f t="shared" si="41"/>
        <v>1.1281887133221125</v>
      </c>
      <c r="Q28" s="8">
        <f t="shared" si="41"/>
        <v>2.5790919612839223</v>
      </c>
      <c r="R28" s="8">
        <f t="shared" si="41"/>
        <v>7.700535462180599</v>
      </c>
      <c r="S28" s="8">
        <f t="shared" si="42"/>
        <v>0.46461991264127206</v>
      </c>
      <c r="T28" s="8">
        <f t="shared" si="42"/>
        <v>0.75149076777649526</v>
      </c>
      <c r="U28" s="8">
        <f t="shared" si="42"/>
        <v>8.9779851172786227</v>
      </c>
      <c r="V28" s="8">
        <f t="shared" si="42"/>
        <v>238.9687837906217</v>
      </c>
      <c r="W28" s="8">
        <f t="shared" si="43"/>
        <v>0.12312427684993708</v>
      </c>
      <c r="X28" s="8">
        <f t="shared" si="44"/>
        <v>0.1644412539810704</v>
      </c>
      <c r="Y28" s="8">
        <f t="shared" si="44"/>
        <v>1.7745921130223739</v>
      </c>
      <c r="Z28" s="8">
        <f t="shared" si="44"/>
        <v>41.288507587939328</v>
      </c>
      <c r="AA28" s="8">
        <f t="shared" si="56"/>
        <v>9503.3473086623944</v>
      </c>
      <c r="AB28" s="8">
        <f t="shared" si="57"/>
        <v>1446.0963875095331</v>
      </c>
      <c r="AC28" s="8">
        <f t="shared" si="58"/>
        <v>1897.0389688209177</v>
      </c>
      <c r="AD28" s="8">
        <f t="shared" si="59"/>
        <v>9248.6256996984102</v>
      </c>
      <c r="AE28" s="8">
        <f t="shared" si="60"/>
        <v>0.43011091648905742</v>
      </c>
      <c r="AF28" s="8">
        <f t="shared" si="61"/>
        <v>6.5448712160219358E-2</v>
      </c>
      <c r="AG28" s="8">
        <f t="shared" si="62"/>
        <v>8.5857871231464572E-2</v>
      </c>
      <c r="AH28" s="8">
        <f t="shared" si="63"/>
        <v>0.41858250011925863</v>
      </c>
      <c r="AN28" s="10">
        <v>60</v>
      </c>
      <c r="AO28" s="8">
        <f t="shared" si="53"/>
        <v>0.97237516158376025</v>
      </c>
      <c r="AP28" s="8">
        <f t="shared" si="54"/>
        <v>0.74817708333333333</v>
      </c>
      <c r="AV28" s="5">
        <f t="shared" si="55"/>
        <v>40620</v>
      </c>
      <c r="AW28" s="5">
        <f t="shared" si="55"/>
        <v>287300</v>
      </c>
    </row>
    <row r="29" spans="1:49" x14ac:dyDescent="0.2">
      <c r="A29" s="5" t="s">
        <v>473</v>
      </c>
      <c r="B29" s="10">
        <v>70</v>
      </c>
      <c r="C29" s="5">
        <v>10665</v>
      </c>
      <c r="D29" s="5">
        <v>1670</v>
      </c>
      <c r="E29" s="5">
        <v>167</v>
      </c>
      <c r="F29" s="5">
        <v>47</v>
      </c>
      <c r="G29" s="5">
        <v>16230</v>
      </c>
      <c r="H29" s="5">
        <v>53642</v>
      </c>
      <c r="I29" s="7">
        <v>276600</v>
      </c>
      <c r="J29" s="7">
        <v>280500</v>
      </c>
      <c r="K29" s="5">
        <v>30728</v>
      </c>
      <c r="L29" s="5">
        <v>46059</v>
      </c>
      <c r="M29" s="7">
        <v>287500</v>
      </c>
      <c r="N29" s="7">
        <v>1207000</v>
      </c>
      <c r="O29" s="8">
        <f t="shared" si="41"/>
        <v>1.081358030448847</v>
      </c>
      <c r="P29" s="8">
        <f t="shared" si="41"/>
        <v>1.1463554230914357</v>
      </c>
      <c r="Q29" s="8">
        <f t="shared" si="41"/>
        <v>2.169970025988782</v>
      </c>
      <c r="R29" s="8">
        <f t="shared" si="41"/>
        <v>6.0682873265471384</v>
      </c>
      <c r="S29" s="8">
        <f t="shared" si="42"/>
        <v>0.66173929895880568</v>
      </c>
      <c r="T29" s="8">
        <f t="shared" si="42"/>
        <v>0.78838121419841678</v>
      </c>
      <c r="U29" s="8">
        <f t="shared" si="42"/>
        <v>5.3473622093385824</v>
      </c>
      <c r="V29" s="8">
        <f t="shared" si="42"/>
        <v>116.94369330138457</v>
      </c>
      <c r="W29" s="8">
        <f t="shared" si="43"/>
        <v>0.17536091422408351</v>
      </c>
      <c r="X29" s="8">
        <f t="shared" si="44"/>
        <v>0.17217499548382845</v>
      </c>
      <c r="Y29" s="8">
        <f t="shared" si="44"/>
        <v>1.0796571837885245</v>
      </c>
      <c r="Z29" s="8">
        <f t="shared" si="44"/>
        <v>20.806055686580947</v>
      </c>
      <c r="AA29" s="8">
        <f t="shared" si="56"/>
        <v>1870.2241501998506</v>
      </c>
      <c r="AB29" s="8">
        <f t="shared" si="57"/>
        <v>287.5322424579935</v>
      </c>
      <c r="AC29" s="8">
        <f t="shared" si="58"/>
        <v>180.30274969268359</v>
      </c>
      <c r="AD29" s="8">
        <f t="shared" si="59"/>
        <v>977.8846172693045</v>
      </c>
      <c r="AE29" s="8">
        <f t="shared" si="60"/>
        <v>0.56400961107201308</v>
      </c>
      <c r="AF29" s="8">
        <f t="shared" si="61"/>
        <v>8.6712038352230264E-2</v>
      </c>
      <c r="AG29" s="8">
        <f t="shared" si="62"/>
        <v>5.4374489666662806E-2</v>
      </c>
      <c r="AH29" s="8">
        <f t="shared" si="63"/>
        <v>0.29490386090909376</v>
      </c>
      <c r="AN29" s="10">
        <v>70</v>
      </c>
      <c r="AO29" s="8">
        <f t="shared" si="53"/>
        <v>1.1646366616730714</v>
      </c>
      <c r="AP29" s="8">
        <f t="shared" si="54"/>
        <v>0.96208695652173915</v>
      </c>
      <c r="AV29" s="5">
        <f t="shared" si="55"/>
        <v>53642</v>
      </c>
      <c r="AW29" s="5">
        <f t="shared" si="55"/>
        <v>276600</v>
      </c>
    </row>
    <row r="30" spans="1:49" x14ac:dyDescent="0.2">
      <c r="A30" s="5" t="s">
        <v>474</v>
      </c>
      <c r="B30" s="10">
        <v>70</v>
      </c>
      <c r="C30" s="5">
        <v>39966</v>
      </c>
      <c r="D30" s="5">
        <v>6582</v>
      </c>
      <c r="E30" s="5">
        <v>723</v>
      </c>
      <c r="F30" s="5">
        <v>74</v>
      </c>
      <c r="G30" s="5">
        <v>17574</v>
      </c>
      <c r="H30" s="5">
        <v>54779</v>
      </c>
      <c r="I30" s="7">
        <v>275800</v>
      </c>
      <c r="J30" s="7">
        <v>282200</v>
      </c>
      <c r="K30" s="5">
        <v>3087</v>
      </c>
      <c r="L30" s="5">
        <v>46807</v>
      </c>
      <c r="M30" s="7">
        <v>290600</v>
      </c>
      <c r="N30" s="7">
        <v>1220000</v>
      </c>
      <c r="O30" s="8">
        <f t="shared" ref="O30:O31" si="64">(224333+K30)/235871</f>
        <v>0.9641710935214588</v>
      </c>
      <c r="P30" s="8">
        <f t="shared" ref="P30:P31" si="65">(224333+L30)/235871</f>
        <v>1.1495266480406663</v>
      </c>
      <c r="Q30" s="8">
        <f t="shared" ref="Q30:Q31" si="66">(224333+M30)/235871</f>
        <v>2.1831128031847915</v>
      </c>
      <c r="R30" s="8">
        <f t="shared" ref="R30:R31" si="67">(224333+N30)/235871</f>
        <v>6.1234021986594369</v>
      </c>
      <c r="S30" s="8">
        <f t="shared" ref="S30:S31" si="68">4/3*3.14*((O30/2)^3)</f>
        <v>0.46907330554447857</v>
      </c>
      <c r="T30" s="8">
        <f t="shared" ref="T30:T31" si="69">4/3*3.14*((P30/2)^3)</f>
        <v>0.79494215531494561</v>
      </c>
      <c r="U30" s="8">
        <f t="shared" ref="U30:U31" si="70">4/3*3.14*((Q30/2)^3)</f>
        <v>5.4451133846763984</v>
      </c>
      <c r="V30" s="8">
        <f t="shared" ref="V30:V31" si="71">4/3*3.14*((R30/2)^3)</f>
        <v>120.15912443328146</v>
      </c>
      <c r="W30" s="8">
        <f t="shared" si="43"/>
        <v>0.12430442596928683</v>
      </c>
      <c r="X30" s="8">
        <f t="shared" ref="X30:X31" si="72">(10^(-0.665+LOG(T30, 10)*0.959))</f>
        <v>0.17354886243192871</v>
      </c>
      <c r="Y30" s="8">
        <f t="shared" ref="Y30:Y31" si="73">(10^(-0.665+LOG(U30, 10)*0.959))</f>
        <v>1.098577357275383</v>
      </c>
      <c r="Z30" s="8">
        <f t="shared" ref="Z30:Z31" si="74">(10^(-0.665+LOG(V30, 10)*0.959))</f>
        <v>21.354368269229237</v>
      </c>
      <c r="AA30" s="8">
        <f t="shared" si="56"/>
        <v>4967.9506882885171</v>
      </c>
      <c r="AB30" s="8">
        <f t="shared" si="57"/>
        <v>1142.2986125269547</v>
      </c>
      <c r="AC30" s="8">
        <f t="shared" si="58"/>
        <v>794.27142931010189</v>
      </c>
      <c r="AD30" s="8">
        <f t="shared" si="59"/>
        <v>1580.2232519229635</v>
      </c>
      <c r="AE30" s="8">
        <f t="shared" si="60"/>
        <v>0.58551568542308186</v>
      </c>
      <c r="AF30" s="8">
        <f t="shared" si="61"/>
        <v>0.13462970891564377</v>
      </c>
      <c r="AG30" s="8">
        <f t="shared" si="62"/>
        <v>9.3611714270998542E-2</v>
      </c>
      <c r="AH30" s="8">
        <f t="shared" si="63"/>
        <v>0.18624289139027603</v>
      </c>
      <c r="AN30" s="10">
        <v>70</v>
      </c>
      <c r="AO30" s="8">
        <f t="shared" si="53"/>
        <v>1.1703164056658193</v>
      </c>
      <c r="AP30" s="8">
        <f t="shared" si="54"/>
        <v>0.94907088781830695</v>
      </c>
      <c r="AV30" s="5">
        <f t="shared" ref="AV30:AW31" si="75">H30</f>
        <v>54779</v>
      </c>
      <c r="AW30" s="5">
        <f t="shared" si="75"/>
        <v>275800</v>
      </c>
    </row>
    <row r="31" spans="1:49" x14ac:dyDescent="0.2">
      <c r="A31" s="5" t="s">
        <v>475</v>
      </c>
      <c r="B31" s="10">
        <v>70</v>
      </c>
      <c r="C31" s="5">
        <v>38289</v>
      </c>
      <c r="D31" s="5">
        <v>6052</v>
      </c>
      <c r="E31" s="5">
        <v>753</v>
      </c>
      <c r="F31" s="5">
        <v>65</v>
      </c>
      <c r="G31" s="5">
        <v>17230</v>
      </c>
      <c r="H31" s="5">
        <v>55286</v>
      </c>
      <c r="I31" s="7">
        <v>274100</v>
      </c>
      <c r="J31" s="7">
        <v>283700</v>
      </c>
      <c r="K31" s="5">
        <v>3715</v>
      </c>
      <c r="L31" s="5">
        <v>46391</v>
      </c>
      <c r="M31" s="7">
        <v>267600</v>
      </c>
      <c r="N31" s="7">
        <v>1497000</v>
      </c>
      <c r="O31" s="8">
        <f t="shared" si="64"/>
        <v>0.96683356580503754</v>
      </c>
      <c r="P31" s="8">
        <f t="shared" si="65"/>
        <v>1.1477629721330727</v>
      </c>
      <c r="Q31" s="8">
        <f t="shared" si="66"/>
        <v>2.085601875601494</v>
      </c>
      <c r="R31" s="8">
        <f t="shared" si="67"/>
        <v>7.2977729352061083</v>
      </c>
      <c r="S31" s="8">
        <f t="shared" si="68"/>
        <v>0.47296995802295649</v>
      </c>
      <c r="T31" s="8">
        <f t="shared" si="69"/>
        <v>0.79128881584118704</v>
      </c>
      <c r="U31" s="8">
        <f t="shared" si="70"/>
        <v>4.7475836318841216</v>
      </c>
      <c r="V31" s="8">
        <f t="shared" si="71"/>
        <v>203.39929212792177</v>
      </c>
      <c r="W31" s="8">
        <f t="shared" si="43"/>
        <v>0.12533703887608347</v>
      </c>
      <c r="X31" s="8">
        <f t="shared" si="72"/>
        <v>0.17278390748185127</v>
      </c>
      <c r="Y31" s="8">
        <f t="shared" si="73"/>
        <v>0.96324607111078198</v>
      </c>
      <c r="Z31" s="8">
        <f t="shared" si="74"/>
        <v>35.375868448056949</v>
      </c>
      <c r="AA31" s="8">
        <f t="shared" si="56"/>
        <v>4799.0298815263595</v>
      </c>
      <c r="AB31" s="8">
        <f t="shared" si="57"/>
        <v>1045.6882080801638</v>
      </c>
      <c r="AC31" s="8">
        <f t="shared" si="58"/>
        <v>725.32429154641886</v>
      </c>
      <c r="AD31" s="8">
        <f t="shared" si="59"/>
        <v>2299.4314491237014</v>
      </c>
      <c r="AE31" s="8">
        <f t="shared" si="60"/>
        <v>0.54107266940057874</v>
      </c>
      <c r="AF31" s="8">
        <f t="shared" si="61"/>
        <v>0.11789743428867508</v>
      </c>
      <c r="AG31" s="8">
        <f t="shared" si="62"/>
        <v>8.1777600951982915E-2</v>
      </c>
      <c r="AH31" s="8">
        <f t="shared" si="63"/>
        <v>0.25925229535876321</v>
      </c>
      <c r="AN31" s="10">
        <v>70</v>
      </c>
      <c r="AO31" s="8">
        <f t="shared" si="53"/>
        <v>1.1917397771119398</v>
      </c>
      <c r="AP31" s="8">
        <f t="shared" si="54"/>
        <v>1.0242899850523168</v>
      </c>
      <c r="AV31" s="5">
        <f t="shared" si="75"/>
        <v>55286</v>
      </c>
      <c r="AW31" s="5">
        <f t="shared" si="75"/>
        <v>274100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450</v>
      </c>
      <c r="B38" s="10">
        <v>5</v>
      </c>
      <c r="C38" s="31">
        <f>1-0.25-0.025</f>
        <v>0.72499999999999998</v>
      </c>
      <c r="D38" s="12">
        <f>H38/$C38</f>
        <v>37380.689655172413</v>
      </c>
      <c r="E38" s="12">
        <f t="shared" ref="E38:G45" si="76">I38/$C38</f>
        <v>4068.9655172413795</v>
      </c>
      <c r="F38" s="12">
        <f t="shared" si="76"/>
        <v>1900.6896551724139</v>
      </c>
      <c r="G38" s="12">
        <f>K38/$C38</f>
        <v>524.13793103448279</v>
      </c>
      <c r="H38" s="5">
        <v>27101</v>
      </c>
      <c r="I38" s="5">
        <v>2950</v>
      </c>
      <c r="J38" s="5">
        <v>1378</v>
      </c>
      <c r="K38" s="5">
        <v>380</v>
      </c>
      <c r="L38" s="26">
        <f t="shared" ref="L38:O45" si="77">W4*D38*1000/1000000</f>
        <v>4.639111165799938</v>
      </c>
      <c r="M38" s="26">
        <f t="shared" si="77"/>
        <v>0.84601513287157171</v>
      </c>
      <c r="N38" s="26">
        <f t="shared" si="77"/>
        <v>13.622141121523862</v>
      </c>
      <c r="O38" s="26">
        <f t="shared" si="77"/>
        <v>189.36026799124451</v>
      </c>
      <c r="P38" s="26">
        <f>SUM(L38:O38)</f>
        <v>208.46753541143988</v>
      </c>
      <c r="Q38" s="26">
        <f>SUM(L38:N38)</f>
        <v>19.10726742019537</v>
      </c>
      <c r="R38" s="26">
        <f>(LN(L48/(L38*0.25)))/$B$1</f>
        <v>0.40082691776928114</v>
      </c>
      <c r="S38" s="26">
        <f>(R38-R39)/(1-0.25)</f>
        <v>0.26112142486435896</v>
      </c>
      <c r="T38" s="26">
        <f>S38+R40</f>
        <v>0.42239862612245188</v>
      </c>
      <c r="V38" s="26">
        <f>(LN(L51/(L39*0.25)))/$B$1</f>
        <v>0.11355617538325712</v>
      </c>
      <c r="W38" s="26">
        <f>(V38-V39)/(1-0.25)</f>
        <v>0.20129769914711551</v>
      </c>
      <c r="X38" s="26">
        <f>W38+V40</f>
        <v>0.19941228078287948</v>
      </c>
      <c r="Z38" s="26">
        <f>(LN(L54/(L40*0.25)))/$B$1</f>
        <v>8.6398991341257447E-2</v>
      </c>
      <c r="AA38" s="26">
        <f>(Z38-Z39)/(1-0.25)</f>
        <v>0.12724140572801465</v>
      </c>
      <c r="AB38" s="26">
        <f>AA38+Z40</f>
        <v>0.18811314492220943</v>
      </c>
    </row>
    <row r="39" spans="1:28" x14ac:dyDescent="0.2">
      <c r="A39" s="5" t="s">
        <v>451</v>
      </c>
      <c r="B39" s="10">
        <v>12</v>
      </c>
      <c r="C39" s="31">
        <f>1-0.23-0.025</f>
        <v>0.745</v>
      </c>
      <c r="D39" s="12">
        <f t="shared" ref="D39:D44" si="78">H39/$C39</f>
        <v>37888.590604026846</v>
      </c>
      <c r="E39" s="12">
        <f t="shared" si="76"/>
        <v>3743.6241610738257</v>
      </c>
      <c r="F39" s="12">
        <f t="shared" si="76"/>
        <v>1817.4496644295302</v>
      </c>
      <c r="G39" s="12">
        <f t="shared" si="76"/>
        <v>327.51677852348996</v>
      </c>
      <c r="H39" s="5">
        <v>28227</v>
      </c>
      <c r="I39" s="5">
        <v>2789</v>
      </c>
      <c r="J39" s="5">
        <v>1354</v>
      </c>
      <c r="K39" s="5">
        <v>244</v>
      </c>
      <c r="L39" s="26">
        <f t="shared" si="77"/>
        <v>4.9713826644669377</v>
      </c>
      <c r="M39" s="26">
        <f t="shared" si="77"/>
        <v>0.73675338275770108</v>
      </c>
      <c r="N39" s="26">
        <f t="shared" si="77"/>
        <v>10.395930188104529</v>
      </c>
      <c r="O39" s="26">
        <f t="shared" si="77"/>
        <v>91.574999179813815</v>
      </c>
      <c r="P39" s="26">
        <f t="shared" ref="P39:P44" si="79">SUM(L39:O39)</f>
        <v>107.67906541514299</v>
      </c>
      <c r="Q39" s="26">
        <f t="shared" ref="Q39:Q44" si="80">SUM(L39:N39)</f>
        <v>16.104066235329167</v>
      </c>
      <c r="R39" s="26">
        <f>(LN(L49/L38))/$B$1</f>
        <v>0.20498584912101192</v>
      </c>
      <c r="V39" s="26">
        <f>(LN(L52/L39))/$B$1</f>
        <v>-3.7417098977079524E-2</v>
      </c>
      <c r="Z39" s="26">
        <f>(LN(L55/L40))/$B$1</f>
        <v>-9.0320629547535388E-3</v>
      </c>
    </row>
    <row r="40" spans="1:28" x14ac:dyDescent="0.2">
      <c r="A40" s="5" t="s">
        <v>452</v>
      </c>
      <c r="B40" s="10">
        <v>30</v>
      </c>
      <c r="C40" s="31">
        <f>1-0.235-0.025</f>
        <v>0.74</v>
      </c>
      <c r="D40" s="12">
        <f t="shared" si="78"/>
        <v>129567.56756756757</v>
      </c>
      <c r="E40" s="12">
        <f t="shared" si="76"/>
        <v>8754.0540540540533</v>
      </c>
      <c r="F40" s="12">
        <f t="shared" si="76"/>
        <v>1898.6486486486488</v>
      </c>
      <c r="G40" s="12">
        <f t="shared" si="76"/>
        <v>214.86486486486487</v>
      </c>
      <c r="H40" s="5">
        <v>95880</v>
      </c>
      <c r="I40" s="5">
        <v>6478</v>
      </c>
      <c r="J40" s="5">
        <v>1405</v>
      </c>
      <c r="K40" s="5">
        <v>159</v>
      </c>
      <c r="L40" s="26">
        <f t="shared" si="77"/>
        <v>15.956502238424401</v>
      </c>
      <c r="M40" s="26">
        <f t="shared" si="77"/>
        <v>1.5462842542021573</v>
      </c>
      <c r="N40" s="26">
        <f t="shared" si="77"/>
        <v>9.1114425437379243</v>
      </c>
      <c r="O40" s="26">
        <f t="shared" si="77"/>
        <v>38.721236389056749</v>
      </c>
      <c r="P40" s="26">
        <f t="shared" si="79"/>
        <v>65.335465425421233</v>
      </c>
      <c r="Q40" s="26">
        <f t="shared" si="80"/>
        <v>26.614229036364485</v>
      </c>
      <c r="R40" s="26">
        <f>LN(L50/L38)/$B$1</f>
        <v>0.16127720125809292</v>
      </c>
      <c r="V40" s="26">
        <f>LN(L53/L39)/$B$1</f>
        <v>-1.8854183642360394E-3</v>
      </c>
      <c r="Z40" s="26">
        <f>LN(L56/L40)/$B$1</f>
        <v>6.0871739194194779E-2</v>
      </c>
    </row>
    <row r="41" spans="1:28" x14ac:dyDescent="0.2">
      <c r="A41" s="5" t="s">
        <v>453</v>
      </c>
      <c r="B41" s="10">
        <v>50</v>
      </c>
      <c r="C41" s="31">
        <f>1-0.24-0.025</f>
        <v>0.73499999999999999</v>
      </c>
      <c r="D41" s="12">
        <f t="shared" si="78"/>
        <v>217687.07482993198</v>
      </c>
      <c r="E41" s="12">
        <f t="shared" si="76"/>
        <v>16572.789115646257</v>
      </c>
      <c r="F41" s="12">
        <f t="shared" si="76"/>
        <v>2393.1972789115648</v>
      </c>
      <c r="G41" s="12">
        <f t="shared" si="76"/>
        <v>427.21088435374151</v>
      </c>
      <c r="H41" s="7">
        <v>160000</v>
      </c>
      <c r="I41" s="5">
        <v>12181</v>
      </c>
      <c r="J41" s="5">
        <v>1759</v>
      </c>
      <c r="K41" s="5">
        <v>314</v>
      </c>
      <c r="L41" s="26">
        <f t="shared" si="77"/>
        <v>26.301035276568854</v>
      </c>
      <c r="M41" s="26">
        <f t="shared" si="77"/>
        <v>2.6302983574987775</v>
      </c>
      <c r="N41" s="26">
        <f t="shared" si="77"/>
        <v>7.967381641322385</v>
      </c>
      <c r="O41" s="26">
        <f t="shared" si="77"/>
        <v>27.982211370651221</v>
      </c>
      <c r="P41" s="26">
        <f t="shared" si="79"/>
        <v>64.880926646041246</v>
      </c>
      <c r="Q41" s="26">
        <f t="shared" si="80"/>
        <v>36.898715275390018</v>
      </c>
      <c r="R41" s="5" t="s">
        <v>535</v>
      </c>
      <c r="V41" s="5" t="s">
        <v>535</v>
      </c>
      <c r="Z41" s="5" t="s">
        <v>535</v>
      </c>
    </row>
    <row r="42" spans="1:28" x14ac:dyDescent="0.2">
      <c r="A42" s="5" t="s">
        <v>454</v>
      </c>
      <c r="B42" s="10">
        <v>60</v>
      </c>
      <c r="C42" s="31">
        <f>1-0.23-0.025</f>
        <v>0.745</v>
      </c>
      <c r="D42" s="12">
        <f t="shared" si="78"/>
        <v>109046.97986577181</v>
      </c>
      <c r="E42" s="12">
        <f t="shared" si="76"/>
        <v>14347.651006711409</v>
      </c>
      <c r="F42" s="12">
        <f t="shared" si="76"/>
        <v>1632.2147651006712</v>
      </c>
      <c r="G42" s="12">
        <f t="shared" si="76"/>
        <v>354.36241610738256</v>
      </c>
      <c r="H42" s="5">
        <v>81240</v>
      </c>
      <c r="I42" s="5">
        <v>10689</v>
      </c>
      <c r="J42" s="5">
        <v>1216</v>
      </c>
      <c r="K42" s="5">
        <v>264</v>
      </c>
      <c r="L42" s="26">
        <f t="shared" si="77"/>
        <v>13.372034770844037</v>
      </c>
      <c r="M42" s="26">
        <f t="shared" si="77"/>
        <v>2.2839785321285522</v>
      </c>
      <c r="N42" s="26">
        <f t="shared" si="77"/>
        <v>5.1418406063934148</v>
      </c>
      <c r="O42" s="26">
        <f t="shared" si="77"/>
        <v>16.866053812777924</v>
      </c>
      <c r="P42" s="26">
        <f t="shared" si="79"/>
        <v>37.663907722143932</v>
      </c>
      <c r="Q42" s="26">
        <f t="shared" si="80"/>
        <v>20.797853909366005</v>
      </c>
      <c r="R42" s="6" t="s">
        <v>539</v>
      </c>
      <c r="S42" s="6" t="s">
        <v>540</v>
      </c>
      <c r="T42" s="6" t="s">
        <v>541</v>
      </c>
      <c r="V42" s="6" t="s">
        <v>539</v>
      </c>
      <c r="W42" s="6" t="s">
        <v>540</v>
      </c>
      <c r="X42" s="6" t="s">
        <v>541</v>
      </c>
      <c r="Z42" s="6" t="s">
        <v>539</v>
      </c>
      <c r="AA42" s="6" t="s">
        <v>540</v>
      </c>
      <c r="AB42" s="6" t="s">
        <v>541</v>
      </c>
    </row>
    <row r="43" spans="1:28" x14ac:dyDescent="0.2">
      <c r="A43" s="5" t="s">
        <v>455</v>
      </c>
      <c r="B43" s="10">
        <v>70</v>
      </c>
      <c r="C43" s="31">
        <f>1-0.19-0.025</f>
        <v>0.78500000000000003</v>
      </c>
      <c r="D43" s="12">
        <f t="shared" si="78"/>
        <v>56696.815286624202</v>
      </c>
      <c r="E43" s="12">
        <f t="shared" si="76"/>
        <v>9935.0318471337578</v>
      </c>
      <c r="F43" s="12">
        <f t="shared" si="76"/>
        <v>1220.3821656050955</v>
      </c>
      <c r="G43" s="12">
        <f t="shared" si="76"/>
        <v>140.12738853503186</v>
      </c>
      <c r="H43" s="5">
        <v>44507</v>
      </c>
      <c r="I43" s="5">
        <v>7799</v>
      </c>
      <c r="J43" s="5">
        <v>958</v>
      </c>
      <c r="K43" s="5">
        <v>110</v>
      </c>
      <c r="L43" s="26">
        <f t="shared" si="77"/>
        <v>7.0474791422553631</v>
      </c>
      <c r="M43" s="26">
        <f t="shared" si="77"/>
        <v>1.7021507275372894</v>
      </c>
      <c r="N43" s="26">
        <f t="shared" si="77"/>
        <v>1.9005106984976559</v>
      </c>
      <c r="O43" s="26">
        <f t="shared" si="77"/>
        <v>6.0365522403334939</v>
      </c>
      <c r="P43" s="26">
        <f t="shared" si="79"/>
        <v>16.686692808623803</v>
      </c>
      <c r="Q43" s="26">
        <f t="shared" si="80"/>
        <v>10.650140568290308</v>
      </c>
      <c r="R43" s="26">
        <f>(LN(M48/(M38*0.25)))/$B$1</f>
        <v>0.17374902244541285</v>
      </c>
      <c r="S43" s="26">
        <f>(R43-R44)/(1-0.25)</f>
        <v>0.22853134302361497</v>
      </c>
      <c r="T43" s="26">
        <f>S43+R45</f>
        <v>0.14525758257112187</v>
      </c>
      <c r="V43" s="26">
        <f>(LN(M51/(M39*0.25)))/$B$1</f>
        <v>0.24785858536890595</v>
      </c>
      <c r="W43" s="26">
        <f>(V43-V44)/(1-0.25)</f>
        <v>0.23391242345552574</v>
      </c>
      <c r="X43" s="26">
        <f>W43+V45</f>
        <v>0.32380167474798505</v>
      </c>
      <c r="Z43" s="26">
        <f>(LN(M54/(M40*0.25)))/$B$1</f>
        <v>6.1427531240075467E-2</v>
      </c>
      <c r="AA43" s="26">
        <f>(Z43-Z44)/(1-0.25)</f>
        <v>0.12377589411722123</v>
      </c>
      <c r="AB43" s="26">
        <f>AA43+Z45</f>
        <v>-3.1403851082890288E-2</v>
      </c>
    </row>
    <row r="44" spans="1:28" x14ac:dyDescent="0.2">
      <c r="A44" s="5" t="s">
        <v>456</v>
      </c>
      <c r="B44" s="10">
        <v>100</v>
      </c>
      <c r="C44" s="31">
        <f>1-0.25-0.025</f>
        <v>0.72499999999999998</v>
      </c>
      <c r="D44" s="12">
        <f t="shared" si="78"/>
        <v>13157.241379310346</v>
      </c>
      <c r="E44" s="12">
        <f t="shared" si="76"/>
        <v>3771.0344827586209</v>
      </c>
      <c r="F44" s="12">
        <f t="shared" si="76"/>
        <v>1470.344827586207</v>
      </c>
      <c r="G44" s="12">
        <f t="shared" si="76"/>
        <v>59.310344827586206</v>
      </c>
      <c r="H44" s="5">
        <v>9539</v>
      </c>
      <c r="I44" s="5">
        <v>2734</v>
      </c>
      <c r="J44" s="5">
        <v>1066</v>
      </c>
      <c r="K44" s="5">
        <v>43</v>
      </c>
      <c r="L44" s="26">
        <f t="shared" si="77"/>
        <v>1.8108931054191277</v>
      </c>
      <c r="M44" s="26">
        <f t="shared" si="77"/>
        <v>0.69080538842084627</v>
      </c>
      <c r="N44" s="26">
        <f t="shared" si="77"/>
        <v>1.0712525086768705</v>
      </c>
      <c r="O44" s="26">
        <f t="shared" si="77"/>
        <v>0.91976844172032535</v>
      </c>
      <c r="P44" s="26">
        <f t="shared" si="79"/>
        <v>4.4927194442371698</v>
      </c>
      <c r="Q44" s="26">
        <f t="shared" si="80"/>
        <v>3.5729510025168443</v>
      </c>
      <c r="R44" s="26">
        <f>(LN(M49/M38))/$B$1</f>
        <v>2.3505151777016204E-3</v>
      </c>
      <c r="V44" s="26">
        <f>(LN(M52/M39))/$B$1</f>
        <v>7.2424267777261658E-2</v>
      </c>
      <c r="Z44" s="26">
        <f>(LN(M55/M40))/$B$1</f>
        <v>-3.1404389347840449E-2</v>
      </c>
    </row>
    <row r="45" spans="1:28" x14ac:dyDescent="0.2">
      <c r="A45" s="5" t="s">
        <v>457</v>
      </c>
      <c r="B45" s="10">
        <v>120</v>
      </c>
      <c r="C45" s="31">
        <f>1-0.23-0.025</f>
        <v>0.745</v>
      </c>
      <c r="D45" s="12">
        <f>H45/$C45</f>
        <v>2147.6510067114095</v>
      </c>
      <c r="E45" s="12">
        <f t="shared" si="76"/>
        <v>861.744966442953</v>
      </c>
      <c r="F45" s="12">
        <f t="shared" si="76"/>
        <v>1010.738255033557</v>
      </c>
      <c r="G45" s="12">
        <f t="shared" si="76"/>
        <v>45.63758389261745</v>
      </c>
      <c r="H45" s="5">
        <v>1600</v>
      </c>
      <c r="I45" s="5">
        <v>642</v>
      </c>
      <c r="J45" s="5">
        <v>753</v>
      </c>
      <c r="K45" s="5">
        <v>34</v>
      </c>
      <c r="L45" s="26">
        <f t="shared" si="77"/>
        <v>0.53223721322936135</v>
      </c>
      <c r="M45" s="26">
        <f t="shared" si="77"/>
        <v>0.2035908710402283</v>
      </c>
      <c r="N45" s="26">
        <f t="shared" si="77"/>
        <v>0.79628875566311941</v>
      </c>
      <c r="O45" s="26">
        <f t="shared" si="77"/>
        <v>0.68281786465543226</v>
      </c>
      <c r="P45" s="26">
        <f>SUM(L45:O45)</f>
        <v>2.2149347045881411</v>
      </c>
      <c r="Q45" s="26">
        <f>SUM(L45:N45)</f>
        <v>1.532116839932709</v>
      </c>
      <c r="R45" s="26">
        <f>LN(M50/M38)/$B$1</f>
        <v>-8.3273760452493087E-2</v>
      </c>
      <c r="V45" s="26">
        <f>LN(M53/M39)/$B$1</f>
        <v>8.9889251292459296E-2</v>
      </c>
      <c r="Z45" s="26">
        <f>LN(M56/M40)/$B$1</f>
        <v>-0.15517974520011152</v>
      </c>
    </row>
    <row r="46" spans="1:28" x14ac:dyDescent="0.2">
      <c r="A46" s="30"/>
      <c r="B46" s="10"/>
      <c r="Q46" s="10"/>
    </row>
    <row r="47" spans="1:28" x14ac:dyDescent="0.2">
      <c r="A47" s="4" t="s">
        <v>40</v>
      </c>
      <c r="B47" s="4"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458</v>
      </c>
      <c r="B48" s="10">
        <v>5</v>
      </c>
      <c r="C48" s="31">
        <f>1-0.225-0.025</f>
        <v>0.75</v>
      </c>
      <c r="D48" s="12">
        <f t="shared" ref="D48:G65" si="81">H48/$C48</f>
        <v>13008</v>
      </c>
      <c r="E48" s="12">
        <f t="shared" si="81"/>
        <v>1289.3333333333333</v>
      </c>
      <c r="F48" s="12">
        <f t="shared" si="81"/>
        <v>728</v>
      </c>
      <c r="G48" s="12">
        <f>K48/$C48</f>
        <v>137.33333333333334</v>
      </c>
      <c r="H48" s="5">
        <v>9756</v>
      </c>
      <c r="I48" s="5">
        <v>967</v>
      </c>
      <c r="J48" s="5">
        <v>546</v>
      </c>
      <c r="K48" s="5">
        <v>103</v>
      </c>
      <c r="L48" s="26">
        <f>W14*D48*1000/1000000</f>
        <v>1.8205865150023506</v>
      </c>
      <c r="M48" s="26">
        <f>X14*E48*1000/1000000</f>
        <v>0.25716310570381529</v>
      </c>
      <c r="N48" s="26">
        <f>Y14*F48*1000/1000000</f>
        <v>4.5907171118212515</v>
      </c>
      <c r="O48" s="26">
        <f>Z14*G48*1000/1000000</f>
        <v>24.375154201173935</v>
      </c>
      <c r="P48" s="26">
        <f>SUM(L48:O48)</f>
        <v>31.043620933701352</v>
      </c>
      <c r="Q48" s="26">
        <f>SUM(L48:N48)</f>
        <v>6.668466732527417</v>
      </c>
      <c r="R48" s="26">
        <f>(LN(N48/(N38*0.25)))/$B$1</f>
        <v>0.26545254569942528</v>
      </c>
      <c r="S48" s="26">
        <f>(R48-R49)/(1-0.25)</f>
        <v>0.30027543483310298</v>
      </c>
      <c r="T48" s="26">
        <f>S48+R50</f>
        <v>0.22780821369221083</v>
      </c>
      <c r="V48" s="26">
        <f>(LN(N51/(N39*0.25)))/$B$1</f>
        <v>0.51793135124494971</v>
      </c>
      <c r="W48" s="26">
        <f>(V48-V49)/(1-0.25)</f>
        <v>0.36265715434613005</v>
      </c>
      <c r="X48" s="26">
        <f>W48+V50</f>
        <v>0.36672216397664348</v>
      </c>
      <c r="Z48" s="26">
        <f>(LN(N54/(N40*0.25)))/$B$1</f>
        <v>-9.0796729206473303E-2</v>
      </c>
      <c r="AA48" s="26">
        <f>(Z48-Z49)/(1-0.25)</f>
        <v>0.16641409997908785</v>
      </c>
      <c r="AB48" s="26">
        <f>AA48+Z50</f>
        <v>-0.35218448092950627</v>
      </c>
    </row>
    <row r="49" spans="1:28" x14ac:dyDescent="0.2">
      <c r="A49" s="5" t="s">
        <v>459</v>
      </c>
      <c r="B49" s="10">
        <v>5</v>
      </c>
      <c r="C49" s="31">
        <f>1-0.24-0.025</f>
        <v>0.73499999999999999</v>
      </c>
      <c r="D49" s="12">
        <f t="shared" si="81"/>
        <v>40197.27891156463</v>
      </c>
      <c r="E49" s="12">
        <f t="shared" si="81"/>
        <v>4338.7755102040819</v>
      </c>
      <c r="F49" s="12">
        <f t="shared" si="81"/>
        <v>2365.9863945578231</v>
      </c>
      <c r="G49" s="12">
        <f t="shared" si="81"/>
        <v>390.47619047619048</v>
      </c>
      <c r="H49" s="5">
        <v>29545</v>
      </c>
      <c r="I49" s="5">
        <v>3189</v>
      </c>
      <c r="J49" s="5">
        <v>1739</v>
      </c>
      <c r="K49" s="5">
        <v>287</v>
      </c>
      <c r="L49" s="26">
        <f t="shared" ref="L49:O64" si="82">W15*D49*1000/1000000</f>
        <v>5.8423427315037584</v>
      </c>
      <c r="M49" s="26">
        <f t="shared" si="82"/>
        <v>0.8482552361886524</v>
      </c>
      <c r="N49" s="26">
        <f t="shared" si="82"/>
        <v>14.253082631837287</v>
      </c>
      <c r="O49" s="26">
        <f t="shared" si="82"/>
        <v>55.388922333763851</v>
      </c>
      <c r="P49" s="26">
        <f t="shared" ref="P49:P65" si="83">SUM(L49:O49)</f>
        <v>76.332602933293543</v>
      </c>
      <c r="Q49" s="26">
        <f t="shared" ref="Q49:Q65" si="84">SUM(L49:N49)</f>
        <v>20.943680599529699</v>
      </c>
      <c r="R49" s="26">
        <f>(LN(N49/N38))/$B$1</f>
        <v>4.0245969574598049E-2</v>
      </c>
      <c r="V49" s="26">
        <f>(LN(N52/N39))/$B$1</f>
        <v>0.24593848548535219</v>
      </c>
      <c r="Z49" s="26">
        <f>(LN(N55/N40))/$B$1</f>
        <v>-0.21560730419078919</v>
      </c>
    </row>
    <row r="50" spans="1:28" x14ac:dyDescent="0.2">
      <c r="A50" s="5" t="s">
        <v>460</v>
      </c>
      <c r="B50" s="10">
        <v>5</v>
      </c>
      <c r="C50" s="31">
        <f>1-0.24-0.025</f>
        <v>0.73499999999999999</v>
      </c>
      <c r="D50" s="12">
        <f t="shared" si="81"/>
        <v>43767.34693877551</v>
      </c>
      <c r="E50" s="12">
        <f t="shared" si="81"/>
        <v>3738.7755102040819</v>
      </c>
      <c r="F50" s="12">
        <f t="shared" si="81"/>
        <v>2318.3673469387754</v>
      </c>
      <c r="G50" s="12">
        <f t="shared" si="81"/>
        <v>401.36054421768711</v>
      </c>
      <c r="H50" s="5">
        <v>32169</v>
      </c>
      <c r="I50" s="5">
        <v>2748</v>
      </c>
      <c r="J50" s="5">
        <v>1704</v>
      </c>
      <c r="K50" s="5">
        <v>295</v>
      </c>
      <c r="L50" s="26">
        <f t="shared" si="82"/>
        <v>5.5620104810266433</v>
      </c>
      <c r="M50" s="26">
        <f t="shared" si="82"/>
        <v>0.77035717157932349</v>
      </c>
      <c r="N50" s="26">
        <f t="shared" si="82"/>
        <v>12.555651322541104</v>
      </c>
      <c r="O50" s="26">
        <f t="shared" si="82"/>
        <v>71.577450337062572</v>
      </c>
      <c r="P50" s="26">
        <f t="shared" si="83"/>
        <v>90.465469312209649</v>
      </c>
      <c r="Q50" s="26">
        <f t="shared" si="84"/>
        <v>18.88801897514707</v>
      </c>
      <c r="R50" s="26">
        <f>LN(N50/N38)/$B$1</f>
        <v>-7.2467221140892144E-2</v>
      </c>
      <c r="V50" s="26">
        <f>LN(N53/N39)/$B$1</f>
        <v>4.0650096305134258E-3</v>
      </c>
      <c r="Z50" s="26">
        <f>LN(N56/N40)/$B$1</f>
        <v>-0.51859858090859412</v>
      </c>
    </row>
    <row r="51" spans="1:28" x14ac:dyDescent="0.2">
      <c r="A51" s="5" t="s">
        <v>461</v>
      </c>
      <c r="B51" s="10">
        <v>12</v>
      </c>
      <c r="C51" s="31">
        <f>1-0.24-0.025</f>
        <v>0.73499999999999999</v>
      </c>
      <c r="D51" s="12">
        <f>H51/$C51</f>
        <v>11198.639455782313</v>
      </c>
      <c r="E51" s="12">
        <f t="shared" si="81"/>
        <v>1291.156462585034</v>
      </c>
      <c r="F51" s="12">
        <f t="shared" si="81"/>
        <v>806.80272108843542</v>
      </c>
      <c r="G51" s="12">
        <f t="shared" si="81"/>
        <v>99.319727891156461</v>
      </c>
      <c r="H51" s="5">
        <v>8231</v>
      </c>
      <c r="I51" s="5">
        <v>949</v>
      </c>
      <c r="J51" s="5">
        <v>593</v>
      </c>
      <c r="K51" s="5">
        <v>73</v>
      </c>
      <c r="L51" s="26">
        <f t="shared" si="82"/>
        <v>1.4122078626002994</v>
      </c>
      <c r="M51" s="26">
        <f t="shared" si="82"/>
        <v>0.24342277842156212</v>
      </c>
      <c r="N51" s="26">
        <f t="shared" si="82"/>
        <v>4.6543059902775594</v>
      </c>
      <c r="O51" s="26">
        <f t="shared" si="82"/>
        <v>8.3161841336108537</v>
      </c>
      <c r="P51" s="26">
        <f t="shared" si="83"/>
        <v>14.626120764910276</v>
      </c>
      <c r="Q51" s="26">
        <f t="shared" si="84"/>
        <v>6.3099366312994212</v>
      </c>
    </row>
    <row r="52" spans="1:28" x14ac:dyDescent="0.2">
      <c r="A52" s="5" t="s">
        <v>462</v>
      </c>
      <c r="B52" s="10">
        <v>12</v>
      </c>
      <c r="C52" s="31">
        <f>1-0.25-0.025</f>
        <v>0.72499999999999998</v>
      </c>
      <c r="D52" s="12">
        <f t="shared" si="81"/>
        <v>37131.034482758623</v>
      </c>
      <c r="E52" s="12">
        <f t="shared" si="81"/>
        <v>4286.8965517241377</v>
      </c>
      <c r="F52" s="12">
        <f t="shared" si="81"/>
        <v>2735.1724137931037</v>
      </c>
      <c r="G52" s="12">
        <f t="shared" si="81"/>
        <v>329.65517241379314</v>
      </c>
      <c r="H52" s="5">
        <v>26920</v>
      </c>
      <c r="I52" s="5">
        <v>3108</v>
      </c>
      <c r="J52" s="5">
        <v>1983</v>
      </c>
      <c r="K52" s="5">
        <v>239</v>
      </c>
      <c r="L52" s="26">
        <f t="shared" si="82"/>
        <v>4.7664594097209037</v>
      </c>
      <c r="M52" s="26">
        <f t="shared" si="82"/>
        <v>0.79929533984208079</v>
      </c>
      <c r="N52" s="26">
        <f t="shared" si="82"/>
        <v>13.709584649344304</v>
      </c>
      <c r="O52" s="26">
        <f t="shared" si="82"/>
        <v>46.376668832069527</v>
      </c>
      <c r="P52" s="26">
        <f t="shared" si="83"/>
        <v>65.652008230976818</v>
      </c>
      <c r="Q52" s="26">
        <f t="shared" si="84"/>
        <v>19.275339398907288</v>
      </c>
      <c r="R52" s="6" t="s">
        <v>545</v>
      </c>
      <c r="S52" s="6" t="s">
        <v>546</v>
      </c>
      <c r="T52" s="6" t="s">
        <v>547</v>
      </c>
      <c r="V52" s="6" t="s">
        <v>545</v>
      </c>
      <c r="W52" s="6" t="s">
        <v>546</v>
      </c>
      <c r="X52" s="6" t="s">
        <v>547</v>
      </c>
      <c r="Z52" s="6" t="s">
        <v>545</v>
      </c>
      <c r="AA52" s="6" t="s">
        <v>546</v>
      </c>
      <c r="AB52" s="6" t="s">
        <v>547</v>
      </c>
    </row>
    <row r="53" spans="1:28" x14ac:dyDescent="0.2">
      <c r="A53" s="5" t="s">
        <v>463</v>
      </c>
      <c r="B53" s="10">
        <v>12</v>
      </c>
      <c r="C53" s="31">
        <f>1-0.23-0.025</f>
        <v>0.745</v>
      </c>
      <c r="D53" s="12">
        <f t="shared" si="81"/>
        <v>40209.395973154365</v>
      </c>
      <c r="E53" s="12">
        <f t="shared" si="81"/>
        <v>4024.1610738255035</v>
      </c>
      <c r="F53" s="12">
        <f t="shared" si="81"/>
        <v>2412.0805369127515</v>
      </c>
      <c r="G53" s="12">
        <f t="shared" si="81"/>
        <v>256.37583892617448</v>
      </c>
      <c r="H53" s="5">
        <v>29956</v>
      </c>
      <c r="I53" s="5">
        <v>2998</v>
      </c>
      <c r="J53" s="5">
        <v>1797</v>
      </c>
      <c r="K53" s="5">
        <v>191</v>
      </c>
      <c r="L53" s="26">
        <f t="shared" si="82"/>
        <v>4.9608490616132146</v>
      </c>
      <c r="M53" s="26">
        <f t="shared" si="82"/>
        <v>0.81515527842717317</v>
      </c>
      <c r="N53" s="26">
        <f t="shared" si="82"/>
        <v>10.443581062894637</v>
      </c>
      <c r="O53" s="26">
        <f t="shared" si="82"/>
        <v>33.802530023155086</v>
      </c>
      <c r="P53" s="26">
        <f t="shared" si="83"/>
        <v>50.02211542609011</v>
      </c>
      <c r="Q53" s="26">
        <f t="shared" si="84"/>
        <v>16.219585402935024</v>
      </c>
      <c r="R53" s="26">
        <f>(LN(O48/(O38*0.25)))/$B$1</f>
        <v>-0.5900379344589437</v>
      </c>
      <c r="S53" s="26">
        <f>(R53-R54)/(1-0.25)</f>
        <v>0.67019743798648934</v>
      </c>
      <c r="T53" s="26">
        <f>S53+R55</f>
        <v>-0.19457704691648581</v>
      </c>
      <c r="V53" s="26">
        <f>(LN(O51/(O39*0.25)))/$B$1</f>
        <v>-0.90014260155472359</v>
      </c>
      <c r="W53" s="26">
        <f>(V53-V54)/(1-0.25)</f>
        <v>-0.3938354167916418</v>
      </c>
      <c r="X53" s="26">
        <f>W53+V55</f>
        <v>-1.2797222143602847</v>
      </c>
      <c r="Z53" s="26">
        <f>(LN(O54/(O40*0.25)))/$B$1</f>
        <v>-0.5488119527504205</v>
      </c>
      <c r="AA53" s="26">
        <f>(Z53-Z54)/(1-0.25)</f>
        <v>0.48143224237644899</v>
      </c>
      <c r="AB53" s="26">
        <f>AA53+Z55</f>
        <v>-0.18060757685379325</v>
      </c>
    </row>
    <row r="54" spans="1:28" x14ac:dyDescent="0.2">
      <c r="A54" s="5" t="s">
        <v>464</v>
      </c>
      <c r="B54" s="10">
        <v>30</v>
      </c>
      <c r="C54" s="31">
        <f>1-0.21-0.025</f>
        <v>0.76500000000000001</v>
      </c>
      <c r="D54" s="12">
        <f t="shared" si="81"/>
        <v>35430.065359477121</v>
      </c>
      <c r="E54" s="12">
        <f t="shared" si="81"/>
        <v>2422.2222222222222</v>
      </c>
      <c r="F54" s="12">
        <f t="shared" si="81"/>
        <v>598.69281045751632</v>
      </c>
      <c r="G54" s="12">
        <f t="shared" si="81"/>
        <v>70.588235294117652</v>
      </c>
      <c r="H54" s="5">
        <v>27104</v>
      </c>
      <c r="I54" s="5">
        <v>1853</v>
      </c>
      <c r="J54" s="5">
        <v>458</v>
      </c>
      <c r="K54" s="5">
        <v>54</v>
      </c>
      <c r="L54" s="26">
        <f t="shared" si="82"/>
        <v>4.3963335706164965</v>
      </c>
      <c r="M54" s="26">
        <f t="shared" si="82"/>
        <v>0.41423012963368372</v>
      </c>
      <c r="N54" s="26">
        <f t="shared" si="82"/>
        <v>2.0566745134650617</v>
      </c>
      <c r="O54" s="26">
        <f t="shared" si="82"/>
        <v>5.2209552616598911</v>
      </c>
      <c r="P54" s="26">
        <f t="shared" si="83"/>
        <v>12.088193475375133</v>
      </c>
      <c r="Q54" s="26">
        <f t="shared" si="84"/>
        <v>6.8672382137152423</v>
      </c>
      <c r="R54" s="26">
        <f>(LN(O49/O38))/$B$1</f>
        <v>-1.0926860129488107</v>
      </c>
      <c r="V54" s="26">
        <f>(LN(O52/O39))/$B$1</f>
        <v>-0.60476603896099224</v>
      </c>
      <c r="Z54" s="26">
        <f>(LN(O55/O40))/$B$1</f>
        <v>-0.90988613453275724</v>
      </c>
    </row>
    <row r="55" spans="1:28" x14ac:dyDescent="0.2">
      <c r="A55" s="5" t="s">
        <v>465</v>
      </c>
      <c r="B55" s="10">
        <v>30</v>
      </c>
      <c r="C55" s="31">
        <f>1-0.24-0.025</f>
        <v>0.73499999999999999</v>
      </c>
      <c r="D55" s="12">
        <f t="shared" si="81"/>
        <v>128466.66666666667</v>
      </c>
      <c r="E55" s="12">
        <f t="shared" si="81"/>
        <v>8827.2108843537408</v>
      </c>
      <c r="F55" s="12">
        <f t="shared" si="81"/>
        <v>1987.7551020408164</v>
      </c>
      <c r="G55" s="12">
        <f t="shared" si="81"/>
        <v>161.9047619047619</v>
      </c>
      <c r="H55" s="5">
        <v>94423</v>
      </c>
      <c r="I55" s="5">
        <v>6488</v>
      </c>
      <c r="J55" s="5">
        <v>1461</v>
      </c>
      <c r="K55" s="5">
        <v>119</v>
      </c>
      <c r="L55" s="26">
        <f t="shared" si="82"/>
        <v>15.79518803951132</v>
      </c>
      <c r="M55" s="26">
        <f t="shared" si="82"/>
        <v>1.4926079015902918</v>
      </c>
      <c r="N55" s="26">
        <f t="shared" si="82"/>
        <v>7.149002445092723</v>
      </c>
      <c r="O55" s="26">
        <f t="shared" si="82"/>
        <v>13.912201934601828</v>
      </c>
      <c r="P55" s="26">
        <f t="shared" si="83"/>
        <v>38.349000320796165</v>
      </c>
      <c r="Q55" s="26">
        <f t="shared" si="84"/>
        <v>24.436798386194337</v>
      </c>
      <c r="R55" s="26">
        <f>LN(O50/O38)/$B$1</f>
        <v>-0.86477448490297515</v>
      </c>
      <c r="V55" s="26">
        <f>LN(O53/O39)/$B$1</f>
        <v>-0.88588679756864275</v>
      </c>
      <c r="Z55" s="26">
        <f>LN(O56/O40)/$B$1</f>
        <v>-0.66203981923024224</v>
      </c>
    </row>
    <row r="56" spans="1:28" x14ac:dyDescent="0.2">
      <c r="A56" s="5" t="s">
        <v>466</v>
      </c>
      <c r="B56" s="10">
        <v>30</v>
      </c>
      <c r="C56" s="31">
        <f>1-0.24-0.025</f>
        <v>0.73499999999999999</v>
      </c>
      <c r="D56" s="12">
        <f t="shared" si="81"/>
        <v>139183.67346938775</v>
      </c>
      <c r="E56" s="12">
        <f t="shared" si="81"/>
        <v>7707.482993197279</v>
      </c>
      <c r="F56" s="12">
        <f t="shared" si="81"/>
        <v>1959.1836734693877</v>
      </c>
      <c r="G56" s="12">
        <f t="shared" si="81"/>
        <v>146.9387755102041</v>
      </c>
      <c r="H56" s="7">
        <v>102300</v>
      </c>
      <c r="I56" s="5">
        <v>5665</v>
      </c>
      <c r="J56" s="5">
        <v>1440</v>
      </c>
      <c r="K56" s="5">
        <v>108</v>
      </c>
      <c r="L56" s="26">
        <f t="shared" si="82"/>
        <v>17.087498539924159</v>
      </c>
      <c r="M56" s="26">
        <f t="shared" si="82"/>
        <v>1.2985880829560239</v>
      </c>
      <c r="N56" s="26">
        <f t="shared" si="82"/>
        <v>5.0840472263533387</v>
      </c>
      <c r="O56" s="26">
        <f t="shared" si="82"/>
        <v>18.386071546657448</v>
      </c>
      <c r="P56" s="26">
        <f t="shared" si="83"/>
        <v>41.856205395890967</v>
      </c>
      <c r="Q56" s="26">
        <f t="shared" si="84"/>
        <v>23.47013384923352</v>
      </c>
    </row>
    <row r="57" spans="1:28" x14ac:dyDescent="0.2">
      <c r="A57" s="5" t="s">
        <v>467</v>
      </c>
      <c r="B57" s="10">
        <v>50</v>
      </c>
      <c r="C57" s="31">
        <f>1-0.31-0.025</f>
        <v>0.66499999999999992</v>
      </c>
      <c r="D57" s="12">
        <f t="shared" si="81"/>
        <v>69849.624060150381</v>
      </c>
      <c r="E57" s="12">
        <f t="shared" si="81"/>
        <v>4830.0751879699255</v>
      </c>
      <c r="F57" s="12">
        <f t="shared" si="81"/>
        <v>616.54135338345873</v>
      </c>
      <c r="G57" s="12">
        <f t="shared" si="81"/>
        <v>114.28571428571429</v>
      </c>
      <c r="H57" s="5">
        <v>46450</v>
      </c>
      <c r="I57" s="5">
        <v>3212</v>
      </c>
      <c r="J57" s="5">
        <v>410</v>
      </c>
      <c r="K57" s="5">
        <v>76</v>
      </c>
      <c r="L57" s="26">
        <f t="shared" si="82"/>
        <v>8.7132345407744936</v>
      </c>
      <c r="M57" s="26">
        <f t="shared" si="82"/>
        <v>0.79611125476835498</v>
      </c>
      <c r="N57" s="26">
        <f t="shared" si="82"/>
        <v>1.5338586929418681</v>
      </c>
      <c r="O57" s="26">
        <f t="shared" si="82"/>
        <v>16.666969260005803</v>
      </c>
      <c r="P57" s="26">
        <f t="shared" si="83"/>
        <v>27.710173748490519</v>
      </c>
      <c r="Q57" s="26">
        <f t="shared" si="84"/>
        <v>11.043204488484717</v>
      </c>
      <c r="R57" s="4"/>
      <c r="S57" s="4"/>
      <c r="T57" s="4"/>
      <c r="V57" s="4"/>
      <c r="W57" s="4"/>
      <c r="X57" s="4"/>
      <c r="Z57" s="4"/>
      <c r="AA57" s="4"/>
      <c r="AB57" s="4"/>
    </row>
    <row r="58" spans="1:28" x14ac:dyDescent="0.2">
      <c r="A58" s="5" t="s">
        <v>468</v>
      </c>
      <c r="B58" s="10">
        <v>50</v>
      </c>
      <c r="C58" s="31">
        <f>1-0.225-0.025</f>
        <v>0.75</v>
      </c>
      <c r="D58" s="12">
        <f t="shared" si="81"/>
        <v>214533.33333333334</v>
      </c>
      <c r="E58" s="12">
        <f t="shared" si="81"/>
        <v>14613.333333333334</v>
      </c>
      <c r="F58" s="12">
        <f t="shared" si="81"/>
        <v>1996</v>
      </c>
      <c r="G58" s="12">
        <f t="shared" si="81"/>
        <v>237.33333333333334</v>
      </c>
      <c r="H58" s="7">
        <v>160900</v>
      </c>
      <c r="I58" s="5">
        <v>10960</v>
      </c>
      <c r="J58" s="5">
        <v>1497</v>
      </c>
      <c r="K58" s="5">
        <v>178</v>
      </c>
      <c r="L58" s="26">
        <f t="shared" si="82"/>
        <v>26.162687768207228</v>
      </c>
      <c r="M58" s="26">
        <f t="shared" si="82"/>
        <v>2.3677937184830742</v>
      </c>
      <c r="N58" s="26">
        <f t="shared" si="82"/>
        <v>4.0407862807455288</v>
      </c>
      <c r="O58" s="26">
        <f t="shared" si="82"/>
        <v>11.076021756755621</v>
      </c>
      <c r="P58" s="26">
        <f t="shared" si="83"/>
        <v>43.64728952419145</v>
      </c>
      <c r="Q58" s="26">
        <f t="shared" si="84"/>
        <v>32.571267767435828</v>
      </c>
      <c r="R58" s="6" t="s">
        <v>548</v>
      </c>
      <c r="S58" s="6" t="s">
        <v>549</v>
      </c>
      <c r="T58" s="6" t="s">
        <v>550</v>
      </c>
      <c r="V58" s="6" t="s">
        <v>548</v>
      </c>
      <c r="W58" s="6" t="s">
        <v>549</v>
      </c>
      <c r="X58" s="6" t="s">
        <v>550</v>
      </c>
      <c r="Z58" s="6" t="s">
        <v>548</v>
      </c>
      <c r="AA58" s="6" t="s">
        <v>549</v>
      </c>
      <c r="AB58" s="6" t="s">
        <v>550</v>
      </c>
    </row>
    <row r="59" spans="1:28" x14ac:dyDescent="0.2">
      <c r="A59" s="5" t="s">
        <v>469</v>
      </c>
      <c r="B59" s="10">
        <v>50</v>
      </c>
      <c r="C59" s="31">
        <f>1-0.29-0.025</f>
        <v>0.68499999999999994</v>
      </c>
      <c r="D59" s="12">
        <f t="shared" si="81"/>
        <v>228613.13868613139</v>
      </c>
      <c r="E59" s="12">
        <f t="shared" si="81"/>
        <v>15094.890510948906</v>
      </c>
      <c r="F59" s="12">
        <f t="shared" si="81"/>
        <v>2188.3211678832117</v>
      </c>
      <c r="G59" s="12">
        <f t="shared" si="81"/>
        <v>259.85401459854018</v>
      </c>
      <c r="H59" s="7">
        <v>156600</v>
      </c>
      <c r="I59" s="5">
        <v>10340</v>
      </c>
      <c r="J59" s="5">
        <v>1499</v>
      </c>
      <c r="K59" s="5">
        <v>178</v>
      </c>
      <c r="L59" s="26">
        <f t="shared" si="82"/>
        <v>27.629881797682035</v>
      </c>
      <c r="M59" s="26">
        <f t="shared" si="82"/>
        <v>2.397049671240834</v>
      </c>
      <c r="N59" s="26">
        <f t="shared" si="82"/>
        <v>3.6989804489904037</v>
      </c>
      <c r="O59" s="26">
        <f t="shared" si="82"/>
        <v>14.18237705713673</v>
      </c>
      <c r="P59" s="26">
        <f t="shared" si="83"/>
        <v>47.908288975049999</v>
      </c>
      <c r="Q59" s="26">
        <f t="shared" si="84"/>
        <v>33.725911917913272</v>
      </c>
      <c r="R59" s="26">
        <f>(LN(Q48/(Q38*0.25)))/$B$1</f>
        <v>0.2965471676012707</v>
      </c>
      <c r="S59" s="26">
        <f>(R59-R60)/(1-0.25)</f>
        <v>0.28663390886039658</v>
      </c>
      <c r="T59" s="26">
        <f>S59+R61</f>
        <v>0.27637528531305866</v>
      </c>
      <c r="V59" s="26">
        <f>(LN(Q51/(Q39*0.25)))/$B$1</f>
        <v>0.39942061665468148</v>
      </c>
      <c r="W59" s="26">
        <f>(V59-V60)/(1-0.25)</f>
        <v>0.3195181837045396</v>
      </c>
      <c r="X59" s="26">
        <f>W59+V61</f>
        <v>0.32587168255165028</v>
      </c>
      <c r="Z59" s="26">
        <f>(LN(Q54/(Q40*0.25)))/$B$1</f>
        <v>2.8098116307366014E-2</v>
      </c>
      <c r="AA59" s="26">
        <f>(Z59-Z60)/(1-0.25)</f>
        <v>0.13862667021805339</v>
      </c>
      <c r="AB59" s="26">
        <f>AA59+Z61</f>
        <v>2.6877971457509434E-2</v>
      </c>
    </row>
    <row r="60" spans="1:28" x14ac:dyDescent="0.2">
      <c r="A60" s="5" t="s">
        <v>470</v>
      </c>
      <c r="B60" s="10">
        <v>60</v>
      </c>
      <c r="C60" s="31">
        <f>1-0.245-0.025</f>
        <v>0.73</v>
      </c>
      <c r="D60" s="12">
        <f t="shared" si="81"/>
        <v>37171.232876712333</v>
      </c>
      <c r="E60" s="12">
        <f t="shared" si="81"/>
        <v>3980.8219178082195</v>
      </c>
      <c r="F60" s="12">
        <f t="shared" si="81"/>
        <v>378.08219178082192</v>
      </c>
      <c r="G60" s="12">
        <f t="shared" si="81"/>
        <v>69.863013698630141</v>
      </c>
      <c r="H60" s="5">
        <v>27135</v>
      </c>
      <c r="I60" s="5">
        <v>2906</v>
      </c>
      <c r="J60" s="5">
        <v>276</v>
      </c>
      <c r="K60" s="5">
        <v>51</v>
      </c>
      <c r="L60" s="26">
        <f t="shared" si="82"/>
        <v>5.0190151795935778</v>
      </c>
      <c r="M60" s="26">
        <f t="shared" si="82"/>
        <v>0.66865786552430895</v>
      </c>
      <c r="N60" s="26">
        <f t="shared" si="82"/>
        <v>0.68274926727910401</v>
      </c>
      <c r="O60" s="26">
        <f t="shared" si="82"/>
        <v>2.1027556912147971</v>
      </c>
      <c r="P60" s="26">
        <f t="shared" si="83"/>
        <v>8.4731780036117872</v>
      </c>
      <c r="Q60" s="26">
        <f t="shared" si="84"/>
        <v>6.3704223123969905</v>
      </c>
      <c r="R60" s="26">
        <f>(LN(Q49/Q38))/$B$1</f>
        <v>8.1571735955973293E-2</v>
      </c>
      <c r="S60" s="10"/>
      <c r="T60" s="10"/>
      <c r="V60" s="26">
        <f>(LN(Q52/Q39))/$B$1</f>
        <v>0.15978197887627676</v>
      </c>
      <c r="W60" s="10"/>
      <c r="X60" s="10"/>
      <c r="Z60" s="26">
        <f>(LN(Q55/Q40))/$B$1</f>
        <v>-7.5871886356174034E-2</v>
      </c>
      <c r="AA60" s="10"/>
      <c r="AB60" s="10"/>
    </row>
    <row r="61" spans="1:28" x14ac:dyDescent="0.2">
      <c r="A61" s="5" t="s">
        <v>471</v>
      </c>
      <c r="B61" s="10">
        <v>60</v>
      </c>
      <c r="C61" s="31">
        <f>1-0.265-0.025</f>
        <v>0.71</v>
      </c>
      <c r="D61" s="12">
        <f t="shared" si="81"/>
        <v>109325.35211267606</v>
      </c>
      <c r="E61" s="12">
        <f t="shared" si="81"/>
        <v>12391.549295774648</v>
      </c>
      <c r="F61" s="12">
        <f t="shared" si="81"/>
        <v>1198.5915492957747</v>
      </c>
      <c r="G61" s="12">
        <f t="shared" si="81"/>
        <v>215.49295774647888</v>
      </c>
      <c r="H61" s="5">
        <v>77621</v>
      </c>
      <c r="I61" s="5">
        <v>8798</v>
      </c>
      <c r="J61" s="5">
        <v>851</v>
      </c>
      <c r="K61" s="5">
        <v>153</v>
      </c>
      <c r="L61" s="26">
        <f t="shared" si="82"/>
        <v>13.718204364706866</v>
      </c>
      <c r="M61" s="26">
        <f t="shared" si="82"/>
        <v>2.0646524198746379</v>
      </c>
      <c r="N61" s="26">
        <f t="shared" si="82"/>
        <v>1.8638060541480514</v>
      </c>
      <c r="O61" s="26">
        <f t="shared" si="82"/>
        <v>6.3719579607467232</v>
      </c>
      <c r="P61" s="26">
        <f t="shared" si="83"/>
        <v>24.018620799476277</v>
      </c>
      <c r="Q61" s="26">
        <f t="shared" si="84"/>
        <v>17.646662838729554</v>
      </c>
      <c r="R61" s="26">
        <f>LN(Q50/Q38)/$B$1</f>
        <v>-1.0258623547337947E-2</v>
      </c>
      <c r="S61" s="10"/>
      <c r="T61" s="10"/>
      <c r="V61" s="26">
        <f>LN(Q53/Q39)/$B$1</f>
        <v>6.3534988471106984E-3</v>
      </c>
      <c r="W61" s="10"/>
      <c r="X61" s="10"/>
      <c r="Z61" s="26">
        <f>LN(Q56/Q40)/$B$1</f>
        <v>-0.11174869876054395</v>
      </c>
      <c r="AA61" s="10"/>
      <c r="AB61" s="10"/>
    </row>
    <row r="62" spans="1:28" x14ac:dyDescent="0.2">
      <c r="A62" s="5" t="s">
        <v>472</v>
      </c>
      <c r="B62" s="10">
        <v>60</v>
      </c>
      <c r="C62" s="31">
        <f t="shared" ref="C62:C63" si="85">1-0.25-0.025</f>
        <v>0.72499999999999998</v>
      </c>
      <c r="D62" s="12">
        <f t="shared" si="81"/>
        <v>106462.06896551725</v>
      </c>
      <c r="E62" s="12">
        <f t="shared" si="81"/>
        <v>12129.655172413793</v>
      </c>
      <c r="F62" s="12">
        <f t="shared" si="81"/>
        <v>1474.4827586206898</v>
      </c>
      <c r="G62" s="12">
        <f t="shared" si="81"/>
        <v>308.9655172413793</v>
      </c>
      <c r="H62" s="5">
        <v>77185</v>
      </c>
      <c r="I62" s="5">
        <v>8794</v>
      </c>
      <c r="J62" s="5">
        <v>1069</v>
      </c>
      <c r="K62" s="5">
        <v>224</v>
      </c>
      <c r="L62" s="26">
        <f t="shared" si="82"/>
        <v>13.108065253327441</v>
      </c>
      <c r="M62" s="26">
        <f t="shared" si="82"/>
        <v>1.994615706909701</v>
      </c>
      <c r="N62" s="26">
        <f t="shared" si="82"/>
        <v>2.6166054742357487</v>
      </c>
      <c r="O62" s="26">
        <f t="shared" si="82"/>
        <v>12.75672510303229</v>
      </c>
      <c r="P62" s="26">
        <f t="shared" si="83"/>
        <v>30.47601153750518</v>
      </c>
      <c r="Q62" s="26">
        <f t="shared" si="84"/>
        <v>17.719286434472888</v>
      </c>
    </row>
    <row r="63" spans="1:28" x14ac:dyDescent="0.2">
      <c r="A63" s="5" t="s">
        <v>473</v>
      </c>
      <c r="B63" s="10">
        <v>70</v>
      </c>
      <c r="C63" s="31">
        <f t="shared" si="85"/>
        <v>0.72499999999999998</v>
      </c>
      <c r="D63" s="12">
        <f t="shared" si="81"/>
        <v>14710.344827586207</v>
      </c>
      <c r="E63" s="12">
        <f t="shared" si="81"/>
        <v>2303.4482758620688</v>
      </c>
      <c r="F63" s="12">
        <f t="shared" si="81"/>
        <v>230.34482758620689</v>
      </c>
      <c r="G63" s="12">
        <f t="shared" si="81"/>
        <v>64.827586206896555</v>
      </c>
      <c r="H63" s="5">
        <v>10665</v>
      </c>
      <c r="I63" s="5">
        <v>1670</v>
      </c>
      <c r="J63" s="5">
        <v>167</v>
      </c>
      <c r="K63" s="5">
        <v>47</v>
      </c>
      <c r="L63" s="26">
        <f t="shared" si="82"/>
        <v>2.5796195175170351</v>
      </c>
      <c r="M63" s="26">
        <f t="shared" si="82"/>
        <v>0.39659619649378414</v>
      </c>
      <c r="N63" s="26">
        <f t="shared" si="82"/>
        <v>0.24869344785197736</v>
      </c>
      <c r="O63" s="26">
        <f t="shared" si="82"/>
        <v>1.3488063686473166</v>
      </c>
      <c r="P63" s="26">
        <f t="shared" si="83"/>
        <v>4.5737155305101131</v>
      </c>
      <c r="Q63" s="26">
        <f t="shared" si="84"/>
        <v>3.2249091618627967</v>
      </c>
    </row>
    <row r="64" spans="1:28" x14ac:dyDescent="0.2">
      <c r="A64" s="5" t="s">
        <v>474</v>
      </c>
      <c r="B64" s="10">
        <v>70</v>
      </c>
      <c r="C64" s="31">
        <f>1-0.26-0.025</f>
        <v>0.71499999999999997</v>
      </c>
      <c r="D64" s="12">
        <f t="shared" si="81"/>
        <v>55896.503496503501</v>
      </c>
      <c r="E64" s="12">
        <f t="shared" si="81"/>
        <v>9205.5944055944055</v>
      </c>
      <c r="F64" s="12">
        <f t="shared" si="81"/>
        <v>1011.1888111888112</v>
      </c>
      <c r="G64" s="12">
        <f t="shared" si="81"/>
        <v>103.49650349650351</v>
      </c>
      <c r="H64" s="5">
        <v>39966</v>
      </c>
      <c r="I64" s="5">
        <v>6582</v>
      </c>
      <c r="J64" s="5">
        <v>723</v>
      </c>
      <c r="K64" s="5">
        <v>74</v>
      </c>
      <c r="L64" s="26">
        <f t="shared" si="82"/>
        <v>6.9481827808231023</v>
      </c>
      <c r="M64" s="26">
        <f t="shared" si="82"/>
        <v>1.5976204371006362</v>
      </c>
      <c r="N64" s="26">
        <f t="shared" si="82"/>
        <v>1.1108691319022403</v>
      </c>
      <c r="O64" s="26">
        <f t="shared" si="82"/>
        <v>2.2101024502419069</v>
      </c>
      <c r="P64" s="26">
        <f t="shared" si="83"/>
        <v>11.866774800067885</v>
      </c>
      <c r="Q64" s="26">
        <f t="shared" si="84"/>
        <v>9.6566723498259783</v>
      </c>
      <c r="R64" s="6" t="s">
        <v>555</v>
      </c>
      <c r="S64" s="6" t="s">
        <v>555</v>
      </c>
      <c r="T64" s="6" t="s">
        <v>555</v>
      </c>
      <c r="V64" s="6" t="s">
        <v>556</v>
      </c>
      <c r="W64" s="6" t="s">
        <v>556</v>
      </c>
      <c r="X64" s="6" t="s">
        <v>556</v>
      </c>
      <c r="Z64" s="6" t="s">
        <v>558</v>
      </c>
      <c r="AA64" s="6" t="s">
        <v>557</v>
      </c>
      <c r="AB64" s="6" t="s">
        <v>557</v>
      </c>
    </row>
    <row r="65" spans="1:28" x14ac:dyDescent="0.2">
      <c r="A65" s="5" t="s">
        <v>475</v>
      </c>
      <c r="B65" s="10">
        <v>70</v>
      </c>
      <c r="C65" s="31">
        <f>1-0.26-0.025</f>
        <v>0.71499999999999997</v>
      </c>
      <c r="D65" s="12">
        <f t="shared" si="81"/>
        <v>53551.048951048957</v>
      </c>
      <c r="E65" s="12">
        <f t="shared" si="81"/>
        <v>8464.3356643356656</v>
      </c>
      <c r="F65" s="12">
        <f t="shared" si="81"/>
        <v>1053.1468531468531</v>
      </c>
      <c r="G65" s="12">
        <f>K65/$C65</f>
        <v>90.909090909090907</v>
      </c>
      <c r="H65" s="5">
        <v>38289</v>
      </c>
      <c r="I65" s="5">
        <v>6052</v>
      </c>
      <c r="J65" s="5">
        <v>753</v>
      </c>
      <c r="K65" s="5">
        <v>65</v>
      </c>
      <c r="L65" s="26">
        <f>W31*D65*1000/1000000</f>
        <v>6.7119299042326723</v>
      </c>
      <c r="M65" s="26">
        <f t="shared" ref="M65:N65" si="86">X31*E65*1000/1000000</f>
        <v>1.4625009903219077</v>
      </c>
      <c r="N65" s="26">
        <f t="shared" si="86"/>
        <v>1.0144395685963901</v>
      </c>
      <c r="O65" s="26">
        <f>Z31*G65*1000/1000000</f>
        <v>3.2159880407324497</v>
      </c>
      <c r="P65" s="26">
        <f t="shared" si="83"/>
        <v>12.404858503883421</v>
      </c>
      <c r="Q65" s="26">
        <f t="shared" si="84"/>
        <v>9.1888704631509714</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0.25024812440565786</v>
      </c>
      <c r="S66" s="26">
        <f>(R66-R67)/(1-0.25)</f>
        <v>0.33991487733236075</v>
      </c>
      <c r="T66" s="26">
        <f>S66+R68</f>
        <v>0.38372781808478357</v>
      </c>
      <c r="V66" s="26">
        <f>(LN(L60/(L42*0.25)))/$B$1</f>
        <v>0.361211135455135</v>
      </c>
      <c r="W66" s="26">
        <f>(V66-V67)/(1-0.25)</f>
        <v>0.45132368555780172</v>
      </c>
      <c r="X66" s="26">
        <f>W66+V68</f>
        <v>0.43360114344859962</v>
      </c>
      <c r="Z66" s="26">
        <f>(LN(L63/(L43*0.25)))/$B$1</f>
        <v>0.33890336972494661</v>
      </c>
      <c r="AA66" s="26">
        <f>(Z66-Z67)/(1-0.25)</f>
        <v>0.46868873522403659</v>
      </c>
      <c r="AB66" s="26">
        <f>AA66+Z68</f>
        <v>0.42532566087127682</v>
      </c>
    </row>
    <row r="67" spans="1:28" x14ac:dyDescent="0.2">
      <c r="M67" s="12"/>
      <c r="N67" s="12"/>
      <c r="R67" s="26">
        <f>(LN(L58/L41))/$B$1</f>
        <v>-4.6880335936126784E-3</v>
      </c>
      <c r="V67" s="26">
        <f>(LN(L61/L42))/$B$1</f>
        <v>2.2718371286783747E-2</v>
      </c>
      <c r="Z67" s="26">
        <f>(LN(L64/L43))/$B$1</f>
        <v>-1.2613181693080866E-2</v>
      </c>
    </row>
    <row r="68" spans="1:28" x14ac:dyDescent="0.2">
      <c r="M68" s="12"/>
      <c r="N68" s="12"/>
      <c r="R68" s="26">
        <f>LN(L59/L41)/$B$1</f>
        <v>4.381294075242282E-2</v>
      </c>
      <c r="V68" s="26">
        <f>LN(L62/L42)/$B$1</f>
        <v>-1.7722542109202075E-2</v>
      </c>
      <c r="Z68" s="26">
        <f>LN(L65/L43)/$B$1</f>
        <v>-4.3363074352759774E-2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0.16993843719221569</v>
      </c>
      <c r="S71" s="26">
        <f>(R71-R72)/(1-0.25)</f>
        <v>0.35119339189609367</v>
      </c>
      <c r="T71" s="26">
        <f>S71+R73</f>
        <v>0.2686524086244711</v>
      </c>
      <c r="V71" s="26">
        <f>(LN(M60/(M42*0.25)))/$B$1</f>
        <v>0.1403490730414631</v>
      </c>
      <c r="W71" s="26">
        <f>(V71-V72)/(1-0.25)</f>
        <v>0.30678483805119355</v>
      </c>
      <c r="X71" s="26">
        <f>W71+V73</f>
        <v>0.18636929241991407</v>
      </c>
      <c r="Z71" s="26">
        <f>(LN(M63/(M43*0.25)))/$B$1</f>
        <v>-6.2608779916115395E-2</v>
      </c>
      <c r="AA71" s="26">
        <f>(Z71-Z72)/(1-0.25)</f>
        <v>-8.364548171367725E-3</v>
      </c>
      <c r="AB71" s="26">
        <f>AA71+Z73</f>
        <v>-0.14324864420098302</v>
      </c>
    </row>
    <row r="72" spans="1:28" x14ac:dyDescent="0.2">
      <c r="M72" s="12"/>
      <c r="N72" s="12"/>
      <c r="R72" s="26">
        <f>(LN(M58/M41))/$B$1</f>
        <v>-9.3456606729854591E-2</v>
      </c>
      <c r="V72" s="26">
        <f>(LN(M61/M42))/$B$1</f>
        <v>-8.9739555496932091E-2</v>
      </c>
      <c r="Z72" s="26">
        <f>(LN(M64/M43))/$B$1</f>
        <v>-5.6335368787589601E-2</v>
      </c>
    </row>
    <row r="73" spans="1:28" x14ac:dyDescent="0.2">
      <c r="M73" s="12"/>
      <c r="N73" s="12"/>
      <c r="R73" s="26">
        <f>LN(M59/M41)/$B$1</f>
        <v>-8.2540983271622556E-2</v>
      </c>
      <c r="V73" s="26">
        <f>LN(M62/M42)/$B$1</f>
        <v>-0.1204155456312795</v>
      </c>
      <c r="Z73" s="26">
        <f>LN(M65/M43)/$B$1</f>
        <v>-0.13488409602961529</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-0.23224441681730834</v>
      </c>
      <c r="S76" s="26">
        <f>(R76-R77)/(1-0.25)</f>
        <v>0.49498269168885151</v>
      </c>
      <c r="T76" s="26">
        <f>S76+R78</f>
        <v>-0.18706058356798144</v>
      </c>
      <c r="V76" s="26">
        <f>(LN(N60/(N42*0.25)))/$B$1</f>
        <v>-0.56243941395128139</v>
      </c>
      <c r="W76" s="26">
        <f>(V76-V77)/(1-0.25)</f>
        <v>0.45279538566423366</v>
      </c>
      <c r="X76" s="26">
        <f>W76+V78</f>
        <v>-0.14767861681149391</v>
      </c>
      <c r="Z76" s="26">
        <f>(LN(N63/(N43*0.25)))/$B$1</f>
        <v>-0.57543337931311822</v>
      </c>
      <c r="AA76" s="26">
        <f>(Z76-Z77)/(1-0.25)</f>
        <v>-0.13082385024135959</v>
      </c>
      <c r="AB76" s="26">
        <f>AA76+Z78</f>
        <v>-0.68885614170893095</v>
      </c>
    </row>
    <row r="77" spans="1:28" x14ac:dyDescent="0.2">
      <c r="M77" s="12"/>
      <c r="N77" s="12"/>
      <c r="R77" s="26">
        <f>(LN(N58/N41))/$B$1</f>
        <v>-0.60348143558394696</v>
      </c>
      <c r="V77" s="26">
        <f>(LN(N61/N42))/$B$1</f>
        <v>-0.90203595319945662</v>
      </c>
      <c r="Z77" s="26">
        <f>(LN(N64/N43))/$B$1</f>
        <v>-0.47731549163209852</v>
      </c>
    </row>
    <row r="78" spans="1:28" x14ac:dyDescent="0.2">
      <c r="M78" s="12"/>
      <c r="N78" s="12"/>
      <c r="R78" s="26">
        <f>LN(N59/N41)/$B$1</f>
        <v>-0.68204327525683295</v>
      </c>
      <c r="V78" s="26">
        <f>LN(N62/N42)/$B$1</f>
        <v>-0.60047400247572758</v>
      </c>
      <c r="Z78" s="26">
        <f>LN(N65/N43)/$B$1</f>
        <v>-0.55803229146757138</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0.7716926517556012</v>
      </c>
      <c r="S81" s="26">
        <f>(R81-R82)/(1-0.25)</f>
        <v>2.1273370828959242</v>
      </c>
      <c r="T81" s="26">
        <f>S81+R83</f>
        <v>1.5232758753041993</v>
      </c>
      <c r="V81" s="26">
        <f>(LN(O60/(O42*0.25)))/$B$1</f>
        <v>-0.61845321975089396</v>
      </c>
      <c r="W81" s="26">
        <f>(V81-V82)/(1-0.25)</f>
        <v>0.32905041185891176</v>
      </c>
      <c r="X81" s="26">
        <f>W81+V83</f>
        <v>8.0833202840050522E-2</v>
      </c>
      <c r="Z81" s="26">
        <f>(LN(O63/(O43*0.25)))/$B$1</f>
        <v>-9.9838788214816065E-2</v>
      </c>
      <c r="AA81" s="26">
        <f>(Z81-Z82)/(1-0.25)</f>
        <v>1.0577487633269347</v>
      </c>
      <c r="AB81" s="26">
        <f>AA81+Z83</f>
        <v>0.49801685648481009</v>
      </c>
    </row>
    <row r="82" spans="13:28" x14ac:dyDescent="0.2">
      <c r="M82" s="12"/>
      <c r="N82" s="12"/>
      <c r="R82" s="26">
        <f>(LN(O58/O41))/$B$1</f>
        <v>-0.82381016041634192</v>
      </c>
      <c r="V82" s="26">
        <f>(LN(O61/O42))/$B$1</f>
        <v>-0.86524102864507779</v>
      </c>
      <c r="Z82" s="26">
        <f>(LN(O64/O43))/$B$1</f>
        <v>-0.89315036071001708</v>
      </c>
    </row>
    <row r="83" spans="13:28" x14ac:dyDescent="0.2">
      <c r="M83" s="12"/>
      <c r="N83" s="12"/>
      <c r="R83" s="26">
        <f>LN(O59/O41)/$B$1</f>
        <v>-0.60406120759172477</v>
      </c>
      <c r="V83" s="26">
        <f>LN(O62/O42)/$B$1</f>
        <v>-0.24821720901886124</v>
      </c>
      <c r="Z83" s="26">
        <f>LN(O65/O43)/$B$1</f>
        <v>-0.55973190684212459</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0.15994034438569449</v>
      </c>
      <c r="S87" s="26">
        <f>(R87-R88)/(1-0.25)</f>
        <v>0.36110113015340795</v>
      </c>
      <c r="T87" s="26">
        <f>S87+R89</f>
        <v>0.2811808701467291</v>
      </c>
      <c r="V87" s="26">
        <f>(LN(Q60/(Q42*0.25)))/$B$1</f>
        <v>0.18054250812107625</v>
      </c>
      <c r="W87" s="26">
        <f>(V87-V88)/(1-0.25)</f>
        <v>0.43545295926095839</v>
      </c>
      <c r="X87" s="26">
        <f>W87+V89</f>
        <v>0.29305640057775217</v>
      </c>
      <c r="Z87" s="26">
        <f>(LN(Q63/(Q43*0.25)))/$B$1</f>
        <v>0.17033426945587199</v>
      </c>
      <c r="AA87" s="26">
        <f>(Z87-Z88)/(1-0.25)</f>
        <v>0.34317040885553735</v>
      </c>
      <c r="AB87" s="26">
        <f>AA87+Z89</f>
        <v>0.21198812308062689</v>
      </c>
    </row>
    <row r="88" spans="13:28" x14ac:dyDescent="0.2">
      <c r="M88" s="12"/>
      <c r="N88" s="12"/>
      <c r="R88" s="26">
        <f>(LN(Q58/Q41))/$B$1</f>
        <v>-0.11088550322936146</v>
      </c>
      <c r="S88" s="10"/>
      <c r="T88" s="10"/>
      <c r="V88" s="26">
        <f>(LN(Q61/Q42))/$B$1</f>
        <v>-0.14604721132464255</v>
      </c>
      <c r="W88" s="10"/>
      <c r="X88" s="10"/>
      <c r="Z88" s="26">
        <f>(LN(Q64/Q43))/$B$1</f>
        <v>-8.7043537185780992E-2</v>
      </c>
      <c r="AA88" s="10"/>
      <c r="AB88" s="10"/>
    </row>
    <row r="89" spans="13:28" x14ac:dyDescent="0.2">
      <c r="M89" s="12"/>
      <c r="N89" s="12"/>
      <c r="R89" s="26">
        <f>LN(Q59/Q41)/$B$1</f>
        <v>-7.9920260006678817E-2</v>
      </c>
      <c r="S89" s="10"/>
      <c r="T89" s="10"/>
      <c r="V89" s="26">
        <f>LN(Q62/Q42)/$B$1</f>
        <v>-0.14239655868320622</v>
      </c>
      <c r="W89" s="10"/>
      <c r="X89" s="10"/>
      <c r="Z89" s="26">
        <f>LN(Q65/Q43)/$B$1</f>
        <v>-0.13118228577491045</v>
      </c>
      <c r="AA89" s="10"/>
      <c r="AB89"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election activeCell="A3" sqref="A3"/>
    </sheetView>
  </sheetViews>
  <sheetFormatPr baseColWidth="10" defaultRowHeight="16" x14ac:dyDescent="0.2"/>
  <sheetData>
    <row r="1" spans="1:9" x14ac:dyDescent="0.2">
      <c r="A1" s="25" t="s">
        <v>502</v>
      </c>
    </row>
    <row r="2" spans="1:9" s="2" customFormat="1" x14ac:dyDescent="0.2">
      <c r="A2" s="2" t="s">
        <v>501</v>
      </c>
      <c r="B2" s="2" t="s">
        <v>494</v>
      </c>
      <c r="C2" s="2" t="s">
        <v>495</v>
      </c>
      <c r="D2" s="2" t="s">
        <v>496</v>
      </c>
      <c r="E2" s="2" t="s">
        <v>497</v>
      </c>
      <c r="F2" s="2" t="s">
        <v>498</v>
      </c>
      <c r="G2" s="2" t="s">
        <v>499</v>
      </c>
      <c r="H2" s="2" t="s">
        <v>500</v>
      </c>
      <c r="I2" s="2" t="s">
        <v>504</v>
      </c>
    </row>
    <row r="3" spans="1:9" x14ac:dyDescent="0.2">
      <c r="A3" s="11">
        <v>1</v>
      </c>
      <c r="B3" s="11">
        <v>1</v>
      </c>
      <c r="C3" s="17">
        <v>43763</v>
      </c>
      <c r="D3" s="18">
        <v>430.1875</v>
      </c>
      <c r="E3" s="17">
        <v>43764</v>
      </c>
      <c r="F3" s="18">
        <v>730.3125</v>
      </c>
      <c r="G3" s="19">
        <f>24+3</f>
        <v>27</v>
      </c>
      <c r="H3" s="21">
        <f>G3/24</f>
        <v>1.125</v>
      </c>
    </row>
    <row r="4" spans="1:9" x14ac:dyDescent="0.2">
      <c r="A4" s="11">
        <v>1</v>
      </c>
      <c r="B4" s="11">
        <v>2</v>
      </c>
      <c r="C4" s="17">
        <v>43764</v>
      </c>
      <c r="D4" s="20">
        <v>0.19791666666666666</v>
      </c>
      <c r="E4" s="17">
        <v>43765</v>
      </c>
      <c r="F4" s="20">
        <v>0.44444444444444442</v>
      </c>
      <c r="G4" s="19">
        <v>30</v>
      </c>
      <c r="H4" s="21">
        <v>1.25</v>
      </c>
    </row>
    <row r="5" spans="1:9" x14ac:dyDescent="0.2">
      <c r="A5" s="11">
        <v>1</v>
      </c>
      <c r="B5" s="11">
        <v>3</v>
      </c>
      <c r="C5" s="17">
        <v>43765</v>
      </c>
      <c r="D5" s="18">
        <v>0.29166666666666669</v>
      </c>
      <c r="E5" s="17">
        <v>43766</v>
      </c>
      <c r="F5" s="18">
        <v>0.3125</v>
      </c>
      <c r="G5" s="19">
        <v>24.5</v>
      </c>
      <c r="H5" s="21">
        <v>1.02</v>
      </c>
    </row>
    <row r="6" spans="1:9" x14ac:dyDescent="0.2">
      <c r="A6" s="11">
        <v>1</v>
      </c>
      <c r="B6" s="11">
        <v>4</v>
      </c>
      <c r="C6" s="17">
        <v>43766</v>
      </c>
      <c r="D6" s="18">
        <v>0.21180555555555555</v>
      </c>
      <c r="E6" s="17">
        <v>43767</v>
      </c>
      <c r="F6" s="18">
        <v>0.3263888888888889</v>
      </c>
      <c r="G6" s="19">
        <v>27</v>
      </c>
      <c r="H6" s="21">
        <v>1.125</v>
      </c>
    </row>
    <row r="7" spans="1:9" x14ac:dyDescent="0.2">
      <c r="A7" s="11">
        <v>1</v>
      </c>
      <c r="B7" s="11">
        <v>5</v>
      </c>
      <c r="C7" s="17">
        <v>43767</v>
      </c>
      <c r="D7" s="18">
        <v>0.19444444444444445</v>
      </c>
      <c r="E7" s="17">
        <v>43768</v>
      </c>
      <c r="F7" s="18">
        <v>0.3125</v>
      </c>
      <c r="G7" s="19">
        <v>27</v>
      </c>
      <c r="H7" s="21">
        <v>1.125</v>
      </c>
    </row>
    <row r="8" spans="1:9" x14ac:dyDescent="0.2">
      <c r="A8" s="11">
        <v>1</v>
      </c>
      <c r="B8" s="11">
        <v>6</v>
      </c>
      <c r="C8" s="17">
        <v>43768</v>
      </c>
      <c r="D8" s="18">
        <v>0.1875</v>
      </c>
      <c r="E8" s="17">
        <v>43769</v>
      </c>
      <c r="F8" s="18">
        <v>0.39930555555555558</v>
      </c>
      <c r="G8" s="19">
        <v>29</v>
      </c>
      <c r="H8" s="21">
        <v>1.21</v>
      </c>
      <c r="I8" t="s">
        <v>505</v>
      </c>
    </row>
    <row r="9" spans="1:9" x14ac:dyDescent="0.2">
      <c r="A9" s="11">
        <v>2</v>
      </c>
      <c r="B9" s="11">
        <v>7</v>
      </c>
      <c r="C9" s="17">
        <v>43771</v>
      </c>
      <c r="D9" s="18">
        <v>0.22222222222222221</v>
      </c>
      <c r="E9" s="17">
        <v>43772</v>
      </c>
      <c r="F9" s="18">
        <v>0.31944444444444448</v>
      </c>
      <c r="G9" s="19">
        <v>26.5</v>
      </c>
      <c r="H9" s="21">
        <v>1.1000000000000001</v>
      </c>
    </row>
    <row r="10" spans="1:9" x14ac:dyDescent="0.2">
      <c r="A10" s="11">
        <v>2</v>
      </c>
      <c r="B10" s="11">
        <v>8</v>
      </c>
      <c r="C10" s="17">
        <v>43772</v>
      </c>
      <c r="D10" s="18">
        <v>0.20138888888888887</v>
      </c>
      <c r="E10" s="11" t="s">
        <v>503</v>
      </c>
      <c r="F10" s="18" t="s">
        <v>503</v>
      </c>
      <c r="G10" s="19" t="s">
        <v>503</v>
      </c>
      <c r="H10" s="11" t="s">
        <v>503</v>
      </c>
      <c r="I10" t="s">
        <v>506</v>
      </c>
    </row>
    <row r="11" spans="1:9" x14ac:dyDescent="0.2">
      <c r="A11" s="11">
        <v>2</v>
      </c>
      <c r="B11" s="11">
        <v>9</v>
      </c>
      <c r="C11" s="17">
        <v>43775</v>
      </c>
      <c r="D11" s="18">
        <v>0.17222222222222225</v>
      </c>
      <c r="E11" s="17">
        <v>43776</v>
      </c>
      <c r="F11" s="18">
        <v>0.30972222222222223</v>
      </c>
      <c r="G11" s="19">
        <v>26.5</v>
      </c>
      <c r="H11" s="11">
        <v>1.1040000000000001</v>
      </c>
      <c r="I11" t="s">
        <v>507</v>
      </c>
    </row>
    <row r="12" spans="1:9" x14ac:dyDescent="0.2">
      <c r="A12" s="11">
        <v>3</v>
      </c>
      <c r="B12" s="11">
        <v>10</v>
      </c>
      <c r="C12" s="17">
        <v>43776</v>
      </c>
      <c r="D12" s="18">
        <v>0.18611111111111112</v>
      </c>
      <c r="E12" s="17">
        <v>43777</v>
      </c>
      <c r="F12" s="18">
        <v>0.27777777777777779</v>
      </c>
      <c r="G12" s="19">
        <v>26</v>
      </c>
      <c r="H12" s="11">
        <v>1.08</v>
      </c>
    </row>
    <row r="13" spans="1:9" x14ac:dyDescent="0.2">
      <c r="A13" s="11">
        <v>3</v>
      </c>
      <c r="B13" s="11">
        <v>11</v>
      </c>
      <c r="C13" s="17">
        <v>43777</v>
      </c>
      <c r="D13" s="18">
        <v>0.16805555555555554</v>
      </c>
      <c r="E13" s="17">
        <v>43778</v>
      </c>
      <c r="F13" s="18">
        <v>0.34513888888888888</v>
      </c>
      <c r="G13" s="19">
        <v>28.5</v>
      </c>
      <c r="H13" s="11">
        <v>1.19</v>
      </c>
    </row>
    <row r="14" spans="1:9" x14ac:dyDescent="0.2">
      <c r="A14" s="11">
        <v>3</v>
      </c>
      <c r="B14" s="11">
        <v>12</v>
      </c>
      <c r="C14" s="17">
        <v>43778</v>
      </c>
      <c r="D14" s="18">
        <v>0.25347222222222221</v>
      </c>
      <c r="E14" s="17">
        <v>43779</v>
      </c>
      <c r="F14" s="18">
        <v>0.29166666666666669</v>
      </c>
      <c r="G14" s="19">
        <v>25</v>
      </c>
      <c r="H14" s="11">
        <v>1.04</v>
      </c>
    </row>
    <row r="15" spans="1:9" x14ac:dyDescent="0.2">
      <c r="A15" s="11">
        <v>4</v>
      </c>
      <c r="B15" s="11">
        <v>13</v>
      </c>
      <c r="C15" s="17">
        <v>43781</v>
      </c>
      <c r="D15" s="18">
        <v>0.22569444444444445</v>
      </c>
      <c r="E15" s="17">
        <v>43782</v>
      </c>
      <c r="F15" s="18">
        <v>0.27777777777777779</v>
      </c>
      <c r="G15" s="19">
        <v>25</v>
      </c>
      <c r="H15" s="11">
        <v>1.04</v>
      </c>
    </row>
    <row r="16" spans="1:9" x14ac:dyDescent="0.2">
      <c r="A16" s="11">
        <v>4</v>
      </c>
      <c r="B16" s="11">
        <v>14</v>
      </c>
      <c r="C16" s="17">
        <v>43782</v>
      </c>
      <c r="D16" s="18">
        <v>0.14583333333333334</v>
      </c>
      <c r="E16" s="17">
        <v>43783</v>
      </c>
      <c r="F16" s="18">
        <v>0.2673611111111111</v>
      </c>
      <c r="G16" s="19">
        <v>27</v>
      </c>
      <c r="H16" s="11">
        <v>1.125</v>
      </c>
    </row>
    <row r="17" spans="1:9" x14ac:dyDescent="0.2">
      <c r="A17" s="11">
        <v>4</v>
      </c>
      <c r="B17" s="11">
        <v>15</v>
      </c>
      <c r="C17" s="17">
        <v>43783</v>
      </c>
      <c r="D17" s="18">
        <v>0.1388888888888889</v>
      </c>
      <c r="E17" s="17">
        <v>43784</v>
      </c>
      <c r="F17" s="18">
        <v>0.25</v>
      </c>
      <c r="G17" s="19">
        <v>27</v>
      </c>
      <c r="H17" s="11">
        <v>1.125</v>
      </c>
    </row>
    <row r="18" spans="1:9" x14ac:dyDescent="0.2">
      <c r="A18" s="11">
        <v>5</v>
      </c>
      <c r="B18" s="11">
        <v>16</v>
      </c>
      <c r="C18" s="17">
        <v>43785</v>
      </c>
      <c r="D18" s="18">
        <v>0.23611111111111113</v>
      </c>
      <c r="E18" s="17">
        <v>43786</v>
      </c>
      <c r="F18" s="18">
        <v>0.27777777777777779</v>
      </c>
      <c r="G18" s="19">
        <v>25</v>
      </c>
      <c r="H18" s="11">
        <v>1.04</v>
      </c>
    </row>
    <row r="19" spans="1:9" x14ac:dyDescent="0.2">
      <c r="A19" s="11">
        <v>5</v>
      </c>
      <c r="B19" s="11">
        <v>17</v>
      </c>
      <c r="C19" s="17">
        <v>43786</v>
      </c>
      <c r="D19" s="18">
        <v>0.15277777777777776</v>
      </c>
      <c r="E19" s="17">
        <v>43787</v>
      </c>
      <c r="F19" s="18">
        <v>0.27430555555555552</v>
      </c>
      <c r="G19" s="19">
        <v>27</v>
      </c>
      <c r="H19" s="11">
        <v>1.125</v>
      </c>
    </row>
    <row r="20" spans="1:9" x14ac:dyDescent="0.2">
      <c r="A20" s="11">
        <v>5</v>
      </c>
      <c r="B20" s="11">
        <v>18</v>
      </c>
      <c r="C20" s="17">
        <v>43787</v>
      </c>
      <c r="D20" s="18">
        <v>0.1388888888888889</v>
      </c>
      <c r="E20" s="17">
        <v>43788</v>
      </c>
      <c r="F20" s="18">
        <v>0.27777777777777779</v>
      </c>
      <c r="G20" s="19">
        <v>27</v>
      </c>
      <c r="H20" s="11">
        <v>1.125</v>
      </c>
    </row>
    <row r="21" spans="1:9" x14ac:dyDescent="0.2">
      <c r="H21" s="22">
        <f>AVERAGE(H3:H20)</f>
        <v>1.1146470588235293</v>
      </c>
      <c r="I21" s="2" t="s">
        <v>510</v>
      </c>
    </row>
    <row r="22" spans="1:9" x14ac:dyDescent="0.2">
      <c r="H22" s="22">
        <f>STDEV(H3:H20)</f>
        <v>6.1767650490032563E-2</v>
      </c>
      <c r="I22" s="2"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50"/>
  <sheetViews>
    <sheetView workbookViewId="0">
      <selection activeCell="L1" sqref="L1"/>
    </sheetView>
  </sheetViews>
  <sheetFormatPr baseColWidth="10" defaultRowHeight="16" x14ac:dyDescent="0.2"/>
  <cols>
    <col min="1" max="1" width="21.1640625" style="5" customWidth="1"/>
    <col min="2" max="6" width="10.83203125" style="5"/>
    <col min="7" max="7" width="13.6640625" style="5" bestFit="1" customWidth="1"/>
    <col min="8" max="8" width="16" style="5" bestFit="1" customWidth="1"/>
    <col min="9" max="9" width="15.6640625" style="5" bestFit="1" customWidth="1"/>
    <col min="10" max="11" width="16.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10.5" style="5" bestFit="1" customWidth="1"/>
    <col min="40" max="40" width="22.1640625" style="5" bestFit="1" customWidth="1"/>
    <col min="41" max="48" width="10.83203125" style="5"/>
    <col min="49" max="49" width="10.83203125" style="15"/>
    <col min="50" max="16384" width="10.83203125" style="5"/>
  </cols>
  <sheetData>
    <row r="1" spans="1:54" x14ac:dyDescent="0.2">
      <c r="A1" s="4" t="s">
        <v>508</v>
      </c>
      <c r="AI1" s="4" t="s">
        <v>41</v>
      </c>
    </row>
    <row r="2" spans="1:54" s="4" customFormat="1" x14ac:dyDescent="0.2">
      <c r="D2" s="4" t="s">
        <v>38</v>
      </c>
      <c r="H2" s="4" t="s">
        <v>37</v>
      </c>
      <c r="L2" s="4" t="s">
        <v>36</v>
      </c>
      <c r="P2" s="4" t="s">
        <v>34</v>
      </c>
      <c r="T2" s="4" t="s">
        <v>35</v>
      </c>
      <c r="X2" s="4" t="s">
        <v>55</v>
      </c>
      <c r="AB2" s="35" t="s">
        <v>54</v>
      </c>
      <c r="AC2" s="35"/>
      <c r="AD2" s="35"/>
      <c r="AE2" s="35"/>
      <c r="AF2" s="4" t="s">
        <v>53</v>
      </c>
      <c r="AJ2" s="4" t="s">
        <v>42</v>
      </c>
      <c r="AN2" s="3" t="s">
        <v>47</v>
      </c>
      <c r="AO2" s="35" t="s">
        <v>587</v>
      </c>
      <c r="AQ2" s="43" t="s">
        <v>604</v>
      </c>
      <c r="AR2" s="43"/>
      <c r="AS2" s="43"/>
      <c r="AT2" s="43"/>
      <c r="AW2" s="70" t="s">
        <v>599</v>
      </c>
      <c r="AX2" s="45"/>
      <c r="AY2" s="45"/>
      <c r="AZ2" s="45"/>
      <c r="BA2" s="45"/>
      <c r="BB2" s="45" t="s">
        <v>602</v>
      </c>
    </row>
    <row r="3" spans="1:54" s="4" customFormat="1" x14ac:dyDescent="0.2">
      <c r="A3" s="4" t="s">
        <v>39</v>
      </c>
      <c r="B3" s="4" t="s">
        <v>688</v>
      </c>
      <c r="C3" s="4" t="s">
        <v>514</v>
      </c>
      <c r="D3" s="4" t="s">
        <v>0</v>
      </c>
      <c r="E3" s="4" t="s">
        <v>1</v>
      </c>
      <c r="F3" s="4" t="s">
        <v>2</v>
      </c>
      <c r="G3" s="35" t="s">
        <v>3</v>
      </c>
      <c r="H3" s="4" t="s">
        <v>4</v>
      </c>
      <c r="I3" s="4" t="s">
        <v>5</v>
      </c>
      <c r="J3" s="4" t="s">
        <v>6</v>
      </c>
      <c r="K3" s="4" t="s">
        <v>7</v>
      </c>
      <c r="L3" s="35" t="s">
        <v>8</v>
      </c>
      <c r="M3" s="35" t="s">
        <v>9</v>
      </c>
      <c r="N3" s="35" t="s">
        <v>10</v>
      </c>
      <c r="O3" s="35" t="s">
        <v>11</v>
      </c>
      <c r="P3" s="4" t="s">
        <v>26</v>
      </c>
      <c r="Q3" s="4" t="s">
        <v>27</v>
      </c>
      <c r="R3" s="4" t="s">
        <v>28</v>
      </c>
      <c r="S3" s="4" t="s">
        <v>29</v>
      </c>
      <c r="T3" s="35" t="s">
        <v>30</v>
      </c>
      <c r="U3" s="35" t="s">
        <v>31</v>
      </c>
      <c r="V3" s="35" t="s">
        <v>32</v>
      </c>
      <c r="W3" s="35" t="s">
        <v>33</v>
      </c>
      <c r="X3" s="4" t="s">
        <v>56</v>
      </c>
      <c r="Y3" s="4" t="s">
        <v>57</v>
      </c>
      <c r="Z3" s="4" t="s">
        <v>58</v>
      </c>
      <c r="AA3" s="4" t="s">
        <v>59</v>
      </c>
      <c r="AB3" s="35" t="s">
        <v>60</v>
      </c>
      <c r="AC3" s="35" t="s">
        <v>61</v>
      </c>
      <c r="AD3" s="35" t="s">
        <v>62</v>
      </c>
      <c r="AE3" s="35" t="s">
        <v>63</v>
      </c>
      <c r="AF3" s="4" t="s">
        <v>49</v>
      </c>
      <c r="AG3" s="4" t="s">
        <v>50</v>
      </c>
      <c r="AH3" s="4" t="s">
        <v>51</v>
      </c>
      <c r="AI3" s="4" t="s">
        <v>52</v>
      </c>
      <c r="AJ3" s="6" t="s">
        <v>43</v>
      </c>
      <c r="AK3" s="4" t="s">
        <v>44</v>
      </c>
      <c r="AL3" s="4" t="s">
        <v>45</v>
      </c>
      <c r="AM3" s="4" t="s">
        <v>46</v>
      </c>
      <c r="AN3" s="3" t="s">
        <v>48</v>
      </c>
      <c r="AO3" s="35"/>
      <c r="AP3" s="4" t="s">
        <v>114</v>
      </c>
      <c r="AQ3" s="43" t="s">
        <v>588</v>
      </c>
      <c r="AR3" s="43" t="s">
        <v>589</v>
      </c>
      <c r="AS3" s="43" t="s">
        <v>44</v>
      </c>
      <c r="AT3" s="43" t="s">
        <v>45</v>
      </c>
      <c r="AU3" s="4" t="s">
        <v>590</v>
      </c>
      <c r="AV3" s="4" t="s">
        <v>591</v>
      </c>
      <c r="AW3" s="70" t="s">
        <v>592</v>
      </c>
      <c r="AX3" s="45" t="s">
        <v>600</v>
      </c>
      <c r="AY3" s="45" t="s">
        <v>601</v>
      </c>
      <c r="AZ3" s="45" t="s">
        <v>44</v>
      </c>
      <c r="BA3" s="45" t="s">
        <v>45</v>
      </c>
      <c r="BB3" s="45" t="s">
        <v>592</v>
      </c>
    </row>
    <row r="4" spans="1:54" x14ac:dyDescent="0.2">
      <c r="A4" s="5" t="s">
        <v>12</v>
      </c>
      <c r="B4" s="6">
        <v>5</v>
      </c>
      <c r="C4" s="6">
        <f>0.87-0.025</f>
        <v>0.84499999999999997</v>
      </c>
      <c r="D4" s="5">
        <v>20558</v>
      </c>
      <c r="E4" s="5">
        <v>17849</v>
      </c>
      <c r="F4" s="5">
        <v>1202</v>
      </c>
      <c r="G4" s="36">
        <v>310</v>
      </c>
      <c r="H4" s="5">
        <v>7495</v>
      </c>
      <c r="I4" s="5">
        <v>18813</v>
      </c>
      <c r="J4" s="7">
        <v>185300</v>
      </c>
      <c r="K4" s="7">
        <v>295000</v>
      </c>
      <c r="L4" s="36">
        <v>6294</v>
      </c>
      <c r="M4" s="36">
        <v>32356</v>
      </c>
      <c r="N4" s="37">
        <v>628500</v>
      </c>
      <c r="O4" s="37">
        <v>3151000</v>
      </c>
      <c r="P4" s="8">
        <f>(224333+L4)/235871</f>
        <v>0.97776750851100813</v>
      </c>
      <c r="Q4" s="8">
        <f>(224333+M4)/235871</f>
        <v>1.0882601082795256</v>
      </c>
      <c r="R4" s="8">
        <f t="shared" ref="R4:S11" si="0">(224333+N4)/235871</f>
        <v>3.615675517549847</v>
      </c>
      <c r="S4" s="8">
        <f t="shared" si="0"/>
        <v>14.310080510109339</v>
      </c>
      <c r="T4" s="38">
        <f>4/3*3.14*((P4/2)^3)</f>
        <v>0.48919859607726607</v>
      </c>
      <c r="U4" s="38">
        <f>4/3*3.14*((Q4/2)^3)</f>
        <v>0.67449157145961558</v>
      </c>
      <c r="V4" s="38">
        <f t="shared" ref="V4" si="1">4/3*3.14*((R4/2)^3)</f>
        <v>24.736983726373342</v>
      </c>
      <c r="W4" s="38">
        <f>4/3*3.14*((S4/2)^3)</f>
        <v>1533.5736193131622</v>
      </c>
      <c r="X4" s="8">
        <f>(T4*265)/1000</f>
        <v>0.12963762796047551</v>
      </c>
      <c r="Y4" s="8">
        <f>(10^(-0.665+LOG(U4, 10)*0.959))</f>
        <v>0.14824787929051017</v>
      </c>
      <c r="Z4" s="8">
        <f>(10^(-0.665+LOG(V4, 10)*0.959))</f>
        <v>4.6905041751999947</v>
      </c>
      <c r="AA4" s="8">
        <f>(10^(-0.665+LOG(W4, 10)*0.959))</f>
        <v>245.52218441241732</v>
      </c>
      <c r="AB4" s="38">
        <f>X4*D4</f>
        <v>2665.0903556114554</v>
      </c>
      <c r="AC4" s="38">
        <f>Y4*E4</f>
        <v>2646.076397456316</v>
      </c>
      <c r="AD4" s="38">
        <f t="shared" ref="AD4" si="2">Z4*F4</f>
        <v>5637.9860185903935</v>
      </c>
      <c r="AE4" s="38">
        <f>AA4*G4</f>
        <v>76111.877167849365</v>
      </c>
      <c r="AF4" s="8">
        <f>AB4/(AB4+AC4+AD4+AE4)</f>
        <v>3.0611748533910473E-2</v>
      </c>
      <c r="AG4" s="8">
        <f>AC4/(AB4+AC4+AD4+AE4)</f>
        <v>3.0393350495564835E-2</v>
      </c>
      <c r="AH4" s="8">
        <f>AD4/(AB4+AC4+AD4+AE4)</f>
        <v>6.4759008967707213E-2</v>
      </c>
      <c r="AI4" s="8">
        <f>AE4/(AB4+AC4+AD4+AE4)</f>
        <v>0.87423589200281748</v>
      </c>
      <c r="AJ4" s="8">
        <f>LN((AVERAGE(H14:H16))/H4)/1.125</f>
        <v>0.18511913815886383</v>
      </c>
      <c r="AK4" s="8">
        <f>LN((AVERAGE(I14:I16))/I4)/1.125</f>
        <v>0.42425015821364193</v>
      </c>
      <c r="AL4" s="8">
        <f>LN((AVERAGE(J14:J16))/J4)/1.125</f>
        <v>0.1632886680686417</v>
      </c>
      <c r="AM4" s="8">
        <f>LN((AVERAGE(K14:K16))/K4)/1.125</f>
        <v>-1.4275986941542744E-2</v>
      </c>
      <c r="AN4" s="16">
        <f>(AJ4*AF4)+(AK4*AG4)+(AH4*AL4)+(AI4*AM4)</f>
        <v>1.6655036404241361E-2</v>
      </c>
      <c r="AO4" s="42">
        <f>(AJ4*AF4)+(AK4*AG4)+(AH4*AL4)</f>
        <v>2.9135616582301557E-2</v>
      </c>
      <c r="AP4" s="6">
        <v>5</v>
      </c>
      <c r="AQ4" s="44">
        <f>I4/M4</f>
        <v>0.58143775497589323</v>
      </c>
      <c r="AR4" s="44">
        <f>J4/N4</f>
        <v>0.29482895783611773</v>
      </c>
      <c r="AS4" s="44">
        <f>LN((AVERAGE(AQ14:AQ16))/AQ4)/1.125</f>
        <v>0.25564389997959669</v>
      </c>
      <c r="AT4" s="44">
        <f>LN((AVERAGE(AR14:AR16))/AR4)/1.125</f>
        <v>0.20860068945612953</v>
      </c>
      <c r="AU4" s="8">
        <f>AC4/(AC4+AD4)</f>
        <v>0.31941772823086323</v>
      </c>
      <c r="AV4" s="8">
        <f>AD4/(AC4+AD4)</f>
        <v>0.68058227176913688</v>
      </c>
      <c r="AW4" s="52">
        <f>(AS4*AU4)+(AT4*AV4)</f>
        <v>0.22362712489022168</v>
      </c>
      <c r="AX4" s="46">
        <f>I4</f>
        <v>18813</v>
      </c>
      <c r="AY4" s="47">
        <f>J4</f>
        <v>185300</v>
      </c>
      <c r="AZ4" s="48">
        <f>LN((AVERAGE(AX14:AX16))/AX4)/1.125</f>
        <v>0.42425015821364193</v>
      </c>
      <c r="BA4" s="48">
        <f>LN((AVERAGE(AY14:AY16))/AY4)/1.125</f>
        <v>0.1632886680686417</v>
      </c>
      <c r="BB4" s="48">
        <f>(AZ4*AU4)+(BA4*AV4)</f>
        <v>0.24664439440649849</v>
      </c>
    </row>
    <row r="5" spans="1:54" x14ac:dyDescent="0.2">
      <c r="A5" s="5" t="s">
        <v>13</v>
      </c>
      <c r="B5" s="6">
        <v>12</v>
      </c>
      <c r="C5" s="6">
        <f t="shared" ref="C5:C11" si="3">0.87-0.025</f>
        <v>0.84499999999999997</v>
      </c>
      <c r="D5" s="5">
        <v>19333</v>
      </c>
      <c r="E5" s="5">
        <v>20217</v>
      </c>
      <c r="F5" s="5">
        <v>1317</v>
      </c>
      <c r="G5" s="36">
        <v>354</v>
      </c>
      <c r="H5" s="5">
        <v>7468</v>
      </c>
      <c r="I5" s="5">
        <v>18394</v>
      </c>
      <c r="J5" s="7">
        <v>167900</v>
      </c>
      <c r="K5" s="7">
        <v>294000</v>
      </c>
      <c r="L5" s="36">
        <v>6438</v>
      </c>
      <c r="M5" s="36">
        <v>30779</v>
      </c>
      <c r="N5" s="37">
        <v>537300</v>
      </c>
      <c r="O5" s="37">
        <v>3032000</v>
      </c>
      <c r="P5" s="8">
        <f t="shared" ref="P5:P11" si="4">(224333+L5)/235871</f>
        <v>0.97837801170979055</v>
      </c>
      <c r="Q5" s="8">
        <f t="shared" ref="Q5:Q11" si="5">(224333+M5)/235871</f>
        <v>1.0815742503317491</v>
      </c>
      <c r="R5" s="8">
        <f t="shared" si="0"/>
        <v>3.2290234916543366</v>
      </c>
      <c r="S5" s="8">
        <f t="shared" si="0"/>
        <v>13.805567450004451</v>
      </c>
      <c r="T5" s="38">
        <f t="shared" ref="T5:T11" si="6">4/3*3.14*((P5/2)^3)</f>
        <v>0.49011551289352445</v>
      </c>
      <c r="U5" s="38">
        <f t="shared" ref="U5:U11" si="7">4/3*3.14*((Q5/2)^3)</f>
        <v>0.66213632695787172</v>
      </c>
      <c r="V5" s="38">
        <f t="shared" ref="V5:V11" si="8">4/3*3.14*((R5/2)^3)</f>
        <v>17.619436363967257</v>
      </c>
      <c r="W5" s="38">
        <f t="shared" ref="W5:W11" si="9">4/3*3.14*((S5/2)^3)</f>
        <v>1377.0229679912627</v>
      </c>
      <c r="X5" s="8">
        <f t="shared" ref="X5:X11" si="10">(T5*265)/1000</f>
        <v>0.12988061091678399</v>
      </c>
      <c r="Y5" s="8">
        <f t="shared" ref="Y5:Y11" si="11">(10^(-0.665+LOG(U5, 10)*0.959))</f>
        <v>0.14564264963105328</v>
      </c>
      <c r="Z5" s="8">
        <f t="shared" ref="Z5:Z11" si="12">(10^(-0.665+LOG(V5, 10)*0.959))</f>
        <v>3.3877108805760434</v>
      </c>
      <c r="AA5" s="8">
        <f t="shared" ref="AA5:AA11" si="13">(10^(-0.665+LOG(W5, 10)*0.959))</f>
        <v>221.43414802492225</v>
      </c>
      <c r="AB5" s="38">
        <f t="shared" ref="AB5:AB11" si="14">X5*D5</f>
        <v>2510.9818508541848</v>
      </c>
      <c r="AC5" s="38">
        <f t="shared" ref="AC5:AC11" si="15">Y5*E5</f>
        <v>2944.457447591004</v>
      </c>
      <c r="AD5" s="38">
        <f t="shared" ref="AD5:AD11" si="16">Z5*F5</f>
        <v>4461.6152297186491</v>
      </c>
      <c r="AE5" s="38">
        <f t="shared" ref="AE5:AE11" si="17">AA5*G5</f>
        <v>78387.688400822473</v>
      </c>
      <c r="AF5" s="8">
        <f t="shared" ref="AF5:AF11" si="18">AB5/(AB5+AC5+AD5+AE5)</f>
        <v>2.8435413179034884E-2</v>
      </c>
      <c r="AG5" s="8">
        <f t="shared" ref="AG5:AG11" si="19">AC5/(AB5+AC5+AD5+AE5)</f>
        <v>3.3344272911353175E-2</v>
      </c>
      <c r="AH5" s="8">
        <f t="shared" ref="AH5:AH11" si="20">AD5/(AB5+AC5+AD5+AE5)</f>
        <v>5.0525204895354607E-2</v>
      </c>
      <c r="AI5" s="8">
        <f t="shared" ref="AI5:AI11" si="21">AE5/(AB5+AC5+AD5+AE5)</f>
        <v>0.88769510901425741</v>
      </c>
      <c r="AJ5" s="8">
        <f>LN((AVERAGE(H17:H19))/H5)/1.125</f>
        <v>0.23421315852003943</v>
      </c>
      <c r="AK5" s="8">
        <f t="shared" ref="AK5:AM5" si="22">LN((AVERAGE(I17:I19))/I5)/1.125</f>
        <v>0.45146352993755745</v>
      </c>
      <c r="AL5" s="8">
        <f t="shared" si="22"/>
        <v>0.23088835925067258</v>
      </c>
      <c r="AM5" s="8">
        <f t="shared" si="22"/>
        <v>-3.0239459005325261E-4</v>
      </c>
      <c r="AN5" s="16">
        <f>(AJ5*AF5)+(AK5*AG5)+(AH5*AL5)+(AI5*AM5)</f>
        <v>3.3110918546754728E-2</v>
      </c>
      <c r="AO5" s="42">
        <f>(AJ5*AF5)+(AK5*AG5)+(AH5*AL5)</f>
        <v>3.3379352745337369E-2</v>
      </c>
      <c r="AP5" s="6">
        <v>12</v>
      </c>
      <c r="AQ5" s="44">
        <f>I5/M5</f>
        <v>0.59761525715585306</v>
      </c>
      <c r="AR5" s="44">
        <f>J5/N5</f>
        <v>0.3124883677647497</v>
      </c>
      <c r="AS5" s="44">
        <f>LN((AVERAGE(AQ17:AQ19))/AQ5)/1.125</f>
        <v>0.26672331564604179</v>
      </c>
      <c r="AT5" s="44">
        <f>LN((AVERAGE(AR17:AR19))/AR5)/1.125</f>
        <v>0.2339930872338738</v>
      </c>
      <c r="AU5" s="8">
        <f>AC5/(AC5+AD5)</f>
        <v>0.39757339360334421</v>
      </c>
      <c r="AV5" s="8">
        <f>AD5/(AC5+AD5)</f>
        <v>0.60242660639665579</v>
      </c>
      <c r="AW5" s="52">
        <f>(AS5*AU5)+(AT5*AV5)</f>
        <v>0.24700575521711204</v>
      </c>
      <c r="AX5" s="46">
        <f>I5</f>
        <v>18394</v>
      </c>
      <c r="AY5" s="47">
        <f>J5</f>
        <v>167900</v>
      </c>
      <c r="AZ5" s="48">
        <f>LN((AVERAGE(AX17:AX19))/AX5)/1.125</f>
        <v>0.45146352993755745</v>
      </c>
      <c r="BA5" s="48">
        <f>LN((AVERAGE(AY17:AY19))/AY5)/1.125</f>
        <v>0.23088835925067258</v>
      </c>
      <c r="BB5" s="48">
        <f>(AZ5*AU5)+(BA5*AV5)</f>
        <v>0.31858317840529427</v>
      </c>
    </row>
    <row r="6" spans="1:54" x14ac:dyDescent="0.2">
      <c r="A6" s="5" t="s">
        <v>14</v>
      </c>
      <c r="B6" s="10">
        <v>20</v>
      </c>
      <c r="C6" s="6">
        <f t="shared" si="3"/>
        <v>0.84499999999999997</v>
      </c>
      <c r="D6" s="5">
        <v>22358</v>
      </c>
      <c r="E6" s="5">
        <v>23318</v>
      </c>
      <c r="F6" s="5">
        <v>1411</v>
      </c>
      <c r="G6" s="36">
        <v>308</v>
      </c>
      <c r="H6" s="5">
        <v>7816</v>
      </c>
      <c r="I6" s="5">
        <v>18794</v>
      </c>
      <c r="J6" s="7">
        <v>170900</v>
      </c>
      <c r="K6" s="7">
        <v>296700</v>
      </c>
      <c r="L6" s="5">
        <v>5488</v>
      </c>
      <c r="M6" s="5">
        <v>29417</v>
      </c>
      <c r="N6" s="7">
        <v>525500</v>
      </c>
      <c r="O6" s="7">
        <v>2937000</v>
      </c>
      <c r="P6" s="8">
        <f t="shared" si="4"/>
        <v>0.97435038644004557</v>
      </c>
      <c r="Q6" s="8">
        <f t="shared" si="5"/>
        <v>1.0757999075765992</v>
      </c>
      <c r="R6" s="8">
        <f t="shared" si="0"/>
        <v>3.1789961461985579</v>
      </c>
      <c r="S6" s="8">
        <f t="shared" si="0"/>
        <v>13.402804923029962</v>
      </c>
      <c r="T6" s="8">
        <f t="shared" si="6"/>
        <v>0.48408751602165562</v>
      </c>
      <c r="U6" s="8">
        <f t="shared" si="7"/>
        <v>0.65158774207495707</v>
      </c>
      <c r="V6" s="8">
        <f t="shared" si="8"/>
        <v>16.813123457870446</v>
      </c>
      <c r="W6" s="8">
        <f t="shared" si="9"/>
        <v>1259.9853258040794</v>
      </c>
      <c r="X6" s="8">
        <f t="shared" si="10"/>
        <v>0.12828319174573874</v>
      </c>
      <c r="Y6" s="8">
        <f t="shared" si="11"/>
        <v>0.14341679617771264</v>
      </c>
      <c r="Z6" s="8">
        <f t="shared" si="12"/>
        <v>3.2388946153878031</v>
      </c>
      <c r="AA6" s="8">
        <f t="shared" si="13"/>
        <v>203.35296181327888</v>
      </c>
      <c r="AB6" s="8">
        <f t="shared" si="14"/>
        <v>2868.1556010512268</v>
      </c>
      <c r="AC6" s="8">
        <f t="shared" si="15"/>
        <v>3344.1928532719035</v>
      </c>
      <c r="AD6" s="8">
        <f t="shared" si="16"/>
        <v>4570.0803023121898</v>
      </c>
      <c r="AE6" s="8">
        <f t="shared" si="17"/>
        <v>62632.712238489898</v>
      </c>
      <c r="AF6" s="8">
        <f t="shared" si="18"/>
        <v>3.9067630493846948E-2</v>
      </c>
      <c r="AG6" s="8">
        <f t="shared" si="19"/>
        <v>4.5551814080067747E-2</v>
      </c>
      <c r="AH6" s="8">
        <f t="shared" si="20"/>
        <v>6.2249833486196594E-2</v>
      </c>
      <c r="AI6" s="8">
        <f t="shared" si="21"/>
        <v>0.85313072193988881</v>
      </c>
      <c r="AJ6" s="8"/>
      <c r="AP6" s="10">
        <v>20</v>
      </c>
    </row>
    <row r="7" spans="1:54" x14ac:dyDescent="0.2">
      <c r="A7" s="5" t="s">
        <v>15</v>
      </c>
      <c r="B7" s="10">
        <v>30</v>
      </c>
      <c r="C7" s="6">
        <f t="shared" si="3"/>
        <v>0.84499999999999997</v>
      </c>
      <c r="D7" s="5">
        <v>23534</v>
      </c>
      <c r="E7" s="5">
        <v>24509</v>
      </c>
      <c r="F7" s="5">
        <v>1461</v>
      </c>
      <c r="G7" s="36">
        <v>347</v>
      </c>
      <c r="H7" s="5">
        <v>7941</v>
      </c>
      <c r="I7" s="5">
        <v>21126</v>
      </c>
      <c r="J7" s="7">
        <v>180300</v>
      </c>
      <c r="K7" s="7">
        <v>295900</v>
      </c>
      <c r="L7" s="5">
        <v>4683</v>
      </c>
      <c r="M7" s="5">
        <v>29348</v>
      </c>
      <c r="N7" s="7">
        <v>561300</v>
      </c>
      <c r="O7" s="7">
        <v>2727000</v>
      </c>
      <c r="P7" s="8">
        <f t="shared" si="4"/>
        <v>0.97093750397463019</v>
      </c>
      <c r="Q7" s="8">
        <f t="shared" si="5"/>
        <v>1.0755073747938493</v>
      </c>
      <c r="R7" s="8">
        <f t="shared" si="0"/>
        <v>3.3307740247847342</v>
      </c>
      <c r="S7" s="8">
        <f t="shared" si="0"/>
        <v>12.512487758138983</v>
      </c>
      <c r="T7" s="8">
        <f t="shared" si="6"/>
        <v>0.47901843532110505</v>
      </c>
      <c r="U7" s="8">
        <f t="shared" si="7"/>
        <v>0.65105634507173149</v>
      </c>
      <c r="V7" s="8">
        <f t="shared" si="8"/>
        <v>19.338104603466146</v>
      </c>
      <c r="W7" s="8">
        <f t="shared" si="9"/>
        <v>1025.2018812572992</v>
      </c>
      <c r="X7" s="8">
        <f t="shared" si="10"/>
        <v>0.12693988536009285</v>
      </c>
      <c r="Y7" s="8">
        <f t="shared" si="11"/>
        <v>0.14330462737564706</v>
      </c>
      <c r="Z7" s="8">
        <f t="shared" si="12"/>
        <v>3.7039996329644276</v>
      </c>
      <c r="AA7" s="8">
        <f t="shared" si="13"/>
        <v>166.8653675017423</v>
      </c>
      <c r="AB7" s="8">
        <f t="shared" si="14"/>
        <v>2987.4032620644252</v>
      </c>
      <c r="AC7" s="8">
        <f t="shared" si="15"/>
        <v>3512.2531123497338</v>
      </c>
      <c r="AD7" s="8">
        <f t="shared" si="16"/>
        <v>5411.5434637610288</v>
      </c>
      <c r="AE7" s="8">
        <f t="shared" si="17"/>
        <v>57902.282523104579</v>
      </c>
      <c r="AF7" s="8">
        <f t="shared" si="18"/>
        <v>4.2791208245490861E-2</v>
      </c>
      <c r="AG7" s="8">
        <f t="shared" si="19"/>
        <v>5.0309094942063995E-2</v>
      </c>
      <c r="AH7" s="8">
        <f t="shared" si="20"/>
        <v>7.7514303551807939E-2</v>
      </c>
      <c r="AI7" s="8">
        <f t="shared" si="21"/>
        <v>0.82938539326063732</v>
      </c>
      <c r="AJ7" s="8"/>
      <c r="AP7" s="10">
        <v>30</v>
      </c>
    </row>
    <row r="8" spans="1:54" x14ac:dyDescent="0.2">
      <c r="A8" s="5" t="s">
        <v>16</v>
      </c>
      <c r="B8" s="10">
        <v>40</v>
      </c>
      <c r="C8" s="6">
        <f t="shared" si="3"/>
        <v>0.84499999999999997</v>
      </c>
      <c r="D8" s="5">
        <v>43678</v>
      </c>
      <c r="E8" s="5">
        <v>32202</v>
      </c>
      <c r="F8" s="5">
        <v>1153</v>
      </c>
      <c r="G8" s="36">
        <v>274</v>
      </c>
      <c r="H8" s="5">
        <v>11890</v>
      </c>
      <c r="I8" s="5">
        <v>29696</v>
      </c>
      <c r="J8" s="7">
        <v>225800</v>
      </c>
      <c r="K8" s="7">
        <v>296400</v>
      </c>
      <c r="L8" s="5">
        <v>7162</v>
      </c>
      <c r="M8" s="5">
        <v>27478</v>
      </c>
      <c r="N8" s="7">
        <v>472700</v>
      </c>
      <c r="O8" s="7">
        <v>2779000</v>
      </c>
      <c r="P8" s="8">
        <f t="shared" si="4"/>
        <v>0.98144748612589083</v>
      </c>
      <c r="Q8" s="8">
        <f t="shared" si="5"/>
        <v>1.0675793124207724</v>
      </c>
      <c r="R8" s="8">
        <f t="shared" si="0"/>
        <v>2.955144973311683</v>
      </c>
      <c r="S8" s="8">
        <f t="shared" si="0"/>
        <v>12.732947246588177</v>
      </c>
      <c r="T8" s="8">
        <f t="shared" si="6"/>
        <v>0.4947429320635276</v>
      </c>
      <c r="U8" s="8">
        <f t="shared" si="7"/>
        <v>0.63676450402222451</v>
      </c>
      <c r="V8" s="8">
        <f t="shared" si="8"/>
        <v>13.505627638371683</v>
      </c>
      <c r="W8" s="8">
        <f t="shared" si="9"/>
        <v>1080.3518426561486</v>
      </c>
      <c r="X8" s="8">
        <f t="shared" si="10"/>
        <v>0.13110687699683482</v>
      </c>
      <c r="Y8" s="8">
        <f t="shared" si="11"/>
        <v>0.14028644609359261</v>
      </c>
      <c r="Z8" s="8">
        <f t="shared" si="12"/>
        <v>2.6252076796049897</v>
      </c>
      <c r="AA8" s="8">
        <f t="shared" si="13"/>
        <v>175.46441108826031</v>
      </c>
      <c r="AB8" s="8">
        <f t="shared" si="14"/>
        <v>5726.4861734677515</v>
      </c>
      <c r="AC8" s="8">
        <f t="shared" si="15"/>
        <v>4517.5041371058696</v>
      </c>
      <c r="AD8" s="8">
        <f t="shared" si="16"/>
        <v>3026.8644545845532</v>
      </c>
      <c r="AE8" s="8">
        <f t="shared" si="17"/>
        <v>48077.248638183322</v>
      </c>
      <c r="AF8" s="8">
        <f t="shared" si="18"/>
        <v>9.3344143596717E-2</v>
      </c>
      <c r="AG8" s="8">
        <f t="shared" si="19"/>
        <v>7.3637225708591519E-2</v>
      </c>
      <c r="AH8" s="8">
        <f t="shared" si="20"/>
        <v>4.9339169210888538E-2</v>
      </c>
      <c r="AI8" s="8">
        <f t="shared" si="21"/>
        <v>0.78367946148380296</v>
      </c>
      <c r="AJ8" s="8"/>
      <c r="AP8" s="10">
        <v>40</v>
      </c>
    </row>
    <row r="9" spans="1:54" x14ac:dyDescent="0.2">
      <c r="A9" s="5" t="s">
        <v>17</v>
      </c>
      <c r="B9" s="10">
        <v>50</v>
      </c>
      <c r="C9" s="6">
        <f t="shared" si="3"/>
        <v>0.84499999999999997</v>
      </c>
      <c r="D9" s="5">
        <v>32500</v>
      </c>
      <c r="E9" s="5">
        <v>17930</v>
      </c>
      <c r="F9" s="5">
        <v>809</v>
      </c>
      <c r="G9" s="36">
        <v>150</v>
      </c>
      <c r="H9" s="5">
        <v>15580</v>
      </c>
      <c r="I9" s="5">
        <v>42433</v>
      </c>
      <c r="J9" s="7">
        <v>248800</v>
      </c>
      <c r="K9" s="7">
        <v>296400</v>
      </c>
      <c r="L9" s="5">
        <v>5089</v>
      </c>
      <c r="M9" s="5">
        <v>32255</v>
      </c>
      <c r="N9" s="7">
        <v>440400</v>
      </c>
      <c r="O9" s="7">
        <v>2707000</v>
      </c>
      <c r="P9" s="8">
        <f t="shared" si="4"/>
        <v>0.97265878382675275</v>
      </c>
      <c r="Q9" s="8">
        <f t="shared" si="5"/>
        <v>1.0878319081192687</v>
      </c>
      <c r="R9" s="8">
        <f t="shared" si="0"/>
        <v>2.8182057141403565</v>
      </c>
      <c r="S9" s="8">
        <f t="shared" si="0"/>
        <v>12.427695647196984</v>
      </c>
      <c r="T9" s="8">
        <f t="shared" si="6"/>
        <v>0.48157056878287124</v>
      </c>
      <c r="U9" s="8">
        <f t="shared" si="7"/>
        <v>0.67369570353227237</v>
      </c>
      <c r="V9" s="8">
        <f t="shared" si="8"/>
        <v>11.71376403099557</v>
      </c>
      <c r="W9" s="8">
        <f t="shared" si="9"/>
        <v>1004.5006552178775</v>
      </c>
      <c r="X9" s="8">
        <f t="shared" si="10"/>
        <v>0.12761620072746088</v>
      </c>
      <c r="Y9" s="8">
        <f t="shared" si="11"/>
        <v>0.14808012173763468</v>
      </c>
      <c r="Z9" s="8">
        <f t="shared" si="12"/>
        <v>2.2902343059536294</v>
      </c>
      <c r="AA9" s="8">
        <f t="shared" si="13"/>
        <v>163.6327635634533</v>
      </c>
      <c r="AB9" s="8">
        <f t="shared" si="14"/>
        <v>4147.5265236424784</v>
      </c>
      <c r="AC9" s="8">
        <f t="shared" si="15"/>
        <v>2655.0765827557898</v>
      </c>
      <c r="AD9" s="8">
        <f t="shared" si="16"/>
        <v>1852.7995535164862</v>
      </c>
      <c r="AE9" s="8">
        <f t="shared" si="17"/>
        <v>24544.914534517993</v>
      </c>
      <c r="AF9" s="8">
        <f t="shared" si="18"/>
        <v>0.12492430416712896</v>
      </c>
      <c r="AG9" s="8">
        <f t="shared" si="19"/>
        <v>7.9971422176683626E-2</v>
      </c>
      <c r="AH9" s="8">
        <f t="shared" si="20"/>
        <v>5.5806682287576938E-2</v>
      </c>
      <c r="AI9" s="8">
        <f t="shared" si="21"/>
        <v>0.73929759136861051</v>
      </c>
      <c r="AJ9" s="8"/>
      <c r="AP9" s="10">
        <v>50</v>
      </c>
    </row>
    <row r="10" spans="1:54" x14ac:dyDescent="0.2">
      <c r="A10" s="5" t="s">
        <v>18</v>
      </c>
      <c r="B10" s="10">
        <v>70</v>
      </c>
      <c r="C10" s="6">
        <f t="shared" si="3"/>
        <v>0.84499999999999997</v>
      </c>
      <c r="D10" s="5">
        <v>11140</v>
      </c>
      <c r="E10" s="5">
        <v>6418</v>
      </c>
      <c r="F10" s="5">
        <v>654</v>
      </c>
      <c r="G10" s="36">
        <v>85</v>
      </c>
      <c r="H10" s="5">
        <v>23650</v>
      </c>
      <c r="I10" s="5">
        <v>67687</v>
      </c>
      <c r="J10" s="7">
        <v>277000</v>
      </c>
      <c r="K10" s="7">
        <v>295100</v>
      </c>
      <c r="L10" s="5">
        <v>9655</v>
      </c>
      <c r="M10" s="5">
        <v>45720</v>
      </c>
      <c r="N10" s="7">
        <v>385000</v>
      </c>
      <c r="O10" s="7">
        <v>2282000</v>
      </c>
      <c r="P10" s="8">
        <f t="shared" si="4"/>
        <v>0.99201682275481085</v>
      </c>
      <c r="Q10" s="8">
        <f t="shared" si="5"/>
        <v>1.1449181968109687</v>
      </c>
      <c r="R10" s="8">
        <f t="shared" si="0"/>
        <v>2.5833315668310219</v>
      </c>
      <c r="S10" s="8">
        <f t="shared" si="0"/>
        <v>10.625863289679529</v>
      </c>
      <c r="T10" s="8">
        <f t="shared" si="6"/>
        <v>0.51089953665523513</v>
      </c>
      <c r="U10" s="8">
        <f t="shared" si="7"/>
        <v>0.78541966618516312</v>
      </c>
      <c r="V10" s="8">
        <f t="shared" si="8"/>
        <v>9.0223329574113968</v>
      </c>
      <c r="W10" s="8">
        <f t="shared" si="9"/>
        <v>627.87193317179367</v>
      </c>
      <c r="X10" s="8">
        <f t="shared" si="10"/>
        <v>0.13538837721363731</v>
      </c>
      <c r="Y10" s="8">
        <f t="shared" si="11"/>
        <v>0.171554691336712</v>
      </c>
      <c r="Z10" s="8">
        <f t="shared" si="12"/>
        <v>1.7829976766829188</v>
      </c>
      <c r="AA10" s="8">
        <f t="shared" si="13"/>
        <v>104.26975569958006</v>
      </c>
      <c r="AB10" s="8">
        <f t="shared" si="14"/>
        <v>1508.2265221599196</v>
      </c>
      <c r="AC10" s="8">
        <f t="shared" si="15"/>
        <v>1101.0380089990176</v>
      </c>
      <c r="AD10" s="8">
        <f t="shared" si="16"/>
        <v>1166.0804805506289</v>
      </c>
      <c r="AE10" s="8">
        <f t="shared" si="17"/>
        <v>8862.9292344643054</v>
      </c>
      <c r="AF10" s="8">
        <f t="shared" si="18"/>
        <v>0.11933801188216202</v>
      </c>
      <c r="AG10" s="8">
        <f t="shared" si="19"/>
        <v>8.7119331924004381E-2</v>
      </c>
      <c r="AH10" s="8">
        <f t="shared" si="20"/>
        <v>9.2265799731608908E-2</v>
      </c>
      <c r="AI10" s="8">
        <f t="shared" si="21"/>
        <v>0.70127685646222471</v>
      </c>
      <c r="AJ10" s="8"/>
      <c r="AP10" s="10">
        <v>70</v>
      </c>
    </row>
    <row r="11" spans="1:54" x14ac:dyDescent="0.2">
      <c r="A11" s="5" t="s">
        <v>19</v>
      </c>
      <c r="B11" s="10">
        <v>100</v>
      </c>
      <c r="C11" s="6">
        <f t="shared" si="3"/>
        <v>0.84499999999999997</v>
      </c>
      <c r="D11" s="5">
        <v>2327</v>
      </c>
      <c r="E11" s="5">
        <v>930</v>
      </c>
      <c r="F11" s="5">
        <v>116</v>
      </c>
      <c r="G11" s="36">
        <v>25</v>
      </c>
      <c r="H11" s="5">
        <v>26008</v>
      </c>
      <c r="I11" s="5">
        <v>76956</v>
      </c>
      <c r="J11" s="7">
        <v>265100</v>
      </c>
      <c r="K11" s="7">
        <v>289200</v>
      </c>
      <c r="L11" s="5">
        <v>25164</v>
      </c>
      <c r="M11" s="5">
        <v>57749</v>
      </c>
      <c r="N11" s="7">
        <v>336100</v>
      </c>
      <c r="O11" s="7">
        <v>1705000</v>
      </c>
      <c r="P11" s="8">
        <f t="shared" si="4"/>
        <v>1.0577688651847832</v>
      </c>
      <c r="Q11" s="8">
        <f t="shared" si="5"/>
        <v>1.1959164119370334</v>
      </c>
      <c r="R11" s="8">
        <f t="shared" si="0"/>
        <v>2.3760148555778371</v>
      </c>
      <c r="S11" s="8">
        <f t="shared" si="0"/>
        <v>8.1796108890028876</v>
      </c>
      <c r="T11" s="8">
        <f t="shared" si="6"/>
        <v>0.61937081401317429</v>
      </c>
      <c r="U11" s="8">
        <f t="shared" si="7"/>
        <v>0.8951192054727215</v>
      </c>
      <c r="V11" s="8">
        <f t="shared" si="8"/>
        <v>7.0198180028197017</v>
      </c>
      <c r="W11" s="8">
        <f t="shared" si="9"/>
        <v>286.40218762052751</v>
      </c>
      <c r="X11" s="8">
        <f t="shared" si="10"/>
        <v>0.16413326571349121</v>
      </c>
      <c r="Y11" s="8">
        <f t="shared" si="11"/>
        <v>0.19447051283042283</v>
      </c>
      <c r="Z11" s="8">
        <f t="shared" si="12"/>
        <v>1.4016077580976412</v>
      </c>
      <c r="AA11" s="8">
        <f t="shared" si="13"/>
        <v>49.117957765869491</v>
      </c>
      <c r="AB11" s="8">
        <f t="shared" si="14"/>
        <v>381.93810931529407</v>
      </c>
      <c r="AC11" s="8">
        <f t="shared" si="15"/>
        <v>180.85757693229323</v>
      </c>
      <c r="AD11" s="8">
        <f t="shared" si="16"/>
        <v>162.58649993932639</v>
      </c>
      <c r="AE11" s="8">
        <f t="shared" si="17"/>
        <v>1227.9489441467372</v>
      </c>
      <c r="AF11" s="8">
        <f t="shared" si="18"/>
        <v>0.19553167580452924</v>
      </c>
      <c r="AG11" s="8">
        <f t="shared" si="19"/>
        <v>9.2589307631318368E-2</v>
      </c>
      <c r="AH11" s="8">
        <f t="shared" si="20"/>
        <v>8.3235503399546384E-2</v>
      </c>
      <c r="AI11" s="8">
        <f t="shared" si="21"/>
        <v>0.62864351316460598</v>
      </c>
      <c r="AJ11" s="8"/>
      <c r="AP11" s="10">
        <v>100</v>
      </c>
    </row>
    <row r="13" spans="1:54" x14ac:dyDescent="0.2">
      <c r="A13" s="5" t="s">
        <v>40</v>
      </c>
      <c r="B13" s="5" t="s">
        <v>114</v>
      </c>
      <c r="D13" s="5" t="s">
        <v>0</v>
      </c>
      <c r="E13" s="5" t="s">
        <v>1</v>
      </c>
      <c r="F13" s="5" t="s">
        <v>2</v>
      </c>
      <c r="G13" s="36" t="s">
        <v>3</v>
      </c>
      <c r="H13" s="5" t="s">
        <v>4</v>
      </c>
      <c r="I13" s="5" t="s">
        <v>5</v>
      </c>
      <c r="J13" s="5" t="s">
        <v>6</v>
      </c>
      <c r="K13" s="5" t="s">
        <v>7</v>
      </c>
      <c r="L13" s="5" t="s">
        <v>8</v>
      </c>
      <c r="M13" s="5" t="s">
        <v>9</v>
      </c>
      <c r="N13" s="5" t="s">
        <v>10</v>
      </c>
      <c r="O13" s="5" t="s">
        <v>11</v>
      </c>
      <c r="P13" s="4" t="s">
        <v>26</v>
      </c>
      <c r="Q13" s="4" t="s">
        <v>27</v>
      </c>
      <c r="R13" s="4" t="s">
        <v>28</v>
      </c>
      <c r="S13" s="4" t="s">
        <v>29</v>
      </c>
      <c r="T13" s="4"/>
      <c r="U13" s="4"/>
      <c r="V13" s="4"/>
      <c r="W13" s="4"/>
      <c r="X13" s="4"/>
      <c r="Y13" s="4"/>
      <c r="Z13" s="4"/>
      <c r="AA13" s="4"/>
      <c r="AB13" s="4"/>
      <c r="AC13" s="4"/>
      <c r="AD13" s="4"/>
      <c r="AE13" s="4"/>
      <c r="AF13" s="4"/>
      <c r="AG13" s="4"/>
      <c r="AH13" s="4"/>
      <c r="AI13" s="4"/>
      <c r="AJ13" s="4"/>
      <c r="AP13" s="5" t="s">
        <v>114</v>
      </c>
    </row>
    <row r="14" spans="1:54" x14ac:dyDescent="0.2">
      <c r="A14" s="5" t="s">
        <v>20</v>
      </c>
      <c r="B14" s="10">
        <v>5</v>
      </c>
      <c r="C14" s="6">
        <f>1-0.26-0.025</f>
        <v>0.71499999999999997</v>
      </c>
      <c r="D14" s="5">
        <v>7070</v>
      </c>
      <c r="E14" s="5">
        <v>6630</v>
      </c>
      <c r="F14" s="5">
        <v>357</v>
      </c>
      <c r="G14" s="36">
        <v>63</v>
      </c>
      <c r="H14" s="5">
        <v>9178</v>
      </c>
      <c r="I14" s="5">
        <v>31605</v>
      </c>
      <c r="J14" s="7">
        <v>224100</v>
      </c>
      <c r="K14" s="7">
        <v>292300</v>
      </c>
      <c r="L14" s="5">
        <v>8092</v>
      </c>
      <c r="M14" s="5">
        <v>38956</v>
      </c>
      <c r="N14" s="7">
        <v>639400</v>
      </c>
      <c r="O14" s="7">
        <v>2907000</v>
      </c>
      <c r="P14" s="8">
        <f t="shared" ref="P14:S19" si="23">(224333+L14)/235871</f>
        <v>0.98539031928469378</v>
      </c>
      <c r="Q14" s="8">
        <f t="shared" si="23"/>
        <v>1.1162415048903851</v>
      </c>
      <c r="R14" s="8">
        <f t="shared" si="23"/>
        <v>3.661887218013236</v>
      </c>
      <c r="S14" s="8">
        <f t="shared" si="23"/>
        <v>13.275616756616964</v>
      </c>
      <c r="T14" s="8">
        <f t="shared" ref="T14:T19" si="24">4/3*3.14*((P14/2)^3)</f>
        <v>0.50072960783373444</v>
      </c>
      <c r="U14" s="8">
        <f t="shared" ref="U14" si="25">4/3*3.14*((Q14/2)^3)</f>
        <v>0.72786845487126317</v>
      </c>
      <c r="V14" s="8">
        <f t="shared" ref="V14" si="26">4/3*3.14*((R14/2)^3)</f>
        <v>25.69764296479698</v>
      </c>
      <c r="W14" s="8">
        <f t="shared" ref="W14" si="27">4/3*3.14*((S14/2)^3)</f>
        <v>1224.4541218722063</v>
      </c>
      <c r="X14" s="8">
        <f t="shared" ref="X14" si="28">(T14*265)/1000</f>
        <v>0.13269334607593961</v>
      </c>
      <c r="Y14" s="8">
        <f t="shared" ref="Y14" si="29">(10^(-0.665+LOG(U14, 10)*0.959))</f>
        <v>0.15948091880472878</v>
      </c>
      <c r="Z14" s="8">
        <f t="shared" ref="Z14" si="30">(10^(-0.665+LOG(V14, 10)*0.959))</f>
        <v>4.8650540092890457</v>
      </c>
      <c r="AA14" s="8">
        <f t="shared" ref="AA14" si="31">(10^(-0.665+LOG(W14, 10)*0.959))</f>
        <v>197.85037342816329</v>
      </c>
      <c r="AB14" s="8"/>
      <c r="AC14" s="8"/>
      <c r="AD14" s="8"/>
      <c r="AE14" s="8"/>
      <c r="AF14" s="8"/>
      <c r="AG14" s="8"/>
      <c r="AH14" s="8"/>
      <c r="AI14" s="8"/>
      <c r="AJ14" s="8"/>
      <c r="AP14" s="10">
        <v>5</v>
      </c>
      <c r="AQ14" s="8">
        <f t="shared" ref="AQ14:AQ19" si="32">I14/M14</f>
        <v>0.81129992812403739</v>
      </c>
      <c r="AR14" s="8">
        <f t="shared" ref="AR14:AR19" si="33">J14/N14</f>
        <v>0.35048482952768223</v>
      </c>
      <c r="AX14" s="5">
        <f>I14</f>
        <v>31605</v>
      </c>
      <c r="AY14" s="5">
        <f>J14</f>
        <v>224100</v>
      </c>
    </row>
    <row r="15" spans="1:54" x14ac:dyDescent="0.2">
      <c r="A15" s="5" t="s">
        <v>21</v>
      </c>
      <c r="B15" s="10">
        <v>5</v>
      </c>
      <c r="C15" s="6">
        <f t="shared" ref="C15:C19" si="34">1-0.26-0.025</f>
        <v>0.71499999999999997</v>
      </c>
      <c r="D15" s="5">
        <v>24029</v>
      </c>
      <c r="E15" s="5">
        <v>25101</v>
      </c>
      <c r="F15" s="5">
        <v>1109</v>
      </c>
      <c r="G15" s="36">
        <v>244</v>
      </c>
      <c r="H15" s="5">
        <v>9956</v>
      </c>
      <c r="I15" s="5">
        <v>31087</v>
      </c>
      <c r="J15" s="7">
        <v>238900</v>
      </c>
      <c r="K15" s="7">
        <v>291500</v>
      </c>
      <c r="L15" s="5">
        <v>4358</v>
      </c>
      <c r="M15" s="5">
        <v>36908</v>
      </c>
      <c r="N15" s="7">
        <v>642000</v>
      </c>
      <c r="O15" s="7">
        <v>2207000</v>
      </c>
      <c r="P15" s="8">
        <f t="shared" si="23"/>
        <v>0.96955963217182273</v>
      </c>
      <c r="Q15" s="8">
        <f t="shared" si="23"/>
        <v>1.1075587927299244</v>
      </c>
      <c r="R15" s="8">
        <f t="shared" si="23"/>
        <v>3.6729101924356957</v>
      </c>
      <c r="S15" s="8">
        <f t="shared" si="23"/>
        <v>10.307892873647036</v>
      </c>
      <c r="T15" s="8">
        <f t="shared" si="24"/>
        <v>0.47698198153466825</v>
      </c>
      <c r="U15" s="8">
        <f t="shared" ref="U15:U19" si="35">4/3*3.14*((Q15/2)^3)</f>
        <v>0.71101500397508577</v>
      </c>
      <c r="V15" s="8">
        <f t="shared" ref="V15:V19" si="36">4/3*3.14*((R15/2)^3)</f>
        <v>25.930406547739263</v>
      </c>
      <c r="W15" s="8">
        <f t="shared" ref="W15:W19" si="37">4/3*3.14*((S15/2)^3)</f>
        <v>573.17611829818065</v>
      </c>
      <c r="X15" s="8">
        <f t="shared" ref="X15:X19" si="38">(T15*265)/1000</f>
        <v>0.12640022510668708</v>
      </c>
      <c r="Y15" s="8">
        <f t="shared" ref="Y15:Y19" si="39">(10^(-0.665+LOG(U15, 10)*0.959))</f>
        <v>0.15593791963590778</v>
      </c>
      <c r="Z15" s="8">
        <f t="shared" ref="Z15:Z19" si="40">(10^(-0.665+LOG(V15, 10)*0.959))</f>
        <v>4.9073060431386155</v>
      </c>
      <c r="AA15" s="8">
        <f t="shared" ref="AA15:AA19" si="41">(10^(-0.665+LOG(W15, 10)*0.959))</f>
        <v>95.542868362226301</v>
      </c>
      <c r="AB15" s="8"/>
      <c r="AC15" s="8"/>
      <c r="AD15" s="8"/>
      <c r="AE15" s="8"/>
      <c r="AF15" s="8"/>
      <c r="AG15" s="8"/>
      <c r="AH15" s="8"/>
      <c r="AI15" s="8"/>
      <c r="AJ15" s="8"/>
      <c r="AP15" s="10">
        <v>5</v>
      </c>
      <c r="AQ15" s="8">
        <f t="shared" si="32"/>
        <v>0.84228351576893901</v>
      </c>
      <c r="AR15" s="8">
        <f t="shared" si="33"/>
        <v>0.3721183800623053</v>
      </c>
      <c r="AX15" s="5">
        <f>I15</f>
        <v>31087</v>
      </c>
      <c r="AY15" s="5">
        <f>J15</f>
        <v>238900</v>
      </c>
    </row>
    <row r="16" spans="1:54" x14ac:dyDescent="0.2">
      <c r="A16" s="5" t="s">
        <v>22</v>
      </c>
      <c r="B16" s="10">
        <v>5</v>
      </c>
      <c r="C16" s="6">
        <f t="shared" si="34"/>
        <v>0.71499999999999997</v>
      </c>
      <c r="D16" s="5">
        <v>25570</v>
      </c>
      <c r="E16" s="5">
        <v>20102</v>
      </c>
      <c r="F16" s="5">
        <v>1398</v>
      </c>
      <c r="G16" s="36">
        <v>180</v>
      </c>
      <c r="H16" s="5">
        <v>8557</v>
      </c>
      <c r="I16" s="5">
        <v>28270</v>
      </c>
      <c r="J16" s="7">
        <v>205000</v>
      </c>
      <c r="K16" s="7">
        <v>287100</v>
      </c>
      <c r="L16" s="5">
        <v>3324</v>
      </c>
      <c r="M16" s="5">
        <v>42070</v>
      </c>
      <c r="N16" s="7">
        <v>517900</v>
      </c>
      <c r="O16" s="7">
        <v>2367000</v>
      </c>
      <c r="P16" s="8">
        <f t="shared" si="23"/>
        <v>0.96517588003612143</v>
      </c>
      <c r="Q16" s="8">
        <f t="shared" si="23"/>
        <v>1.1294436365640541</v>
      </c>
      <c r="R16" s="8">
        <f t="shared" si="23"/>
        <v>3.1467751440405984</v>
      </c>
      <c r="S16" s="8">
        <f t="shared" si="23"/>
        <v>10.98622976118302</v>
      </c>
      <c r="T16" s="8">
        <f t="shared" si="24"/>
        <v>0.47054133298776846</v>
      </c>
      <c r="U16" s="8">
        <f t="shared" si="35"/>
        <v>0.75400128559190371</v>
      </c>
      <c r="V16" s="8">
        <f t="shared" si="36"/>
        <v>16.307054809931316</v>
      </c>
      <c r="W16" s="8">
        <f t="shared" si="37"/>
        <v>693.94400776049565</v>
      </c>
      <c r="X16" s="8">
        <f t="shared" si="38"/>
        <v>0.12469345324175865</v>
      </c>
      <c r="Y16" s="8">
        <f t="shared" si="39"/>
        <v>0.16496804618120722</v>
      </c>
      <c r="Z16" s="8">
        <f t="shared" si="40"/>
        <v>3.1453438830364093</v>
      </c>
      <c r="AA16" s="8">
        <f t="shared" si="41"/>
        <v>114.7704615954824</v>
      </c>
      <c r="AB16" s="8"/>
      <c r="AC16" s="8"/>
      <c r="AD16" s="8"/>
      <c r="AE16" s="8"/>
      <c r="AF16" s="8"/>
      <c r="AG16" s="8"/>
      <c r="AH16" s="8"/>
      <c r="AI16" s="8"/>
      <c r="AJ16" s="8"/>
      <c r="AP16" s="10">
        <v>5</v>
      </c>
      <c r="AQ16" s="8">
        <f t="shared" si="32"/>
        <v>0.67197527929641077</v>
      </c>
      <c r="AR16" s="8">
        <f t="shared" si="33"/>
        <v>0.39582931067773702</v>
      </c>
      <c r="AX16" s="5">
        <f t="shared" ref="AX16:AX19" si="42">I16</f>
        <v>28270</v>
      </c>
      <c r="AY16" s="5">
        <f t="shared" ref="AY16:AY19" si="43">J16</f>
        <v>205000</v>
      </c>
    </row>
    <row r="17" spans="1:51" x14ac:dyDescent="0.2">
      <c r="A17" s="5" t="s">
        <v>23</v>
      </c>
      <c r="B17" s="10">
        <v>12</v>
      </c>
      <c r="C17" s="6">
        <f t="shared" si="34"/>
        <v>0.71499999999999997</v>
      </c>
      <c r="D17" s="5">
        <v>6306</v>
      </c>
      <c r="E17" s="5">
        <v>5873</v>
      </c>
      <c r="F17" s="5">
        <v>263</v>
      </c>
      <c r="G17" s="36">
        <v>63</v>
      </c>
      <c r="H17" s="5">
        <v>9521</v>
      </c>
      <c r="I17" s="5">
        <v>31370</v>
      </c>
      <c r="J17" s="7">
        <v>227200</v>
      </c>
      <c r="K17" s="7">
        <v>292200</v>
      </c>
      <c r="L17" s="5">
        <v>5031</v>
      </c>
      <c r="M17" s="5">
        <v>38628</v>
      </c>
      <c r="N17" s="7">
        <v>600100</v>
      </c>
      <c r="O17" s="7">
        <v>2222000</v>
      </c>
      <c r="P17" s="8">
        <f t="shared" si="23"/>
        <v>0.97241288670502102</v>
      </c>
      <c r="Q17" s="8">
        <f t="shared" si="23"/>
        <v>1.1148509142709362</v>
      </c>
      <c r="R17" s="8">
        <f t="shared" si="23"/>
        <v>3.49527072001221</v>
      </c>
      <c r="S17" s="8">
        <f t="shared" si="23"/>
        <v>10.371486956853534</v>
      </c>
      <c r="T17" s="8">
        <f t="shared" si="24"/>
        <v>0.48120542465092786</v>
      </c>
      <c r="U17" s="8">
        <f t="shared" si="35"/>
        <v>0.72515155186796865</v>
      </c>
      <c r="V17" s="8">
        <f t="shared" si="36"/>
        <v>22.34708363560582</v>
      </c>
      <c r="W17" s="8">
        <f t="shared" si="37"/>
        <v>583.85025502294616</v>
      </c>
      <c r="X17" s="8">
        <f t="shared" si="38"/>
        <v>0.12751943753249589</v>
      </c>
      <c r="Y17" s="8">
        <f t="shared" si="39"/>
        <v>0.15890999014259111</v>
      </c>
      <c r="Z17" s="8">
        <f t="shared" si="40"/>
        <v>4.2550316943039546</v>
      </c>
      <c r="AA17" s="8">
        <f t="shared" si="41"/>
        <v>97.248545340259639</v>
      </c>
      <c r="AB17" s="8"/>
      <c r="AC17" s="8"/>
      <c r="AD17" s="8"/>
      <c r="AE17" s="8"/>
      <c r="AF17" s="8"/>
      <c r="AG17" s="8"/>
      <c r="AH17" s="8"/>
      <c r="AI17" s="8"/>
      <c r="AJ17" s="8"/>
      <c r="AP17" s="10">
        <v>12</v>
      </c>
      <c r="AQ17" s="8">
        <f t="shared" si="32"/>
        <v>0.81210520865693281</v>
      </c>
      <c r="AR17" s="8">
        <f t="shared" si="33"/>
        <v>0.37860356607232126</v>
      </c>
      <c r="AX17" s="5">
        <f t="shared" si="42"/>
        <v>31370</v>
      </c>
      <c r="AY17" s="5">
        <f t="shared" si="43"/>
        <v>227200</v>
      </c>
    </row>
    <row r="18" spans="1:51" x14ac:dyDescent="0.2">
      <c r="A18" s="5" t="s">
        <v>24</v>
      </c>
      <c r="B18" s="10">
        <v>12</v>
      </c>
      <c r="C18" s="6">
        <f t="shared" si="34"/>
        <v>0.71499999999999997</v>
      </c>
      <c r="D18" s="5">
        <v>20929</v>
      </c>
      <c r="E18" s="5">
        <v>20294</v>
      </c>
      <c r="F18" s="5">
        <v>943</v>
      </c>
      <c r="G18" s="36">
        <v>150</v>
      </c>
      <c r="H18" s="5">
        <v>10204</v>
      </c>
      <c r="I18" s="5">
        <v>31727</v>
      </c>
      <c r="J18" s="7">
        <v>212900</v>
      </c>
      <c r="K18" s="7">
        <v>292500</v>
      </c>
      <c r="L18" s="5">
        <v>3656</v>
      </c>
      <c r="M18" s="5">
        <v>36808</v>
      </c>
      <c r="N18" s="7">
        <v>532500</v>
      </c>
      <c r="O18" s="7">
        <v>2328000</v>
      </c>
      <c r="P18" s="8">
        <f t="shared" si="23"/>
        <v>0.96658342907775863</v>
      </c>
      <c r="Q18" s="8">
        <f t="shared" si="23"/>
        <v>1.1071348321752144</v>
      </c>
      <c r="R18" s="8">
        <f t="shared" si="23"/>
        <v>3.2086733850282569</v>
      </c>
      <c r="S18" s="8">
        <f t="shared" si="23"/>
        <v>10.820885144846123</v>
      </c>
      <c r="T18" s="8">
        <f t="shared" si="24"/>
        <v>0.47260295622627818</v>
      </c>
      <c r="U18" s="8">
        <f t="shared" si="35"/>
        <v>0.71019881179567279</v>
      </c>
      <c r="V18" s="8">
        <f t="shared" si="36"/>
        <v>17.28840522805427</v>
      </c>
      <c r="W18" s="8">
        <f t="shared" si="37"/>
        <v>663.08126876577012</v>
      </c>
      <c r="X18" s="8">
        <f t="shared" si="38"/>
        <v>0.12523978339996372</v>
      </c>
      <c r="Y18" s="8">
        <f t="shared" si="39"/>
        <v>0.15576624970557335</v>
      </c>
      <c r="Z18" s="8">
        <f t="shared" si="40"/>
        <v>3.326649008332982</v>
      </c>
      <c r="AA18" s="8">
        <f t="shared" si="41"/>
        <v>109.87085967942826</v>
      </c>
      <c r="AB18" s="8"/>
      <c r="AC18" s="8"/>
      <c r="AD18" s="8"/>
      <c r="AE18" s="8"/>
      <c r="AF18" s="8"/>
      <c r="AG18" s="8"/>
      <c r="AH18" s="8"/>
      <c r="AI18" s="8"/>
      <c r="AJ18" s="8"/>
      <c r="AP18" s="10">
        <v>12</v>
      </c>
      <c r="AQ18" s="8">
        <f t="shared" si="32"/>
        <v>0.86195935666159529</v>
      </c>
      <c r="AR18" s="8">
        <f t="shared" si="33"/>
        <v>0.39981220657276995</v>
      </c>
      <c r="AX18" s="5">
        <f t="shared" si="42"/>
        <v>31727</v>
      </c>
      <c r="AY18" s="5">
        <f t="shared" si="43"/>
        <v>212900</v>
      </c>
    </row>
    <row r="19" spans="1:51" x14ac:dyDescent="0.2">
      <c r="A19" s="5" t="s">
        <v>25</v>
      </c>
      <c r="B19" s="10">
        <v>12</v>
      </c>
      <c r="C19" s="6">
        <f t="shared" si="34"/>
        <v>0.71499999999999997</v>
      </c>
      <c r="D19" s="5">
        <v>20844</v>
      </c>
      <c r="E19" s="5">
        <v>16265</v>
      </c>
      <c r="F19" s="5">
        <v>924</v>
      </c>
      <c r="G19" s="36">
        <v>224</v>
      </c>
      <c r="H19" s="5">
        <v>9433</v>
      </c>
      <c r="I19" s="5">
        <v>28604</v>
      </c>
      <c r="J19" s="7">
        <v>213000</v>
      </c>
      <c r="K19" s="7">
        <v>297000</v>
      </c>
      <c r="L19" s="5">
        <v>3875</v>
      </c>
      <c r="M19" s="5">
        <v>38334</v>
      </c>
      <c r="N19" s="7">
        <v>482600</v>
      </c>
      <c r="O19" s="7">
        <v>1890000</v>
      </c>
      <c r="P19" s="8">
        <f t="shared" si="23"/>
        <v>0.96751190269257348</v>
      </c>
      <c r="Q19" s="8">
        <f t="shared" si="23"/>
        <v>1.1136044702400889</v>
      </c>
      <c r="R19" s="8">
        <f t="shared" si="23"/>
        <v>2.997117068227972</v>
      </c>
      <c r="S19" s="8">
        <f t="shared" si="23"/>
        <v>8.9639379152163681</v>
      </c>
      <c r="T19" s="8">
        <f t="shared" si="24"/>
        <v>0.47396617329239743</v>
      </c>
      <c r="U19" s="8">
        <f t="shared" si="35"/>
        <v>0.72272203244362088</v>
      </c>
      <c r="V19" s="8">
        <f t="shared" si="36"/>
        <v>14.089303307723993</v>
      </c>
      <c r="W19" s="8">
        <f t="shared" si="37"/>
        <v>376.94233583192221</v>
      </c>
      <c r="X19" s="8">
        <f t="shared" si="38"/>
        <v>0.12560103592248531</v>
      </c>
      <c r="Y19" s="8">
        <f t="shared" si="39"/>
        <v>0.1583993778511491</v>
      </c>
      <c r="Z19" s="8">
        <f t="shared" si="40"/>
        <v>2.7339152545475018</v>
      </c>
      <c r="AA19" s="8">
        <f t="shared" si="41"/>
        <v>63.921601283866686</v>
      </c>
      <c r="AB19" s="8"/>
      <c r="AC19" s="8"/>
      <c r="AD19" s="8"/>
      <c r="AE19" s="8"/>
      <c r="AF19" s="8"/>
      <c r="AG19" s="8"/>
      <c r="AH19" s="8"/>
      <c r="AI19" s="8"/>
      <c r="AJ19" s="8"/>
      <c r="AP19" s="10">
        <v>12</v>
      </c>
      <c r="AQ19" s="8">
        <f t="shared" si="32"/>
        <v>0.7461783273334377</v>
      </c>
      <c r="AR19" s="8">
        <f t="shared" si="33"/>
        <v>0.44135930377123911</v>
      </c>
      <c r="AX19" s="5">
        <f t="shared" si="42"/>
        <v>28604</v>
      </c>
      <c r="AY19" s="5">
        <f t="shared" si="43"/>
        <v>213000</v>
      </c>
    </row>
    <row r="21" spans="1:51" s="28" customFormat="1" x14ac:dyDescent="0.2">
      <c r="AW21" s="71"/>
    </row>
    <row r="22" spans="1:51" x14ac:dyDescent="0.2">
      <c r="A22" s="4" t="s">
        <v>526</v>
      </c>
      <c r="S22" s="6" t="s">
        <v>538</v>
      </c>
      <c r="T22" s="6"/>
    </row>
    <row r="23" spans="1:51" x14ac:dyDescent="0.2">
      <c r="A23" s="4" t="s">
        <v>527</v>
      </c>
      <c r="L23" s="6"/>
      <c r="N23" s="6" t="s">
        <v>525</v>
      </c>
      <c r="R23" s="23" t="s">
        <v>530</v>
      </c>
      <c r="S23" s="23" t="s">
        <v>529</v>
      </c>
      <c r="T23" s="23" t="s">
        <v>537</v>
      </c>
    </row>
    <row r="24" spans="1:51" x14ac:dyDescent="0.2">
      <c r="L24" s="6"/>
      <c r="N24" s="27" t="s">
        <v>523</v>
      </c>
      <c r="R24" s="6" t="s">
        <v>536</v>
      </c>
      <c r="S24" s="23" t="s">
        <v>533</v>
      </c>
      <c r="T24" s="6" t="s">
        <v>532</v>
      </c>
    </row>
    <row r="25" spans="1:51" x14ac:dyDescent="0.2">
      <c r="L25" s="6"/>
      <c r="N25" s="27"/>
      <c r="R25" s="39" t="s">
        <v>551</v>
      </c>
      <c r="S25" s="39" t="s">
        <v>551</v>
      </c>
      <c r="T25" s="39" t="s">
        <v>551</v>
      </c>
      <c r="V25" s="39" t="s">
        <v>552</v>
      </c>
      <c r="W25" s="39" t="s">
        <v>552</v>
      </c>
      <c r="X25" s="39" t="s">
        <v>552</v>
      </c>
    </row>
    <row r="26" spans="1:51" x14ac:dyDescent="0.2">
      <c r="A26" s="4" t="s">
        <v>39</v>
      </c>
      <c r="B26" s="4" t="s">
        <v>114</v>
      </c>
      <c r="C26" s="4" t="s">
        <v>514</v>
      </c>
      <c r="D26" s="4" t="s">
        <v>515</v>
      </c>
      <c r="E26" s="4" t="s">
        <v>516</v>
      </c>
      <c r="F26" s="4" t="s">
        <v>517</v>
      </c>
      <c r="G26" s="4" t="s">
        <v>518</v>
      </c>
      <c r="H26" s="4" t="s">
        <v>0</v>
      </c>
      <c r="I26" s="4" t="s">
        <v>1</v>
      </c>
      <c r="J26" s="4" t="s">
        <v>2</v>
      </c>
      <c r="K26" s="4" t="s">
        <v>3</v>
      </c>
      <c r="L26" s="6" t="s">
        <v>519</v>
      </c>
      <c r="M26" s="4" t="s">
        <v>520</v>
      </c>
      <c r="N26" s="4" t="s">
        <v>521</v>
      </c>
      <c r="O26" s="4" t="s">
        <v>522</v>
      </c>
      <c r="P26" s="4" t="s">
        <v>524</v>
      </c>
      <c r="Q26" s="4" t="s">
        <v>528</v>
      </c>
      <c r="R26" s="6" t="s">
        <v>534</v>
      </c>
      <c r="S26" s="6" t="s">
        <v>529</v>
      </c>
      <c r="T26" s="6" t="s">
        <v>531</v>
      </c>
      <c r="V26" s="6" t="s">
        <v>534</v>
      </c>
      <c r="W26" s="6" t="s">
        <v>529</v>
      </c>
      <c r="X26" s="6" t="s">
        <v>531</v>
      </c>
    </row>
    <row r="27" spans="1:51" x14ac:dyDescent="0.2">
      <c r="A27" s="5" t="s">
        <v>12</v>
      </c>
      <c r="B27" s="6">
        <v>5</v>
      </c>
      <c r="C27" s="6">
        <f>0.87-0.025</f>
        <v>0.84499999999999997</v>
      </c>
      <c r="D27" s="12">
        <f>H27/$C27</f>
        <v>24328.994082840236</v>
      </c>
      <c r="E27" s="12">
        <f t="shared" ref="E27:F27" si="44">I27/$C27</f>
        <v>21123.076923076922</v>
      </c>
      <c r="F27" s="12">
        <f t="shared" si="44"/>
        <v>1422.4852071005917</v>
      </c>
      <c r="G27" s="12">
        <f>K27/$C27</f>
        <v>366.8639053254438</v>
      </c>
      <c r="H27" s="5">
        <v>20558</v>
      </c>
      <c r="I27" s="5">
        <v>17849</v>
      </c>
      <c r="J27" s="5">
        <v>1202</v>
      </c>
      <c r="K27" s="36">
        <v>310</v>
      </c>
      <c r="L27" s="26">
        <f t="shared" ref="L27:O34" si="45">X4*D27*1000/1000000</f>
        <v>3.1539530835638527</v>
      </c>
      <c r="M27" s="26">
        <f t="shared" si="45"/>
        <v>3.1314513579364682</v>
      </c>
      <c r="N27" s="26">
        <f t="shared" si="45"/>
        <v>6.6721728030655543</v>
      </c>
      <c r="O27" s="26">
        <f t="shared" si="45"/>
        <v>90.073227417573207</v>
      </c>
      <c r="P27" s="26">
        <f>SUM(L27:O27)</f>
        <v>103.03080466213908</v>
      </c>
      <c r="Q27" s="26">
        <f>SUM(L27:N27)</f>
        <v>12.957577244565876</v>
      </c>
      <c r="R27" s="26">
        <f>(LN(L37/(L27*0.25)))/1.125</f>
        <v>0.45267242897319299</v>
      </c>
      <c r="S27" s="26">
        <f>(R27-R28)/(1-0.25)</f>
        <v>0.25064407899128566</v>
      </c>
      <c r="T27" s="26">
        <f>S27+R29</f>
        <v>0.55850095422519752</v>
      </c>
      <c r="V27" s="26">
        <f>(LN(L40/(L28*0.25)))/1.125</f>
        <v>0.36861304875062828</v>
      </c>
      <c r="W27" s="26">
        <f>(V27-V28)/(1-0.25)</f>
        <v>0.24260598811512035</v>
      </c>
      <c r="X27" s="26">
        <f>W27+V29</f>
        <v>0.42820740342623592</v>
      </c>
    </row>
    <row r="28" spans="1:51" x14ac:dyDescent="0.2">
      <c r="A28" s="5" t="s">
        <v>13</v>
      </c>
      <c r="B28" s="6">
        <v>12</v>
      </c>
      <c r="C28" s="6">
        <f t="shared" ref="C28:C34" si="46">0.87-0.025</f>
        <v>0.84499999999999997</v>
      </c>
      <c r="D28" s="12">
        <f t="shared" ref="D28:D34" si="47">H28/$C28</f>
        <v>22879.289940828403</v>
      </c>
      <c r="E28" s="12">
        <f t="shared" ref="E28:E34" si="48">I28/$C28</f>
        <v>23925.44378698225</v>
      </c>
      <c r="F28" s="12">
        <f t="shared" ref="F28:F34" si="49">J28/$C28</f>
        <v>1558.5798816568047</v>
      </c>
      <c r="G28" s="12">
        <f t="shared" ref="G28:G34" si="50">K28/$C28</f>
        <v>418.93491124260356</v>
      </c>
      <c r="H28" s="5">
        <v>19333</v>
      </c>
      <c r="I28" s="5">
        <v>20217</v>
      </c>
      <c r="J28" s="5">
        <v>1317</v>
      </c>
      <c r="K28" s="36">
        <v>354</v>
      </c>
      <c r="L28" s="26">
        <f t="shared" si="45"/>
        <v>2.9715761548570234</v>
      </c>
      <c r="M28" s="26">
        <f t="shared" si="45"/>
        <v>3.4845650267349164</v>
      </c>
      <c r="N28" s="26">
        <f t="shared" si="45"/>
        <v>5.2800180233356793</v>
      </c>
      <c r="O28" s="26">
        <f t="shared" si="45"/>
        <v>92.766495148902337</v>
      </c>
      <c r="P28" s="26">
        <f t="shared" ref="P28:P34" si="51">SUM(L28:O28)</f>
        <v>104.50265435382995</v>
      </c>
      <c r="Q28" s="26">
        <f t="shared" ref="Q28:Q34" si="52">SUM(L28:N28)</f>
        <v>11.73615920492762</v>
      </c>
      <c r="R28" s="26">
        <f>(LN(L38/L27))/1.125</f>
        <v>0.26468936972972873</v>
      </c>
      <c r="V28" s="26">
        <f>(LN(L41/L28))/1.125</f>
        <v>0.18665855766428802</v>
      </c>
    </row>
    <row r="29" spans="1:51" x14ac:dyDescent="0.2">
      <c r="A29" s="5" t="s">
        <v>14</v>
      </c>
      <c r="B29" s="10">
        <v>20</v>
      </c>
      <c r="C29" s="6">
        <f t="shared" si="46"/>
        <v>0.84499999999999997</v>
      </c>
      <c r="D29" s="12">
        <f t="shared" si="47"/>
        <v>26459.171597633136</v>
      </c>
      <c r="E29" s="12">
        <f t="shared" si="48"/>
        <v>27595.26627218935</v>
      </c>
      <c r="F29" s="12">
        <f t="shared" si="49"/>
        <v>1669.8224852071007</v>
      </c>
      <c r="G29" s="12">
        <f t="shared" si="50"/>
        <v>364.49704142011836</v>
      </c>
      <c r="H29" s="5">
        <v>22358</v>
      </c>
      <c r="I29" s="5">
        <v>23318</v>
      </c>
      <c r="J29" s="5">
        <v>1411</v>
      </c>
      <c r="K29" s="36">
        <v>308</v>
      </c>
      <c r="L29" s="26">
        <f t="shared" si="45"/>
        <v>3.3942669834925763</v>
      </c>
      <c r="M29" s="26">
        <f t="shared" si="45"/>
        <v>3.9576246784282882</v>
      </c>
      <c r="N29" s="26">
        <f t="shared" si="45"/>
        <v>5.4083790559907587</v>
      </c>
      <c r="O29" s="26">
        <f t="shared" si="45"/>
        <v>74.121552944958466</v>
      </c>
      <c r="P29" s="26">
        <f t="shared" si="51"/>
        <v>86.88182366287009</v>
      </c>
      <c r="Q29" s="26">
        <f t="shared" si="52"/>
        <v>12.760270717911624</v>
      </c>
      <c r="R29" s="26">
        <f>LN(L39/L27)/1.125</f>
        <v>0.30785687523391192</v>
      </c>
      <c r="V29" s="26">
        <f>LN(L42/L28)/1.125</f>
        <v>0.18560141531111557</v>
      </c>
    </row>
    <row r="30" spans="1:51" x14ac:dyDescent="0.2">
      <c r="A30" s="5" t="s">
        <v>15</v>
      </c>
      <c r="B30" s="10">
        <v>30</v>
      </c>
      <c r="C30" s="6">
        <f t="shared" si="46"/>
        <v>0.84499999999999997</v>
      </c>
      <c r="D30" s="12">
        <f t="shared" si="47"/>
        <v>27850.887573964497</v>
      </c>
      <c r="E30" s="12">
        <f t="shared" si="48"/>
        <v>29004.733727810653</v>
      </c>
      <c r="F30" s="12">
        <f t="shared" si="49"/>
        <v>1728.9940828402368</v>
      </c>
      <c r="G30" s="12">
        <f t="shared" si="50"/>
        <v>410.6508875739645</v>
      </c>
      <c r="H30" s="5">
        <v>23534</v>
      </c>
      <c r="I30" s="5">
        <v>24509</v>
      </c>
      <c r="J30" s="5">
        <v>1461</v>
      </c>
      <c r="K30" s="36">
        <v>347</v>
      </c>
      <c r="L30" s="26">
        <f t="shared" si="45"/>
        <v>3.5353884758158882</v>
      </c>
      <c r="M30" s="26">
        <f t="shared" si="45"/>
        <v>4.1565125589937679</v>
      </c>
      <c r="N30" s="26">
        <f t="shared" si="45"/>
        <v>6.4041934482379039</v>
      </c>
      <c r="O30" s="26">
        <f t="shared" si="45"/>
        <v>68.523411269946251</v>
      </c>
      <c r="P30" s="26">
        <f t="shared" si="51"/>
        <v>82.619505752993817</v>
      </c>
      <c r="Q30" s="26">
        <f t="shared" si="52"/>
        <v>14.09609448304756</v>
      </c>
      <c r="R30" s="5" t="s">
        <v>535</v>
      </c>
      <c r="V30" s="5" t="s">
        <v>535</v>
      </c>
    </row>
    <row r="31" spans="1:51" x14ac:dyDescent="0.2">
      <c r="A31" s="5" t="s">
        <v>16</v>
      </c>
      <c r="B31" s="10">
        <v>40</v>
      </c>
      <c r="C31" s="6">
        <f t="shared" si="46"/>
        <v>0.84499999999999997</v>
      </c>
      <c r="D31" s="12">
        <f t="shared" si="47"/>
        <v>51689.940828402367</v>
      </c>
      <c r="E31" s="12">
        <f t="shared" si="48"/>
        <v>38108.875739644973</v>
      </c>
      <c r="F31" s="12">
        <f t="shared" si="49"/>
        <v>1364.4970414201184</v>
      </c>
      <c r="G31" s="12">
        <f t="shared" si="50"/>
        <v>324.26035502958581</v>
      </c>
      <c r="H31" s="5">
        <v>43678</v>
      </c>
      <c r="I31" s="5">
        <v>32202</v>
      </c>
      <c r="J31" s="5">
        <v>1153</v>
      </c>
      <c r="K31" s="36">
        <v>274</v>
      </c>
      <c r="L31" s="26">
        <f t="shared" si="45"/>
        <v>6.7769067141630197</v>
      </c>
      <c r="M31" s="26">
        <f t="shared" si="45"/>
        <v>5.3461587421371242</v>
      </c>
      <c r="N31" s="26">
        <f t="shared" si="45"/>
        <v>3.5820881119343824</v>
      </c>
      <c r="O31" s="26">
        <f t="shared" si="45"/>
        <v>56.89615223453648</v>
      </c>
      <c r="P31" s="26">
        <f t="shared" si="51"/>
        <v>72.601305802771009</v>
      </c>
      <c r="Q31" s="26">
        <f t="shared" si="52"/>
        <v>15.705153568234525</v>
      </c>
      <c r="R31" s="6" t="s">
        <v>539</v>
      </c>
      <c r="S31" s="6" t="s">
        <v>540</v>
      </c>
      <c r="T31" s="6" t="s">
        <v>541</v>
      </c>
      <c r="V31" s="6" t="s">
        <v>539</v>
      </c>
      <c r="W31" s="6" t="s">
        <v>540</v>
      </c>
      <c r="X31" s="6" t="s">
        <v>541</v>
      </c>
    </row>
    <row r="32" spans="1:51" x14ac:dyDescent="0.2">
      <c r="A32" s="5" t="s">
        <v>17</v>
      </c>
      <c r="B32" s="10">
        <v>50</v>
      </c>
      <c r="C32" s="6">
        <f t="shared" si="46"/>
        <v>0.84499999999999997</v>
      </c>
      <c r="D32" s="12">
        <f t="shared" si="47"/>
        <v>38461.538461538461</v>
      </c>
      <c r="E32" s="12">
        <f t="shared" si="48"/>
        <v>21218.934911242603</v>
      </c>
      <c r="F32" s="12">
        <f t="shared" si="49"/>
        <v>957.39644970414201</v>
      </c>
      <c r="G32" s="12">
        <f t="shared" si="50"/>
        <v>177.51479289940829</v>
      </c>
      <c r="H32" s="5">
        <v>32500</v>
      </c>
      <c r="I32" s="5">
        <v>17930</v>
      </c>
      <c r="J32" s="5">
        <v>809</v>
      </c>
      <c r="K32" s="36">
        <v>150</v>
      </c>
      <c r="L32" s="26">
        <f t="shared" si="45"/>
        <v>4.9083154125946491</v>
      </c>
      <c r="M32" s="26">
        <f t="shared" si="45"/>
        <v>3.1421024647997511</v>
      </c>
      <c r="N32" s="26">
        <f t="shared" si="45"/>
        <v>2.1926621935106345</v>
      </c>
      <c r="O32" s="26">
        <f t="shared" si="45"/>
        <v>29.047236135524255</v>
      </c>
      <c r="P32" s="26">
        <f t="shared" si="51"/>
        <v>39.290316206429289</v>
      </c>
      <c r="Q32" s="26">
        <f t="shared" si="52"/>
        <v>10.243080070905034</v>
      </c>
      <c r="R32" s="26">
        <f>(LN(M37/(M27*0.25)))/1.125</f>
        <v>0.56537272592224641</v>
      </c>
      <c r="S32" s="26">
        <f>(R32-R33)/(1-0.25)</f>
        <v>9.1801820553656377E-2</v>
      </c>
      <c r="T32" s="26">
        <f>S32+R34</f>
        <v>0.44095024351858758</v>
      </c>
      <c r="V32" s="26">
        <f>(LN(M40/(M28*0.25)))/1.125</f>
        <v>0.35944187886689982</v>
      </c>
      <c r="W32" s="26">
        <f>(V32-V33)/(1-0.25)</f>
        <v>0.19711540123635105</v>
      </c>
      <c r="X32" s="26">
        <f>W32+V34</f>
        <v>0.22690148609179597</v>
      </c>
    </row>
    <row r="33" spans="1:24" x14ac:dyDescent="0.2">
      <c r="A33" s="5" t="s">
        <v>18</v>
      </c>
      <c r="B33" s="10">
        <v>70</v>
      </c>
      <c r="C33" s="6">
        <f t="shared" si="46"/>
        <v>0.84499999999999997</v>
      </c>
      <c r="D33" s="12">
        <f t="shared" si="47"/>
        <v>13183.431952662722</v>
      </c>
      <c r="E33" s="12">
        <f t="shared" si="48"/>
        <v>7595.2662721893494</v>
      </c>
      <c r="F33" s="12">
        <f t="shared" si="49"/>
        <v>773.96449704142015</v>
      </c>
      <c r="G33" s="12">
        <f t="shared" si="50"/>
        <v>100.59171597633136</v>
      </c>
      <c r="H33" s="5">
        <v>11140</v>
      </c>
      <c r="I33" s="5">
        <v>6418</v>
      </c>
      <c r="J33" s="5">
        <v>654</v>
      </c>
      <c r="K33" s="36">
        <v>85</v>
      </c>
      <c r="L33" s="26">
        <f t="shared" si="45"/>
        <v>1.7848834581774196</v>
      </c>
      <c r="M33" s="26">
        <f t="shared" si="45"/>
        <v>1.303003560945583</v>
      </c>
      <c r="N33" s="26">
        <f t="shared" si="45"/>
        <v>1.3799769000599158</v>
      </c>
      <c r="O33" s="26">
        <f t="shared" si="45"/>
        <v>10.488673650253615</v>
      </c>
      <c r="P33" s="26">
        <f t="shared" si="51"/>
        <v>14.956537569436534</v>
      </c>
      <c r="Q33" s="26">
        <f t="shared" si="52"/>
        <v>4.4678639191829186</v>
      </c>
      <c r="R33" s="26">
        <f>(LN(M38/M27))/1.125</f>
        <v>0.49652136050700413</v>
      </c>
      <c r="V33" s="26">
        <f>(LN(M41/M28))/1.125</f>
        <v>0.21160532793963654</v>
      </c>
    </row>
    <row r="34" spans="1:24" x14ac:dyDescent="0.2">
      <c r="A34" s="5" t="s">
        <v>19</v>
      </c>
      <c r="B34" s="10">
        <v>100</v>
      </c>
      <c r="C34" s="6">
        <f t="shared" si="46"/>
        <v>0.84499999999999997</v>
      </c>
      <c r="D34" s="12">
        <f t="shared" si="47"/>
        <v>2753.8461538461538</v>
      </c>
      <c r="E34" s="12">
        <f t="shared" si="48"/>
        <v>1100.5917159763314</v>
      </c>
      <c r="F34" s="12">
        <f t="shared" si="49"/>
        <v>137.27810650887574</v>
      </c>
      <c r="G34" s="12">
        <f t="shared" si="50"/>
        <v>29.585798816568047</v>
      </c>
      <c r="H34" s="5">
        <v>2327</v>
      </c>
      <c r="I34" s="5">
        <v>930</v>
      </c>
      <c r="J34" s="5">
        <v>116</v>
      </c>
      <c r="K34" s="36">
        <v>25</v>
      </c>
      <c r="L34" s="26">
        <f t="shared" si="45"/>
        <v>0.45199776250330653</v>
      </c>
      <c r="M34" s="26">
        <f t="shared" si="45"/>
        <v>0.21403263542283224</v>
      </c>
      <c r="N34" s="26">
        <f t="shared" si="45"/>
        <v>0.1924100590997945</v>
      </c>
      <c r="O34" s="26">
        <f t="shared" si="45"/>
        <v>1.453194016741701</v>
      </c>
      <c r="P34" s="26">
        <f t="shared" si="51"/>
        <v>2.3116344737676342</v>
      </c>
      <c r="Q34" s="26">
        <f t="shared" si="52"/>
        <v>0.8584404570259333</v>
      </c>
      <c r="R34" s="26">
        <f>LN(M39/M27)/1.125</f>
        <v>0.3491484229649312</v>
      </c>
      <c r="V34" s="26">
        <f>LN(M42/M28)/1.125</f>
        <v>2.9786084855444921E-2</v>
      </c>
    </row>
    <row r="35" spans="1:24" x14ac:dyDescent="0.2">
      <c r="Q35" s="10"/>
    </row>
    <row r="36" spans="1:24" x14ac:dyDescent="0.2">
      <c r="A36" s="5" t="s">
        <v>40</v>
      </c>
      <c r="B36" s="5" t="s">
        <v>114</v>
      </c>
      <c r="C36" s="4" t="s">
        <v>514</v>
      </c>
      <c r="D36" s="4" t="s">
        <v>515</v>
      </c>
      <c r="E36" s="4" t="s">
        <v>516</v>
      </c>
      <c r="F36" s="4" t="s">
        <v>517</v>
      </c>
      <c r="G36" s="4" t="s">
        <v>518</v>
      </c>
      <c r="H36" s="5" t="s">
        <v>0</v>
      </c>
      <c r="I36" s="5" t="s">
        <v>1</v>
      </c>
      <c r="J36" s="5" t="s">
        <v>2</v>
      </c>
      <c r="K36" s="5" t="s">
        <v>3</v>
      </c>
      <c r="L36" s="6" t="s">
        <v>519</v>
      </c>
      <c r="M36" s="4" t="s">
        <v>520</v>
      </c>
      <c r="N36" s="4" t="s">
        <v>521</v>
      </c>
      <c r="O36" s="4" t="s">
        <v>522</v>
      </c>
      <c r="P36" s="4" t="s">
        <v>524</v>
      </c>
      <c r="Q36" s="6" t="s">
        <v>528</v>
      </c>
      <c r="R36" s="6" t="s">
        <v>542</v>
      </c>
      <c r="S36" s="6" t="s">
        <v>543</v>
      </c>
      <c r="T36" s="6" t="s">
        <v>544</v>
      </c>
      <c r="V36" s="6" t="s">
        <v>542</v>
      </c>
      <c r="W36" s="6" t="s">
        <v>543</v>
      </c>
      <c r="X36" s="6" t="s">
        <v>544</v>
      </c>
    </row>
    <row r="37" spans="1:24" x14ac:dyDescent="0.2">
      <c r="A37" s="5" t="s">
        <v>20</v>
      </c>
      <c r="B37" s="10">
        <v>5</v>
      </c>
      <c r="C37" s="6">
        <f>1-0.26-0.025</f>
        <v>0.71499999999999997</v>
      </c>
      <c r="D37" s="12">
        <f>H37/$C37</f>
        <v>9888.1118881118891</v>
      </c>
      <c r="E37" s="12">
        <f t="shared" ref="E37:E42" si="53">I37/$C37</f>
        <v>9272.7272727272739</v>
      </c>
      <c r="F37" s="12">
        <f t="shared" ref="F37:F42" si="54">J37/$C37</f>
        <v>499.30069930069931</v>
      </c>
      <c r="G37" s="12">
        <f t="shared" ref="G37:G42" si="55">K37/$C37</f>
        <v>88.111888111888121</v>
      </c>
      <c r="H37" s="5">
        <v>7070</v>
      </c>
      <c r="I37" s="5">
        <v>6630</v>
      </c>
      <c r="J37" s="5">
        <v>357</v>
      </c>
      <c r="K37" s="36">
        <v>63</v>
      </c>
      <c r="L37" s="26">
        <f t="shared" ref="L37:O42" si="56">X14*D37*1000/1000000</f>
        <v>1.3120866528068433</v>
      </c>
      <c r="M37" s="26">
        <f t="shared" si="56"/>
        <v>1.4788230652802126</v>
      </c>
      <c r="N37" s="26">
        <f t="shared" si="56"/>
        <v>2.4291248689736915</v>
      </c>
      <c r="O37" s="26">
        <f t="shared" si="56"/>
        <v>17.432969966397607</v>
      </c>
      <c r="P37" s="26">
        <f t="shared" ref="P37:P42" si="57">SUM(L37:O37)</f>
        <v>22.653004553458352</v>
      </c>
      <c r="Q37" s="26">
        <f t="shared" ref="Q37:Q42" si="58">SUM(L37:N37)</f>
        <v>5.2200345870607467</v>
      </c>
      <c r="R37" s="26">
        <f>(LN(N37/(N27*0.25)))/1.125</f>
        <v>0.33411542481938766</v>
      </c>
      <c r="S37" s="26">
        <f>(R37-R38)/(1-0.25)</f>
        <v>0.28938530237434812</v>
      </c>
      <c r="T37" s="26">
        <f>S37+R39</f>
        <v>0.21693467356674317</v>
      </c>
      <c r="V37" s="26">
        <f>(LN(N40/(N28*0.25)))/1.125</f>
        <v>0.15141204453194437</v>
      </c>
      <c r="W37" s="26">
        <f>(V37-V38)/(1-0.25)</f>
        <v>0.42135564783056617</v>
      </c>
      <c r="X37" s="26">
        <f>W37+V39</f>
        <v>6.4230988872792216E-2</v>
      </c>
    </row>
    <row r="38" spans="1:24" x14ac:dyDescent="0.2">
      <c r="A38" s="5" t="s">
        <v>21</v>
      </c>
      <c r="B38" s="10">
        <v>5</v>
      </c>
      <c r="C38" s="6">
        <f t="shared" ref="C38:C42" si="59">1-0.26-0.025</f>
        <v>0.71499999999999997</v>
      </c>
      <c r="D38" s="12">
        <f t="shared" ref="D38:D42" si="60">H38/$C38</f>
        <v>33606.993006993005</v>
      </c>
      <c r="E38" s="12">
        <f t="shared" si="53"/>
        <v>35106.293706293705</v>
      </c>
      <c r="F38" s="12">
        <f t="shared" si="54"/>
        <v>1551.048951048951</v>
      </c>
      <c r="G38" s="12">
        <f t="shared" si="55"/>
        <v>341.25874125874128</v>
      </c>
      <c r="H38" s="5">
        <v>24029</v>
      </c>
      <c r="I38" s="5">
        <v>25101</v>
      </c>
      <c r="J38" s="5">
        <v>1109</v>
      </c>
      <c r="K38" s="36">
        <v>244</v>
      </c>
      <c r="L38" s="26">
        <f t="shared" si="56"/>
        <v>4.2479314812427749</v>
      </c>
      <c r="M38" s="26">
        <f t="shared" si="56"/>
        <v>5.4744024066866031</v>
      </c>
      <c r="N38" s="26">
        <f t="shared" si="56"/>
        <v>7.6114718906863281</v>
      </c>
      <c r="O38" s="26">
        <f t="shared" si="56"/>
        <v>32.604838993542963</v>
      </c>
      <c r="P38" s="26">
        <f t="shared" si="57"/>
        <v>49.938644772158668</v>
      </c>
      <c r="Q38" s="26">
        <f t="shared" si="58"/>
        <v>17.333805778615705</v>
      </c>
      <c r="R38" s="26">
        <f>(LN(N38/N27))/1.125</f>
        <v>0.11707644803862657</v>
      </c>
      <c r="V38" s="26">
        <f>(LN(N41/N28))/1.125</f>
        <v>-0.16460469134098024</v>
      </c>
    </row>
    <row r="39" spans="1:24" x14ac:dyDescent="0.2">
      <c r="A39" s="5" t="s">
        <v>22</v>
      </c>
      <c r="B39" s="10">
        <v>5</v>
      </c>
      <c r="C39" s="6">
        <f t="shared" si="59"/>
        <v>0.71499999999999997</v>
      </c>
      <c r="D39" s="12">
        <f t="shared" si="60"/>
        <v>35762.237762237761</v>
      </c>
      <c r="E39" s="12">
        <f t="shared" si="53"/>
        <v>28114.685314685317</v>
      </c>
      <c r="F39" s="12">
        <f t="shared" si="54"/>
        <v>1955.2447552447554</v>
      </c>
      <c r="G39" s="12">
        <f t="shared" si="55"/>
        <v>251.74825174825176</v>
      </c>
      <c r="H39" s="5">
        <v>25570</v>
      </c>
      <c r="I39" s="5">
        <v>20102</v>
      </c>
      <c r="J39" s="5">
        <v>1398</v>
      </c>
      <c r="K39" s="36">
        <v>180</v>
      </c>
      <c r="L39" s="26">
        <f t="shared" si="56"/>
        <v>4.4593169222262494</v>
      </c>
      <c r="M39" s="26">
        <f t="shared" si="56"/>
        <v>4.6380247053631152</v>
      </c>
      <c r="N39" s="26">
        <f t="shared" si="56"/>
        <v>6.1499171307481131</v>
      </c>
      <c r="O39" s="26">
        <f t="shared" si="56"/>
        <v>28.893263059002567</v>
      </c>
      <c r="P39" s="26">
        <f t="shared" si="57"/>
        <v>44.140521817340044</v>
      </c>
      <c r="Q39" s="26">
        <f t="shared" si="58"/>
        <v>15.247258758337479</v>
      </c>
      <c r="R39" s="26">
        <f>LN(N39/N27)/1.125</f>
        <v>-7.2450628807604944E-2</v>
      </c>
      <c r="V39" s="26">
        <f>LN(N42/N28)/1.125</f>
        <v>-0.35712465895777395</v>
      </c>
    </row>
    <row r="40" spans="1:24" x14ac:dyDescent="0.2">
      <c r="A40" s="5" t="s">
        <v>23</v>
      </c>
      <c r="B40" s="10">
        <v>12</v>
      </c>
      <c r="C40" s="6">
        <f t="shared" si="59"/>
        <v>0.71499999999999997</v>
      </c>
      <c r="D40" s="12">
        <f t="shared" si="60"/>
        <v>8819.5804195804194</v>
      </c>
      <c r="E40" s="12">
        <f t="shared" si="53"/>
        <v>8213.9860139860139</v>
      </c>
      <c r="F40" s="12">
        <f t="shared" si="54"/>
        <v>367.83216783216784</v>
      </c>
      <c r="G40" s="12">
        <f t="shared" si="55"/>
        <v>88.111888111888121</v>
      </c>
      <c r="H40" s="5">
        <v>6306</v>
      </c>
      <c r="I40" s="5">
        <v>5873</v>
      </c>
      <c r="J40" s="5">
        <v>263</v>
      </c>
      <c r="K40" s="36">
        <v>63</v>
      </c>
      <c r="L40" s="26">
        <f t="shared" si="56"/>
        <v>1.1246679343775092</v>
      </c>
      <c r="M40" s="26">
        <f t="shared" si="56"/>
        <v>1.3052844365138987</v>
      </c>
      <c r="N40" s="26">
        <f t="shared" si="56"/>
        <v>1.5651375323104058</v>
      </c>
      <c r="O40" s="26">
        <f t="shared" si="56"/>
        <v>8.5687529460648371</v>
      </c>
      <c r="P40" s="26">
        <f t="shared" si="57"/>
        <v>12.563842849266651</v>
      </c>
      <c r="Q40" s="26">
        <f t="shared" si="58"/>
        <v>3.9950899032018139</v>
      </c>
    </row>
    <row r="41" spans="1:24" x14ac:dyDescent="0.2">
      <c r="A41" s="5" t="s">
        <v>24</v>
      </c>
      <c r="B41" s="10">
        <v>12</v>
      </c>
      <c r="C41" s="6">
        <f t="shared" si="59"/>
        <v>0.71499999999999997</v>
      </c>
      <c r="D41" s="12">
        <f t="shared" si="60"/>
        <v>29271.328671328672</v>
      </c>
      <c r="E41" s="12">
        <f t="shared" si="53"/>
        <v>28383.216783216783</v>
      </c>
      <c r="F41" s="12">
        <f t="shared" si="54"/>
        <v>1318.8811188811189</v>
      </c>
      <c r="G41" s="12">
        <f t="shared" si="55"/>
        <v>209.79020979020979</v>
      </c>
      <c r="H41" s="5">
        <v>20929</v>
      </c>
      <c r="I41" s="5">
        <v>20294</v>
      </c>
      <c r="J41" s="5">
        <v>943</v>
      </c>
      <c r="K41" s="36">
        <v>150</v>
      </c>
      <c r="L41" s="26">
        <f t="shared" si="56"/>
        <v>3.6659348626263508</v>
      </c>
      <c r="M41" s="26">
        <f t="shared" si="56"/>
        <v>4.4211472329019665</v>
      </c>
      <c r="N41" s="26">
        <f t="shared" si="56"/>
        <v>4.3874545662349682</v>
      </c>
      <c r="O41" s="26">
        <f t="shared" si="56"/>
        <v>23.049830701977957</v>
      </c>
      <c r="P41" s="26">
        <f t="shared" si="57"/>
        <v>35.524367363741241</v>
      </c>
      <c r="Q41" s="26">
        <f t="shared" si="58"/>
        <v>12.474536661763285</v>
      </c>
      <c r="R41" s="39" t="s">
        <v>545</v>
      </c>
      <c r="S41" s="39" t="s">
        <v>546</v>
      </c>
      <c r="T41" s="39" t="s">
        <v>547</v>
      </c>
      <c r="U41" s="40"/>
      <c r="V41" s="39" t="s">
        <v>545</v>
      </c>
      <c r="W41" s="39" t="s">
        <v>546</v>
      </c>
      <c r="X41" s="39" t="s">
        <v>547</v>
      </c>
    </row>
    <row r="42" spans="1:24" x14ac:dyDescent="0.2">
      <c r="A42" s="5" t="s">
        <v>25</v>
      </c>
      <c r="B42" s="10">
        <v>12</v>
      </c>
      <c r="C42" s="6">
        <f t="shared" si="59"/>
        <v>0.71499999999999997</v>
      </c>
      <c r="D42" s="12">
        <f t="shared" si="60"/>
        <v>29152.447552447553</v>
      </c>
      <c r="E42" s="12">
        <f t="shared" si="53"/>
        <v>22748.251748251751</v>
      </c>
      <c r="F42" s="12">
        <f t="shared" si="54"/>
        <v>1292.3076923076924</v>
      </c>
      <c r="G42" s="12">
        <f t="shared" si="55"/>
        <v>313.28671328671328</v>
      </c>
      <c r="H42" s="5">
        <v>20844</v>
      </c>
      <c r="I42" s="5">
        <v>16265</v>
      </c>
      <c r="J42" s="5">
        <v>924</v>
      </c>
      <c r="K42" s="36">
        <v>224</v>
      </c>
      <c r="L42" s="26">
        <f t="shared" si="56"/>
        <v>3.6615776122633346</v>
      </c>
      <c r="M42" s="26">
        <f t="shared" si="56"/>
        <v>3.6033089241243923</v>
      </c>
      <c r="N42" s="26">
        <f t="shared" si="56"/>
        <v>3.5330597135690796</v>
      </c>
      <c r="O42" s="26">
        <f t="shared" si="56"/>
        <v>20.025788374246343</v>
      </c>
      <c r="P42" s="26">
        <f t="shared" si="57"/>
        <v>30.823734624203148</v>
      </c>
      <c r="Q42" s="26">
        <f t="shared" si="58"/>
        <v>10.797946249956807</v>
      </c>
      <c r="R42" s="41">
        <f>(LN(O37/(O27*0.25)))/1.125</f>
        <v>-0.2275247799125297</v>
      </c>
      <c r="S42" s="41">
        <f>(R42-R43)/(1-0.25)</f>
        <v>0.90097408869427031</v>
      </c>
      <c r="T42" s="41">
        <f>S42+R44</f>
        <v>-0.10970548613335018</v>
      </c>
      <c r="U42" s="40"/>
      <c r="V42" s="41">
        <f>(LN(O40/(O28*0.25)))/1.125</f>
        <v>-0.88503907705138474</v>
      </c>
      <c r="W42" s="41">
        <f>(V42-V43)/(1-0.25)</f>
        <v>0.47023187515758885</v>
      </c>
      <c r="X42" s="41">
        <f>W42+V44</f>
        <v>-0.89249227530127984</v>
      </c>
    </row>
    <row r="43" spans="1:24" x14ac:dyDescent="0.2">
      <c r="R43" s="41">
        <f>(LN(O38/O27))/1.125</f>
        <v>-0.90325534643323246</v>
      </c>
      <c r="S43" s="40"/>
      <c r="T43" s="40"/>
      <c r="U43" s="40"/>
      <c r="V43" s="41">
        <f>(LN(O41/O28))/1.125</f>
        <v>-1.2377129834195764</v>
      </c>
      <c r="W43" s="40"/>
      <c r="X43" s="40"/>
    </row>
    <row r="44" spans="1:24" x14ac:dyDescent="0.2">
      <c r="R44" s="41">
        <f>LN(O39/O27)/1.125</f>
        <v>-1.0106795748276205</v>
      </c>
      <c r="S44" s="40"/>
      <c r="T44" s="40"/>
      <c r="U44" s="40"/>
      <c r="V44" s="41">
        <f>LN(O42/O28)/1.125</f>
        <v>-1.3627241504588687</v>
      </c>
      <c r="W44" s="40"/>
      <c r="X44" s="40"/>
    </row>
    <row r="46" spans="1:24" x14ac:dyDescent="0.2">
      <c r="R46" s="4"/>
      <c r="S46" s="4"/>
      <c r="T46" s="4"/>
      <c r="V46" s="4"/>
      <c r="W46" s="4"/>
      <c r="X46" s="4"/>
    </row>
    <row r="47" spans="1:24" x14ac:dyDescent="0.2">
      <c r="R47" s="6" t="s">
        <v>548</v>
      </c>
      <c r="S47" s="6" t="s">
        <v>549</v>
      </c>
      <c r="T47" s="6" t="s">
        <v>550</v>
      </c>
      <c r="V47" s="6" t="s">
        <v>548</v>
      </c>
      <c r="W47" s="6" t="s">
        <v>549</v>
      </c>
      <c r="X47" s="6" t="s">
        <v>550</v>
      </c>
    </row>
    <row r="48" spans="1:24" x14ac:dyDescent="0.2">
      <c r="R48" s="26">
        <f>(LN(Q37/(Q27*0.25)))/1.125</f>
        <v>0.42410458348749491</v>
      </c>
      <c r="S48" s="26">
        <f>(R48-R49)/(1-0.25)</f>
        <v>0.22061001821123272</v>
      </c>
      <c r="T48" s="26">
        <f>S48+R50</f>
        <v>0.36524913012359939</v>
      </c>
      <c r="V48" s="26">
        <f>(LN(Q40/(Q28*0.25)))/1.125</f>
        <v>0.2743874113314686</v>
      </c>
      <c r="W48" s="26">
        <f>(V48-V49)/(1-0.25)</f>
        <v>0.29353593411446527</v>
      </c>
      <c r="X48" s="26">
        <f>W48+V50</f>
        <v>0.21947490988216395</v>
      </c>
    </row>
    <row r="49" spans="18:24" x14ac:dyDescent="0.2">
      <c r="R49" s="26">
        <f>(LN(Q38/Q27))/1.125</f>
        <v>0.25864706982907038</v>
      </c>
      <c r="S49" s="10"/>
      <c r="T49" s="10"/>
      <c r="V49" s="26">
        <f>(LN(Q41/Q28))/1.125</f>
        <v>5.4235460745619662E-2</v>
      </c>
      <c r="W49" s="10"/>
      <c r="X49" s="10"/>
    </row>
    <row r="50" spans="18:24" x14ac:dyDescent="0.2">
      <c r="R50" s="26">
        <f>LN(Q39/Q27)/1.125</f>
        <v>0.1446391119123667</v>
      </c>
      <c r="S50" s="10"/>
      <c r="T50" s="10"/>
      <c r="V50" s="26">
        <f>LN(Q42/Q28)/1.125</f>
        <v>-7.4061024232301306E-2</v>
      </c>
      <c r="W50" s="10"/>
      <c r="X50" s="10"/>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90"/>
  <sheetViews>
    <sheetView workbookViewId="0">
      <selection activeCell="B4" sqref="B4"/>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12" bestFit="1" customWidth="1"/>
    <col min="14" max="14" width="14.6640625" style="12"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41" width="10.83203125" style="5"/>
    <col min="42" max="42" width="13.5" style="5" customWidth="1"/>
    <col min="43" max="43" width="14.33203125" style="5" customWidth="1"/>
    <col min="44" max="45" width="10.83203125" style="5"/>
    <col min="46" max="46" width="17.33203125" style="5" bestFit="1" customWidth="1"/>
    <col min="47" max="47" width="18.6640625" style="5" bestFit="1" customWidth="1"/>
    <col min="48" max="48" width="13.6640625" style="5" bestFit="1" customWidth="1"/>
    <col min="49" max="16384" width="10.83203125" style="5"/>
  </cols>
  <sheetData>
    <row r="1" spans="1:53" x14ac:dyDescent="0.2">
      <c r="A1" s="4" t="s">
        <v>509</v>
      </c>
      <c r="B1" s="4"/>
      <c r="AI1" s="4" t="s">
        <v>41</v>
      </c>
    </row>
    <row r="2" spans="1:53" s="4" customFormat="1" x14ac:dyDescent="0.2">
      <c r="C2" s="4" t="s">
        <v>38</v>
      </c>
      <c r="G2" s="4" t="s">
        <v>37</v>
      </c>
      <c r="K2" s="4" t="s">
        <v>36</v>
      </c>
      <c r="M2" s="13"/>
      <c r="N2" s="13"/>
      <c r="O2" s="4" t="s">
        <v>34</v>
      </c>
      <c r="S2" s="4" t="s">
        <v>35</v>
      </c>
      <c r="W2" s="4" t="s">
        <v>55</v>
      </c>
      <c r="AA2" s="4" t="s">
        <v>54</v>
      </c>
      <c r="AE2" s="4" t="s">
        <v>53</v>
      </c>
      <c r="AI2" s="4" t="s">
        <v>42</v>
      </c>
      <c r="AM2" s="3" t="s">
        <v>47</v>
      </c>
      <c r="AN2" s="35" t="s">
        <v>587</v>
      </c>
      <c r="AP2" s="4" t="s">
        <v>604</v>
      </c>
      <c r="AT2" s="4" t="s">
        <v>593</v>
      </c>
      <c r="AW2" s="4" t="s">
        <v>603</v>
      </c>
      <c r="BA2" s="4" t="s">
        <v>602</v>
      </c>
    </row>
    <row r="3" spans="1:53" s="4" customFormat="1" x14ac:dyDescent="0.2">
      <c r="A3" s="4" t="s">
        <v>39</v>
      </c>
      <c r="B3" s="4" t="s">
        <v>114</v>
      </c>
      <c r="C3" s="4" t="s">
        <v>0</v>
      </c>
      <c r="D3" s="4" t="s">
        <v>1</v>
      </c>
      <c r="E3" s="4" t="s">
        <v>2</v>
      </c>
      <c r="F3" s="4" t="s">
        <v>3</v>
      </c>
      <c r="G3" s="4" t="s">
        <v>4</v>
      </c>
      <c r="H3" s="4" t="s">
        <v>5</v>
      </c>
      <c r="I3" s="4" t="s">
        <v>6</v>
      </c>
      <c r="J3" s="4" t="s">
        <v>7</v>
      </c>
      <c r="K3" s="4" t="s">
        <v>8</v>
      </c>
      <c r="L3" s="4" t="s">
        <v>9</v>
      </c>
      <c r="M3" s="13" t="s">
        <v>10</v>
      </c>
      <c r="N3" s="13"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3" t="s">
        <v>48</v>
      </c>
      <c r="AN3" s="35"/>
      <c r="AO3" s="4" t="s">
        <v>115</v>
      </c>
      <c r="AP3" s="49" t="s">
        <v>588</v>
      </c>
      <c r="AQ3" s="49" t="s">
        <v>589</v>
      </c>
      <c r="AR3" s="49" t="s">
        <v>44</v>
      </c>
      <c r="AS3" s="49" t="s">
        <v>45</v>
      </c>
      <c r="AT3" s="4" t="s">
        <v>590</v>
      </c>
      <c r="AU3" s="4" t="s">
        <v>591</v>
      </c>
      <c r="AV3" s="49" t="s">
        <v>592</v>
      </c>
      <c r="AW3" s="45" t="s">
        <v>600</v>
      </c>
      <c r="AX3" s="45" t="s">
        <v>601</v>
      </c>
      <c r="AY3" s="45" t="s">
        <v>44</v>
      </c>
      <c r="AZ3" s="45" t="s">
        <v>45</v>
      </c>
      <c r="BA3" s="45" t="s">
        <v>592</v>
      </c>
    </row>
    <row r="4" spans="1:53" x14ac:dyDescent="0.2">
      <c r="A4" s="5" t="s">
        <v>64</v>
      </c>
      <c r="B4" s="10">
        <v>5</v>
      </c>
      <c r="C4">
        <v>23328</v>
      </c>
      <c r="D4">
        <v>17750</v>
      </c>
      <c r="E4">
        <v>1211</v>
      </c>
      <c r="F4">
        <v>259</v>
      </c>
      <c r="G4">
        <v>8953</v>
      </c>
      <c r="H4">
        <v>22380</v>
      </c>
      <c r="I4" s="1">
        <v>211400</v>
      </c>
      <c r="J4" s="1">
        <v>294100</v>
      </c>
      <c r="K4">
        <v>5443</v>
      </c>
      <c r="L4">
        <v>26951</v>
      </c>
      <c r="M4" s="14">
        <v>617600</v>
      </c>
      <c r="N4" s="14">
        <v>2553000</v>
      </c>
      <c r="O4" s="8">
        <f>(224333+K4)/235871</f>
        <v>0.97415960419042613</v>
      </c>
      <c r="P4" s="8">
        <f>(224333+L4)/235871</f>
        <v>1.0653450402974507</v>
      </c>
      <c r="Q4" s="8">
        <f t="shared" ref="Q4:R9" si="0">(224333+M4)/235871</f>
        <v>3.5694638170864583</v>
      </c>
      <c r="R4" s="8">
        <f t="shared" si="0"/>
        <v>11.7747963929436</v>
      </c>
      <c r="S4" s="8">
        <f>4/3*3.14*((O4/2)^3)</f>
        <v>0.48380321206633942</v>
      </c>
      <c r="T4" s="8">
        <f t="shared" ref="T4:V9" si="1">4/3*3.14*((P4/2)^3)</f>
        <v>0.63277492756400355</v>
      </c>
      <c r="U4" s="8">
        <f t="shared" si="1"/>
        <v>23.800569533028661</v>
      </c>
      <c r="V4" s="8">
        <f>4/3*3.14*((R4/2)^3)</f>
        <v>854.35549318699896</v>
      </c>
      <c r="W4" s="8">
        <f>(S4*265)/1000</f>
        <v>0.12820785119757994</v>
      </c>
      <c r="X4" s="8">
        <f>(10^(-0.665+LOG(T4, 10)*0.959))</f>
        <v>0.13944342553454409</v>
      </c>
      <c r="Y4" s="8">
        <f>(10^(-0.665+LOG(U4, 10)*0.959))</f>
        <v>4.5200919365631993</v>
      </c>
      <c r="Z4" s="8">
        <f>(10^(-0.665+LOG(V4, 10)*0.959))</f>
        <v>140.10106377781369</v>
      </c>
      <c r="AA4" s="8">
        <f>W4*C4</f>
        <v>2990.8327527371448</v>
      </c>
      <c r="AB4" s="8">
        <f>X4*D4</f>
        <v>2475.1208032381574</v>
      </c>
      <c r="AC4" s="8">
        <f t="shared" ref="AC4:AD9" si="2">Y4*E4</f>
        <v>5473.8313351780344</v>
      </c>
      <c r="AD4" s="8">
        <f>Z4*F4</f>
        <v>36286.175518453747</v>
      </c>
      <c r="AE4" s="8">
        <f>AA4/(AA4+AB4+AC4+AD4)</f>
        <v>6.3330268496323172E-2</v>
      </c>
      <c r="AF4" s="8">
        <f>AB4/(AA4+AB4+AC4+AD4)</f>
        <v>5.2410174018073512E-2</v>
      </c>
      <c r="AG4" s="8">
        <f>AC4/(AA4+AB4+AC4+AD4)</f>
        <v>0.11590725286900684</v>
      </c>
      <c r="AH4" s="8">
        <f>AD4/(AA4+AB4+AC4+AD4)</f>
        <v>0.76835230461659643</v>
      </c>
      <c r="AI4" s="8">
        <f>LN((AVERAGE(G14:G16))/G4)/1.25</f>
        <v>1.1796876548154072E-2</v>
      </c>
      <c r="AJ4" s="8">
        <f>LN((AVERAGE(H14:H16))/H4)/1.25</f>
        <v>3.999613034642778E-2</v>
      </c>
      <c r="AK4" s="8">
        <f>LN((AVERAGE(I14:I16))/I4)/1.25</f>
        <v>-3.0468854842790105E-2</v>
      </c>
      <c r="AL4" s="8">
        <f>LN((AVERAGE(J14:J16))/J4)/1.25</f>
        <v>-4.5465000749767568E-3</v>
      </c>
      <c r="AM4" s="16">
        <f>(AI4*AE4)+(AJ4*AF4)+(AG4*AK4)+(AH4*AL4)</f>
        <v>-4.1815715627218503E-3</v>
      </c>
      <c r="AN4" s="42">
        <f>(AI4*AE4)+(AJ4*AF4)+(AG4*AK4)</f>
        <v>-6.8825775217393019E-4</v>
      </c>
      <c r="AO4" s="10">
        <v>5</v>
      </c>
      <c r="AP4" s="50">
        <f>H4/L4</f>
        <v>0.83039590367704352</v>
      </c>
      <c r="AQ4" s="50">
        <f>I4/M4</f>
        <v>0.34229274611398963</v>
      </c>
      <c r="AR4" s="50">
        <f>LN((AVERAGE(AP14:AP16))/AP4)/1.25</f>
        <v>-0.25461827617048072</v>
      </c>
      <c r="AS4" s="50">
        <f>LN((AVERAGE(AQ14:AQ16))/AQ4)/1.25</f>
        <v>0.14622802720199843</v>
      </c>
      <c r="AT4" s="8">
        <f>AB4/(AB4+AC4)</f>
        <v>0.31137699160072169</v>
      </c>
      <c r="AU4" s="8">
        <f>AC4/(AB4+AC4)</f>
        <v>0.68862300839927826</v>
      </c>
      <c r="AV4" s="50">
        <f>(AR4*AT4)+(AS4*AU4)</f>
        <v>2.1413711163605645E-2</v>
      </c>
      <c r="AW4" s="46">
        <f>H4</f>
        <v>22380</v>
      </c>
      <c r="AX4" s="47">
        <f>I4</f>
        <v>211400</v>
      </c>
      <c r="AY4" s="48">
        <f>LN((AVERAGE(AW14:AW16))/AW4)/1.25</f>
        <v>3.999613034642778E-2</v>
      </c>
      <c r="AZ4" s="48">
        <f>LN((AVERAGE(AX14:AX16))/AX4)/1.25</f>
        <v>-3.0468854842790105E-2</v>
      </c>
      <c r="BA4" s="48">
        <f t="shared" ref="BA4:BA9" si="3">(AY4*AT4)+(AZ4*AU4)</f>
        <v>-8.5276797413820268E-3</v>
      </c>
    </row>
    <row r="5" spans="1:53" x14ac:dyDescent="0.2">
      <c r="A5" s="5" t="s">
        <v>65</v>
      </c>
      <c r="B5" s="10">
        <v>12</v>
      </c>
      <c r="C5">
        <v>24774</v>
      </c>
      <c r="D5">
        <v>18141</v>
      </c>
      <c r="E5">
        <v>1145</v>
      </c>
      <c r="F5">
        <v>197</v>
      </c>
      <c r="G5">
        <v>8965</v>
      </c>
      <c r="H5">
        <v>22842</v>
      </c>
      <c r="I5" s="1">
        <v>210900</v>
      </c>
      <c r="J5" s="1">
        <v>297100</v>
      </c>
      <c r="K5">
        <v>3625</v>
      </c>
      <c r="L5">
        <v>26240</v>
      </c>
      <c r="M5" s="14">
        <v>617800</v>
      </c>
      <c r="N5" s="14">
        <v>2592000</v>
      </c>
      <c r="O5" s="8">
        <f t="shared" ref="O5:P11" si="4">(224333+K5)/235871</f>
        <v>0.96645200130579856</v>
      </c>
      <c r="P5" s="8">
        <f t="shared" si="4"/>
        <v>1.0623306807534627</v>
      </c>
      <c r="Q5" s="8">
        <f t="shared" si="0"/>
        <v>3.5703117381958784</v>
      </c>
      <c r="R5" s="8">
        <f t="shared" si="0"/>
        <v>11.940141009280497</v>
      </c>
      <c r="S5" s="8">
        <f t="shared" ref="S5:S9" si="5">4/3*3.14*((O5/2)^3)</f>
        <v>0.47241020087855723</v>
      </c>
      <c r="T5" s="8">
        <f t="shared" si="1"/>
        <v>0.6274188620589759</v>
      </c>
      <c r="U5" s="8">
        <f t="shared" si="1"/>
        <v>23.817534937952235</v>
      </c>
      <c r="V5" s="8">
        <f t="shared" si="1"/>
        <v>890.85447271407361</v>
      </c>
      <c r="W5" s="8">
        <f t="shared" ref="W5:W9" si="6">(S5*265)/1000</f>
        <v>0.12518870323281767</v>
      </c>
      <c r="X5" s="8">
        <f t="shared" ref="X5:Z9" si="7">(10^(-0.665+LOG(T5, 10)*0.959))</f>
        <v>0.13831131497324467</v>
      </c>
      <c r="Y5" s="8">
        <f t="shared" si="7"/>
        <v>4.523181779549299</v>
      </c>
      <c r="Z5" s="8">
        <f t="shared" si="7"/>
        <v>145.83598102505078</v>
      </c>
      <c r="AA5" s="8">
        <f t="shared" ref="AA5:AB9" si="8">W5*C5</f>
        <v>3101.4249338898248</v>
      </c>
      <c r="AB5" s="8">
        <f t="shared" si="8"/>
        <v>2509.1055649296318</v>
      </c>
      <c r="AC5" s="8">
        <f t="shared" si="2"/>
        <v>5179.0431375839471</v>
      </c>
      <c r="AD5" s="8">
        <f t="shared" si="2"/>
        <v>28729.688261935004</v>
      </c>
      <c r="AE5" s="8">
        <f t="shared" ref="AE5:AE9" si="9">AA5/(AA5+AB5+AC5+AD5)</f>
        <v>7.8478817288341732E-2</v>
      </c>
      <c r="AF5" s="8">
        <f t="shared" ref="AF5:AF9" si="10">AB5/(AA5+AB5+AC5+AD5)</f>
        <v>6.3490699076926019E-2</v>
      </c>
      <c r="AG5" s="8">
        <f t="shared" ref="AG5:AG9" si="11">AC5/(AA5+AB5+AC5+AD5)</f>
        <v>0.13105110998547523</v>
      </c>
      <c r="AH5" s="8">
        <f t="shared" ref="AH5:AH9" si="12">AD5/(AA5+AB5+AC5+AD5)</f>
        <v>0.72697937364925702</v>
      </c>
      <c r="AI5" s="8">
        <f>LN((AVERAGE(G17:G19))/G5)/1.25</f>
        <v>1.0461141970384179E-2</v>
      </c>
      <c r="AJ5" s="8">
        <f>LN((AVERAGE(H17:H19))/H5)/1.25</f>
        <v>8.2921340225139223E-2</v>
      </c>
      <c r="AK5" s="8">
        <f>LN((AVERAGE(I17:I19))/I5)/1.25</f>
        <v>-5.0089707024178934E-2</v>
      </c>
      <c r="AL5" s="8">
        <f>LN((AVERAGE(J17:J19))/J5)/1.25</f>
        <v>-3.6885080804115629E-3</v>
      </c>
      <c r="AM5" s="16">
        <f>(AI5*AE5)+(AJ5*AF5)+(AG5*AK5)+(AH5*AL5)</f>
        <v>-3.1600690897528273E-3</v>
      </c>
      <c r="AN5" s="42">
        <f t="shared" ref="AN5:AN9" si="13">(AI5*AE5)+(AJ5*AF5)+(AG5*AK5)</f>
        <v>-4.7859979575500585E-4</v>
      </c>
      <c r="AO5" s="10">
        <v>12</v>
      </c>
      <c r="AP5" s="50">
        <f t="shared" ref="AP5:AP11" si="14">H5/L5</f>
        <v>0.87050304878048779</v>
      </c>
      <c r="AQ5" s="50">
        <f t="shared" ref="AQ5:AQ11" si="15">I5/M5</f>
        <v>0.34137261249595341</v>
      </c>
      <c r="AR5" s="50">
        <f>LN((AVERAGE(AP17:AP19))/AP5)/1.25</f>
        <v>-0.20524076601299762</v>
      </c>
      <c r="AS5" s="50">
        <f>LN((AVERAGE(AQ17:AQ19))/AQ5)/1.25</f>
        <v>0.12093529148461864</v>
      </c>
      <c r="AT5" s="8">
        <f>AB5/(AB5+AC5)</f>
        <v>0.32636017616429552</v>
      </c>
      <c r="AU5" s="8">
        <f t="shared" ref="AU5:AU9" si="16">AC5/(AB5+AC5)</f>
        <v>0.67363982383570442</v>
      </c>
      <c r="AV5" s="50">
        <f t="shared" ref="AV5:AV9" si="17">(AR5*AT5)+(AS5*AU5)</f>
        <v>1.4484415899121209E-2</v>
      </c>
      <c r="AW5" s="46">
        <f t="shared" ref="AW5:AW11" si="18">H5</f>
        <v>22842</v>
      </c>
      <c r="AX5" s="47">
        <f t="shared" ref="AX5:AX11" si="19">I5</f>
        <v>210900</v>
      </c>
      <c r="AY5" s="48">
        <f>LN((AVERAGE(AW17:AW19))/AW5)/1.25</f>
        <v>8.2921340225139223E-2</v>
      </c>
      <c r="AZ5" s="48">
        <f>LN((AVERAGE(AX17:AX19))/AX5)/1.25</f>
        <v>-5.0089707024178934E-2</v>
      </c>
      <c r="BA5" s="48">
        <f t="shared" si="3"/>
        <v>-6.6801982120940212E-3</v>
      </c>
    </row>
    <row r="6" spans="1:53" x14ac:dyDescent="0.2">
      <c r="A6" s="5" t="s">
        <v>66</v>
      </c>
      <c r="B6" s="10">
        <v>20</v>
      </c>
      <c r="C6">
        <v>45153</v>
      </c>
      <c r="D6">
        <v>27830</v>
      </c>
      <c r="E6">
        <v>1300</v>
      </c>
      <c r="F6">
        <v>265</v>
      </c>
      <c r="G6">
        <v>9409</v>
      </c>
      <c r="H6">
        <v>21959</v>
      </c>
      <c r="I6" s="1">
        <v>212000</v>
      </c>
      <c r="J6" s="1">
        <v>295800</v>
      </c>
      <c r="K6">
        <v>3669</v>
      </c>
      <c r="L6">
        <v>22910</v>
      </c>
      <c r="M6" s="14">
        <v>568400</v>
      </c>
      <c r="N6" s="14">
        <v>3162000</v>
      </c>
      <c r="O6" s="8">
        <f t="shared" si="4"/>
        <v>0.96663854394987092</v>
      </c>
      <c r="P6" s="8">
        <f t="shared" si="4"/>
        <v>1.04821279428162</v>
      </c>
      <c r="Q6" s="8">
        <f t="shared" si="0"/>
        <v>3.3608752241691433</v>
      </c>
      <c r="R6" s="8">
        <f t="shared" si="0"/>
        <v>14.356716171127438</v>
      </c>
      <c r="S6" s="8">
        <f t="shared" si="5"/>
        <v>0.47268380471582472</v>
      </c>
      <c r="T6" s="8">
        <f t="shared" si="1"/>
        <v>0.6027354934353587</v>
      </c>
      <c r="U6" s="8">
        <f t="shared" si="1"/>
        <v>19.867149742570103</v>
      </c>
      <c r="V6" s="8">
        <f t="shared" si="1"/>
        <v>1548.6159978549231</v>
      </c>
      <c r="W6" s="8">
        <f t="shared" si="6"/>
        <v>0.12526120824969356</v>
      </c>
      <c r="X6" s="8">
        <f t="shared" si="7"/>
        <v>0.13308881837137312</v>
      </c>
      <c r="Y6" s="8">
        <f t="shared" si="7"/>
        <v>3.8011237341395345</v>
      </c>
      <c r="Z6" s="8">
        <f t="shared" si="7"/>
        <v>247.8312389498079</v>
      </c>
      <c r="AA6" s="8">
        <f t="shared" si="8"/>
        <v>5655.9193360984127</v>
      </c>
      <c r="AB6" s="8">
        <f t="shared" si="8"/>
        <v>3703.8618152753143</v>
      </c>
      <c r="AC6" s="8">
        <f t="shared" si="2"/>
        <v>4941.4608543813947</v>
      </c>
      <c r="AD6" s="8">
        <f t="shared" si="2"/>
        <v>65675.278321699094</v>
      </c>
      <c r="AE6" s="8">
        <f t="shared" si="9"/>
        <v>7.07197476576992E-2</v>
      </c>
      <c r="AF6" s="8">
        <f t="shared" si="10"/>
        <v>4.6311865033766143E-2</v>
      </c>
      <c r="AG6" s="8">
        <f t="shared" si="11"/>
        <v>6.1786394733719087E-2</v>
      </c>
      <c r="AH6" s="8">
        <f t="shared" si="12"/>
        <v>0.82118199257481561</v>
      </c>
      <c r="AI6" s="8">
        <f>LN((AVERAGE(G20:G22))/G6)/1.25</f>
        <v>1.2039185048770013E-2</v>
      </c>
      <c r="AJ6" s="8">
        <f>LN((AVERAGE(H20:H22))/H6)/1.25</f>
        <v>0.11419726836288342</v>
      </c>
      <c r="AK6" s="8">
        <f>LN((AVERAGE(I20:I22))/I6)/1.25</f>
        <v>-6.1689596740364616E-2</v>
      </c>
      <c r="AL6" s="8">
        <f>LN((AVERAGE(J20:J22))/J6)/1.25</f>
        <v>-1.8420966607541864E-2</v>
      </c>
      <c r="AM6" s="16">
        <f t="shared" ref="AM6:AM8" si="20">(AI6*AE6)+(AJ6*AF6)+(AG6*AK6)+(AH6*AL6)</f>
        <v>-1.2798447230799499E-2</v>
      </c>
      <c r="AN6" s="42">
        <f t="shared" si="13"/>
        <v>2.328518833135871E-3</v>
      </c>
      <c r="AO6" s="10">
        <v>20</v>
      </c>
      <c r="AP6" s="50">
        <f t="shared" si="14"/>
        <v>0.95848974247053687</v>
      </c>
      <c r="AQ6" s="50">
        <f t="shared" si="15"/>
        <v>0.37297677691766362</v>
      </c>
      <c r="AR6" s="50">
        <f>LN((AVERAGE(AP20:AP22))/AP6)/1.25</f>
        <v>-0.17499103318199202</v>
      </c>
      <c r="AS6" s="50">
        <f>LN((AVERAGE(AQ20:AQ22))/AQ6)/1.25</f>
        <v>0.10786287105434911</v>
      </c>
      <c r="AT6" s="8">
        <f>AB6/(AB6+AC6)</f>
        <v>0.4284237797479904</v>
      </c>
      <c r="AU6" s="8">
        <f t="shared" si="16"/>
        <v>0.5715762202520096</v>
      </c>
      <c r="AV6" s="50">
        <f t="shared" si="17"/>
        <v>-1.3318467715060275E-2</v>
      </c>
      <c r="AW6" s="46">
        <f t="shared" si="18"/>
        <v>21959</v>
      </c>
      <c r="AX6" s="47">
        <f t="shared" si="19"/>
        <v>212000</v>
      </c>
      <c r="AY6" s="48">
        <f>LN((AVERAGE(AW20:AW22))/AW6)/1.25</f>
        <v>0.11419726836288342</v>
      </c>
      <c r="AZ6" s="48">
        <f>LN((AVERAGE(AX20:AX22))/AX6)/1.25</f>
        <v>-6.1689596740364616E-2</v>
      </c>
      <c r="BA6" s="48">
        <f t="shared" si="3"/>
        <v>1.3664518815193816E-2</v>
      </c>
    </row>
    <row r="7" spans="1:53" x14ac:dyDescent="0.2">
      <c r="A7" s="5" t="s">
        <v>67</v>
      </c>
      <c r="B7" s="10">
        <v>30</v>
      </c>
      <c r="C7">
        <v>37076</v>
      </c>
      <c r="D7">
        <v>15058</v>
      </c>
      <c r="E7">
        <v>1376</v>
      </c>
      <c r="F7">
        <v>202</v>
      </c>
      <c r="G7">
        <v>14172</v>
      </c>
      <c r="H7">
        <v>43674</v>
      </c>
      <c r="I7" s="1">
        <v>252000</v>
      </c>
      <c r="J7" s="1">
        <v>293900</v>
      </c>
      <c r="K7">
        <v>6895</v>
      </c>
      <c r="L7">
        <v>33535</v>
      </c>
      <c r="M7" s="14">
        <v>427900</v>
      </c>
      <c r="N7" s="14">
        <v>2407000</v>
      </c>
      <c r="O7" s="8">
        <f t="shared" si="4"/>
        <v>0.98031551144481521</v>
      </c>
      <c r="P7" s="8">
        <f t="shared" si="4"/>
        <v>1.0932586032195564</v>
      </c>
      <c r="Q7" s="8">
        <f t="shared" si="0"/>
        <v>2.7652106448016078</v>
      </c>
      <c r="R7" s="8">
        <f t="shared" si="0"/>
        <v>11.155813983067015</v>
      </c>
      <c r="S7" s="8">
        <f t="shared" si="5"/>
        <v>0.49303303683765665</v>
      </c>
      <c r="T7" s="8">
        <f t="shared" si="1"/>
        <v>0.68382836085351995</v>
      </c>
      <c r="U7" s="8">
        <f t="shared" si="1"/>
        <v>11.065296558277591</v>
      </c>
      <c r="V7" s="8">
        <f t="shared" si="1"/>
        <v>726.57790973587589</v>
      </c>
      <c r="W7" s="8">
        <f t="shared" si="6"/>
        <v>0.13065375476197899</v>
      </c>
      <c r="X7" s="8">
        <f t="shared" si="7"/>
        <v>0.1502153372477531</v>
      </c>
      <c r="Y7" s="8">
        <f t="shared" si="7"/>
        <v>2.1685057220749293</v>
      </c>
      <c r="Z7" s="8">
        <f t="shared" si="7"/>
        <v>119.94153981251262</v>
      </c>
      <c r="AA7" s="8">
        <f t="shared" si="8"/>
        <v>4844.1186115551327</v>
      </c>
      <c r="AB7" s="8">
        <f t="shared" si="8"/>
        <v>2261.942548276666</v>
      </c>
      <c r="AC7" s="8">
        <f t="shared" si="2"/>
        <v>2983.8638735751028</v>
      </c>
      <c r="AD7" s="8">
        <f t="shared" si="2"/>
        <v>24228.19104212755</v>
      </c>
      <c r="AE7" s="8">
        <f t="shared" si="9"/>
        <v>0.14115339550962494</v>
      </c>
      <c r="AF7" s="8">
        <f t="shared" si="10"/>
        <v>6.5911034955943151E-2</v>
      </c>
      <c r="AG7" s="8">
        <f t="shared" si="11"/>
        <v>8.6947193342653023E-2</v>
      </c>
      <c r="AH7" s="8">
        <f t="shared" si="12"/>
        <v>0.70598837619177879</v>
      </c>
      <c r="AI7" s="8">
        <f>LN((AVERAGE(G23:G25))/G7)/1.25</f>
        <v>-8.104185466473976E-2</v>
      </c>
      <c r="AJ7" s="8">
        <f>LN((AVERAGE(H23:H25))/H7)/1.25</f>
        <v>-6.6315404518033444E-2</v>
      </c>
      <c r="AK7" s="8">
        <f>LN((AVERAGE(I23:I25))/I7)/1.25</f>
        <v>-1.2477757450934343E-2</v>
      </c>
      <c r="AL7" s="8">
        <f>LN((AVERAGE(J23:J25))/J7)/1.25</f>
        <v>-8.5747685230467535E-3</v>
      </c>
      <c r="AM7" s="16">
        <f t="shared" si="20"/>
        <v>-2.2948842805006441E-2</v>
      </c>
      <c r="AN7" s="42">
        <f t="shared" si="13"/>
        <v>-1.6895155899200286E-2</v>
      </c>
      <c r="AO7" s="10">
        <v>30</v>
      </c>
      <c r="AP7" s="50">
        <f t="shared" si="14"/>
        <v>1.3023408379305204</v>
      </c>
      <c r="AQ7" s="50">
        <f t="shared" si="15"/>
        <v>0.5889226454779154</v>
      </c>
      <c r="AR7" s="50">
        <f>LN((AVERAGE(AP23:AP25))/AP7)/1.25</f>
        <v>-0.22836498708340242</v>
      </c>
      <c r="AS7" s="50">
        <f>LN((AVERAGE(AQ23:AQ25))/AQ7)/1.25</f>
        <v>-5.889858891081938E-2</v>
      </c>
      <c r="AT7" s="8">
        <f>AB7/(AB7+AC7)</f>
        <v>0.43119062473490982</v>
      </c>
      <c r="AU7" s="8">
        <f t="shared" si="16"/>
        <v>0.56880937526509023</v>
      </c>
      <c r="AV7" s="50">
        <f t="shared" si="17"/>
        <v>-0.13197091101043046</v>
      </c>
      <c r="AW7" s="46">
        <f t="shared" si="18"/>
        <v>43674</v>
      </c>
      <c r="AX7" s="47">
        <f t="shared" si="19"/>
        <v>252000</v>
      </c>
      <c r="AY7" s="48">
        <f>LN((AVERAGE(AW23:AW25))/AW7)/1.25</f>
        <v>-6.6315404518033444E-2</v>
      </c>
      <c r="AZ7" s="48">
        <f>LN((AVERAGE(AX23:AX25))/AX7)/1.25</f>
        <v>-1.2477757450934343E-2</v>
      </c>
      <c r="BA7" s="48">
        <f t="shared" si="3"/>
        <v>-3.569204612405439E-2</v>
      </c>
    </row>
    <row r="8" spans="1:53" x14ac:dyDescent="0.2">
      <c r="A8" s="5" t="s">
        <v>68</v>
      </c>
      <c r="B8" s="10">
        <v>40</v>
      </c>
      <c r="C8">
        <v>13402</v>
      </c>
      <c r="D8">
        <v>6136</v>
      </c>
      <c r="E8">
        <v>550</v>
      </c>
      <c r="F8">
        <v>32</v>
      </c>
      <c r="G8">
        <v>22625</v>
      </c>
      <c r="H8">
        <v>64251</v>
      </c>
      <c r="I8" s="1">
        <v>279200</v>
      </c>
      <c r="J8" s="1">
        <v>295100</v>
      </c>
      <c r="K8">
        <v>9025</v>
      </c>
      <c r="L8">
        <v>42698</v>
      </c>
      <c r="M8" s="14">
        <v>377200</v>
      </c>
      <c r="N8" s="14">
        <v>1615000</v>
      </c>
      <c r="O8" s="8">
        <f t="shared" si="4"/>
        <v>0.98934587126013795</v>
      </c>
      <c r="P8" s="8">
        <f t="shared" si="4"/>
        <v>1.1321061088476327</v>
      </c>
      <c r="Q8" s="8">
        <f t="shared" si="0"/>
        <v>2.5502626435636429</v>
      </c>
      <c r="R8" s="8">
        <f t="shared" si="0"/>
        <v>7.7980463897638961</v>
      </c>
      <c r="S8" s="8">
        <f t="shared" si="5"/>
        <v>0.50678392973689546</v>
      </c>
      <c r="T8" s="8">
        <f t="shared" si="1"/>
        <v>0.75934615682969053</v>
      </c>
      <c r="U8" s="8">
        <f t="shared" si="1"/>
        <v>8.6802678346204463</v>
      </c>
      <c r="V8" s="8">
        <f t="shared" si="1"/>
        <v>248.1623202286749</v>
      </c>
      <c r="W8" s="8">
        <f t="shared" si="6"/>
        <v>0.13429774138027731</v>
      </c>
      <c r="X8" s="8">
        <f t="shared" si="7"/>
        <v>0.16608934312429249</v>
      </c>
      <c r="Y8" s="8">
        <f t="shared" si="7"/>
        <v>1.718119107128959</v>
      </c>
      <c r="Z8" s="8">
        <f t="shared" si="7"/>
        <v>42.810635181035266</v>
      </c>
      <c r="AA8" s="8">
        <f t="shared" si="8"/>
        <v>1799.8583299784764</v>
      </c>
      <c r="AB8" s="8">
        <f t="shared" si="8"/>
        <v>1019.1242094106588</v>
      </c>
      <c r="AC8" s="8">
        <f t="shared" si="2"/>
        <v>944.96550892092739</v>
      </c>
      <c r="AD8" s="8">
        <f t="shared" si="2"/>
        <v>1369.9403257931285</v>
      </c>
      <c r="AE8" s="8">
        <f t="shared" si="9"/>
        <v>0.35058384577613316</v>
      </c>
      <c r="AF8" s="8">
        <f t="shared" si="10"/>
        <v>0.19850922636951246</v>
      </c>
      <c r="AG8" s="8">
        <f t="shared" si="11"/>
        <v>0.18406428813053377</v>
      </c>
      <c r="AH8" s="8">
        <f t="shared" si="12"/>
        <v>0.2668426397238205</v>
      </c>
      <c r="AI8" s="8">
        <f>LN((AVERAGE(G26:G28))/G8)/1.25</f>
        <v>-0.15872481772508384</v>
      </c>
      <c r="AJ8" s="8">
        <f>LN((AVERAGE(H26:H28))/H8)/1.25</f>
        <v>-3.9294894129887063E-2</v>
      </c>
      <c r="AK8" s="8">
        <f>LN((AVERAGE(I26:I28))/I8)/1.25</f>
        <v>-3.764365214072795E-2</v>
      </c>
      <c r="AL8" s="8">
        <f>LN((AVERAGE(J26:J28))/J8)/1.25</f>
        <v>-1.6282230858018908E-3</v>
      </c>
      <c r="AM8" s="16">
        <f t="shared" si="20"/>
        <v>-7.0810087432362584E-2</v>
      </c>
      <c r="AN8" s="42">
        <f t="shared" si="13"/>
        <v>-7.0375608086087948E-2</v>
      </c>
      <c r="AO8" s="10">
        <v>40</v>
      </c>
      <c r="AP8" s="50">
        <f t="shared" si="14"/>
        <v>1.5047777413461989</v>
      </c>
      <c r="AQ8" s="50">
        <f t="shared" si="15"/>
        <v>0.74019088016967127</v>
      </c>
      <c r="AR8" s="50">
        <f>LN((AVERAGE(AP26:AP28))/AP8)/1.25</f>
        <v>-0.20938345207163506</v>
      </c>
      <c r="AS8" s="50">
        <f>LN((AVERAGE(AQ26:AQ28))/AQ8)/1.25</f>
        <v>-9.0717712818795093E-2</v>
      </c>
      <c r="AT8" s="8">
        <f t="shared" ref="AT8:AT9" si="21">AB8/(AB8+AC8)</f>
        <v>0.51887864383118054</v>
      </c>
      <c r="AU8" s="8">
        <f t="shared" si="16"/>
        <v>0.48112135616881951</v>
      </c>
      <c r="AV8" s="50">
        <f>(AR8*AT8)+(AS8*AU8)</f>
        <v>-0.15229083067153318</v>
      </c>
      <c r="AW8" s="46">
        <f t="shared" si="18"/>
        <v>64251</v>
      </c>
      <c r="AX8" s="47">
        <f t="shared" si="19"/>
        <v>279200</v>
      </c>
      <c r="AY8" s="48">
        <f>LN((AVERAGE(AW26:AW28))/AW8)/1.25</f>
        <v>-3.9294894129887063E-2</v>
      </c>
      <c r="AZ8" s="48">
        <f>LN((AVERAGE(AX26:AX28))/AX8)/1.25</f>
        <v>-3.764365214072795E-2</v>
      </c>
      <c r="BA8" s="48">
        <f t="shared" si="3"/>
        <v>-3.8500446344699936E-2</v>
      </c>
    </row>
    <row r="9" spans="1:53" x14ac:dyDescent="0.2">
      <c r="A9" s="5" t="s">
        <v>69</v>
      </c>
      <c r="B9" s="10">
        <v>50</v>
      </c>
      <c r="C9">
        <v>13310</v>
      </c>
      <c r="D9">
        <v>6054</v>
      </c>
      <c r="E9">
        <v>505</v>
      </c>
      <c r="F9">
        <v>31</v>
      </c>
      <c r="G9">
        <v>22997</v>
      </c>
      <c r="H9">
        <v>66006</v>
      </c>
      <c r="I9" s="1">
        <v>286100</v>
      </c>
      <c r="J9" s="1">
        <v>292100</v>
      </c>
      <c r="K9">
        <v>5052</v>
      </c>
      <c r="L9">
        <v>44463</v>
      </c>
      <c r="M9" s="14">
        <v>410100</v>
      </c>
      <c r="N9" s="14">
        <v>1966000</v>
      </c>
      <c r="O9" s="8">
        <f t="shared" si="4"/>
        <v>0.97250191842151001</v>
      </c>
      <c r="P9" s="8">
        <f t="shared" si="4"/>
        <v>1.1395890126382642</v>
      </c>
      <c r="Q9" s="8">
        <f t="shared" si="0"/>
        <v>2.6897456660632293</v>
      </c>
      <c r="R9" s="8">
        <f t="shared" si="0"/>
        <v>9.2861479367959596</v>
      </c>
      <c r="S9" s="8">
        <f t="shared" si="5"/>
        <v>0.48133761068487507</v>
      </c>
      <c r="T9" s="8">
        <f t="shared" si="1"/>
        <v>0.774503095174643</v>
      </c>
      <c r="U9" s="8">
        <f t="shared" si="1"/>
        <v>10.1838512441396</v>
      </c>
      <c r="V9" s="8">
        <f t="shared" si="1"/>
        <v>419.0686682778275</v>
      </c>
      <c r="W9" s="8">
        <f t="shared" si="6"/>
        <v>0.12755446683149188</v>
      </c>
      <c r="X9" s="8">
        <f t="shared" si="7"/>
        <v>0.16926735512493821</v>
      </c>
      <c r="Y9" s="8">
        <f t="shared" si="7"/>
        <v>2.0025697564982363</v>
      </c>
      <c r="Z9" s="8">
        <f t="shared" si="7"/>
        <v>70.757340179447553</v>
      </c>
      <c r="AA9" s="8">
        <f t="shared" si="8"/>
        <v>1697.749953527157</v>
      </c>
      <c r="AB9" s="8">
        <f t="shared" si="8"/>
        <v>1024.7445679263758</v>
      </c>
      <c r="AC9" s="8">
        <f t="shared" si="2"/>
        <v>1011.2977270316094</v>
      </c>
      <c r="AD9" s="8">
        <f t="shared" si="2"/>
        <v>2193.4775455628742</v>
      </c>
      <c r="AE9" s="8">
        <f t="shared" si="9"/>
        <v>0.28643034862897343</v>
      </c>
      <c r="AF9" s="8">
        <f t="shared" si="10"/>
        <v>0.17288643904068499</v>
      </c>
      <c r="AG9" s="8">
        <f t="shared" si="11"/>
        <v>0.17061779911674069</v>
      </c>
      <c r="AH9" s="8">
        <f t="shared" si="12"/>
        <v>0.37006541321360087</v>
      </c>
      <c r="AI9" s="8">
        <f>LN((AVERAGE(G29:G31))/G9)/1.25</f>
        <v>-2.4896759997007814E-2</v>
      </c>
      <c r="AJ9" s="8">
        <f>LN((AVERAGE(H29:H31))/H9)/1.25</f>
        <v>8.8990022469351733E-3</v>
      </c>
      <c r="AK9" s="8">
        <f>LN((AVERAGE(I29:I31))/I9)/1.25</f>
        <v>-9.8471438445099715E-3</v>
      </c>
      <c r="AL9" s="8">
        <f>LN((AVERAGE(J29:J31))/J9)/1.25</f>
        <v>1.6981556652070649E-2</v>
      </c>
      <c r="AM9" s="16">
        <f>(AI9*AE9)+(AJ9*AF9)+(AG9*AK9)+(AH9*AL9)</f>
        <v>-9.8848206706470508E-4</v>
      </c>
      <c r="AN9" s="42">
        <f t="shared" si="13"/>
        <v>-7.2727688465234024E-3</v>
      </c>
      <c r="AO9" s="10">
        <v>50</v>
      </c>
      <c r="AP9" s="50">
        <f t="shared" si="14"/>
        <v>1.4845152148977803</v>
      </c>
      <c r="AQ9" s="50">
        <f t="shared" si="15"/>
        <v>0.69763472323823461</v>
      </c>
      <c r="AR9" s="50">
        <f>LN((AVERAGE(AP29:AP31))/AP9)/1.25</f>
        <v>-8.2998191933913348E-2</v>
      </c>
      <c r="AS9" s="50">
        <f>LN((AVERAGE(AQ29:AQ31))/AQ9)/1.25</f>
        <v>4.9294621773085384E-2</v>
      </c>
      <c r="AT9" s="8">
        <f t="shared" si="21"/>
        <v>0.50330220077649312</v>
      </c>
      <c r="AU9" s="8">
        <f t="shared" si="16"/>
        <v>0.49669779922350682</v>
      </c>
      <c r="AV9" s="50">
        <f t="shared" si="17"/>
        <v>-1.7288642512561698E-2</v>
      </c>
      <c r="AW9" s="46">
        <f t="shared" si="18"/>
        <v>66006</v>
      </c>
      <c r="AX9" s="47">
        <f t="shared" si="19"/>
        <v>286100</v>
      </c>
      <c r="AY9" s="48">
        <f>LN((AVERAGE(AW29:AW31))/AW9)/1.25</f>
        <v>8.8990022469351733E-3</v>
      </c>
      <c r="AZ9" s="48">
        <f>LN((AVERAGE(AX29:AX31))/AX9)/1.25</f>
        <v>-9.8471438445099715E-3</v>
      </c>
      <c r="BA9" s="48">
        <f t="shared" si="3"/>
        <v>-4.1216726060797505E-4</v>
      </c>
    </row>
    <row r="10" spans="1:53" x14ac:dyDescent="0.2">
      <c r="A10" s="9" t="s">
        <v>476</v>
      </c>
      <c r="B10" s="10">
        <v>70</v>
      </c>
      <c r="C10">
        <v>4155</v>
      </c>
      <c r="D10">
        <v>1342</v>
      </c>
      <c r="E10">
        <v>164</v>
      </c>
      <c r="F10">
        <v>10</v>
      </c>
      <c r="G10">
        <v>22468</v>
      </c>
      <c r="H10">
        <v>71345</v>
      </c>
      <c r="I10" s="1">
        <v>275000</v>
      </c>
      <c r="J10" s="1">
        <v>298600</v>
      </c>
      <c r="K10">
        <v>7547</v>
      </c>
      <c r="L10">
        <v>51450</v>
      </c>
      <c r="M10" s="14">
        <v>383800</v>
      </c>
      <c r="N10" s="14">
        <v>1006000</v>
      </c>
      <c r="O10" s="8">
        <f t="shared" si="4"/>
        <v>0.98307973426152429</v>
      </c>
      <c r="P10" s="8">
        <f t="shared" ref="P10:P11" si="22">(224333+L10)/235871</f>
        <v>1.1692111365958511</v>
      </c>
      <c r="Q10" s="8">
        <f t="shared" ref="Q10:Q11" si="23">(224333+M10)/235871</f>
        <v>2.5782440401745021</v>
      </c>
      <c r="R10" s="8">
        <f t="shared" ref="R10:R11" si="24">(224333+N10)/235871</f>
        <v>5.2161266115800586</v>
      </c>
      <c r="S10" s="8">
        <f>4/3*3.14*((O10/2)^3)</f>
        <v>0.49721546476214568</v>
      </c>
      <c r="T10" s="8">
        <f t="shared" ref="T10:T11" si="25">4/3*3.14*((P10/2)^3)</f>
        <v>0.83648320892712191</v>
      </c>
      <c r="U10" s="8">
        <f t="shared" ref="U10:U11" si="26">4/3*3.14*((Q10/2)^3)</f>
        <v>8.9691330243234866</v>
      </c>
      <c r="V10" s="8">
        <f t="shared" ref="V10:V11" si="27">4/3*3.14*((R10/2)^3)</f>
        <v>74.27159853617907</v>
      </c>
      <c r="W10" s="8">
        <f t="shared" ref="W10:W11" si="28">(S10*265)/1000</f>
        <v>0.1317620981619686</v>
      </c>
      <c r="X10" s="8">
        <f t="shared" ref="X10:X11" si="29">(10^(-0.665+LOG(T10, 10)*0.959))</f>
        <v>0.18223696805786993</v>
      </c>
      <c r="Y10" s="8">
        <f t="shared" ref="Y10:Y11" si="30">(10^(-0.665+LOG(U10, 10)*0.959))</f>
        <v>1.7729141089135367</v>
      </c>
      <c r="Z10" s="8">
        <f t="shared" ref="Z10:Z11" si="31">(10^(-0.665+LOG(V10, 10)*0.959))</f>
        <v>13.462292972846109</v>
      </c>
      <c r="AA10" s="8">
        <f t="shared" ref="AA10:AA11" si="32">W10*C10</f>
        <v>547.47151786297957</v>
      </c>
      <c r="AB10" s="8">
        <f t="shared" ref="AB10:AB11" si="33">X10*D10</f>
        <v>244.56201113366146</v>
      </c>
      <c r="AC10" s="8">
        <f t="shared" ref="AC10:AC11" si="34">Y10*E10</f>
        <v>290.75791386182004</v>
      </c>
      <c r="AD10" s="8">
        <f t="shared" ref="AD10:AD11" si="35">Z10*F10</f>
        <v>134.62292972846109</v>
      </c>
      <c r="AE10" s="8">
        <f t="shared" ref="AE10:AE11" si="36">AA10/(AA10+AB10+AC10+AD10)</f>
        <v>0.44970022548661071</v>
      </c>
      <c r="AF10" s="8">
        <f t="shared" ref="AF10:AF11" si="37">AB10/(AA10+AB10+AC10+AD10)</f>
        <v>0.20088641685245093</v>
      </c>
      <c r="AG10" s="8">
        <f t="shared" ref="AG10:AG11" si="38">AC10/(AA10+AB10+AC10+AD10)</f>
        <v>0.23883233220253461</v>
      </c>
      <c r="AH10" s="8">
        <f t="shared" ref="AH10:AH11" si="39">AD10/(AA10+AB10+AC10+AD10)</f>
        <v>0.11058102545840377</v>
      </c>
      <c r="AI10" s="8"/>
      <c r="AO10" s="10">
        <v>70</v>
      </c>
      <c r="AP10" s="50">
        <f t="shared" si="14"/>
        <v>1.3866861030126336</v>
      </c>
      <c r="AQ10" s="50">
        <f t="shared" si="15"/>
        <v>0.7165190203230849</v>
      </c>
      <c r="AR10" s="51"/>
      <c r="AS10" s="51"/>
      <c r="AV10" s="51"/>
      <c r="AW10" s="46">
        <f t="shared" si="18"/>
        <v>71345</v>
      </c>
      <c r="AX10" s="47">
        <f t="shared" si="19"/>
        <v>275000</v>
      </c>
      <c r="AY10" s="48"/>
      <c r="AZ10" s="48"/>
      <c r="BA10" s="48"/>
    </row>
    <row r="11" spans="1:53" x14ac:dyDescent="0.2">
      <c r="A11" s="9" t="s">
        <v>477</v>
      </c>
      <c r="B11" s="10">
        <v>100</v>
      </c>
      <c r="C11">
        <v>2147</v>
      </c>
      <c r="D11">
        <v>747</v>
      </c>
      <c r="E11">
        <v>84</v>
      </c>
      <c r="F11">
        <v>8</v>
      </c>
      <c r="G11">
        <v>26050</v>
      </c>
      <c r="H11">
        <v>82700</v>
      </c>
      <c r="I11" s="1">
        <v>290300</v>
      </c>
      <c r="J11" s="1">
        <v>299200</v>
      </c>
      <c r="K11">
        <v>7164</v>
      </c>
      <c r="L11">
        <v>55057</v>
      </c>
      <c r="M11" s="14">
        <v>383600</v>
      </c>
      <c r="N11" s="14">
        <v>1243000</v>
      </c>
      <c r="O11" s="8">
        <f t="shared" si="4"/>
        <v>0.98145596533698509</v>
      </c>
      <c r="P11" s="8">
        <f t="shared" si="22"/>
        <v>1.1845033938042404</v>
      </c>
      <c r="Q11" s="8">
        <f t="shared" si="23"/>
        <v>2.577396119065082</v>
      </c>
      <c r="R11" s="8">
        <f t="shared" si="24"/>
        <v>6.220913126242734</v>
      </c>
      <c r="S11" s="8">
        <f t="shared" ref="S11" si="40">4/3*3.14*((O11/2)^3)</f>
        <v>0.49475575516224873</v>
      </c>
      <c r="T11" s="8">
        <f t="shared" si="25"/>
        <v>0.86973575797450409</v>
      </c>
      <c r="U11" s="8">
        <f t="shared" si="26"/>
        <v>8.9602867519256044</v>
      </c>
      <c r="V11" s="8">
        <f t="shared" si="27"/>
        <v>125.99137260364489</v>
      </c>
      <c r="W11" s="8">
        <f t="shared" si="28"/>
        <v>0.13111027511799592</v>
      </c>
      <c r="X11" s="8">
        <f t="shared" si="29"/>
        <v>0.18917879092791126</v>
      </c>
      <c r="Y11" s="8">
        <f t="shared" si="30"/>
        <v>1.7712371403156131</v>
      </c>
      <c r="Z11" s="8">
        <f t="shared" si="31"/>
        <v>22.347391338341982</v>
      </c>
      <c r="AA11" s="8">
        <f t="shared" si="32"/>
        <v>281.49376067833725</v>
      </c>
      <c r="AB11" s="8">
        <f t="shared" si="33"/>
        <v>141.31655682314971</v>
      </c>
      <c r="AC11" s="8">
        <f t="shared" si="34"/>
        <v>148.78391978651149</v>
      </c>
      <c r="AD11" s="8">
        <f t="shared" si="35"/>
        <v>178.77913070673586</v>
      </c>
      <c r="AE11" s="8">
        <f t="shared" si="36"/>
        <v>0.37513826141056839</v>
      </c>
      <c r="AF11" s="8">
        <f t="shared" si="37"/>
        <v>0.18832832140724562</v>
      </c>
      <c r="AG11" s="8">
        <f t="shared" si="38"/>
        <v>0.19827985124807304</v>
      </c>
      <c r="AH11" s="8">
        <f t="shared" si="39"/>
        <v>0.23825356593411298</v>
      </c>
      <c r="AI11" s="8"/>
      <c r="AO11" s="10">
        <v>100</v>
      </c>
      <c r="AP11" s="50">
        <f t="shared" si="14"/>
        <v>1.5020796628948181</v>
      </c>
      <c r="AQ11" s="50">
        <f t="shared" si="15"/>
        <v>0.75677789363920756</v>
      </c>
      <c r="AR11" s="51"/>
      <c r="AS11" s="51"/>
      <c r="AV11" s="51"/>
      <c r="AW11" s="46">
        <f t="shared" si="18"/>
        <v>82700</v>
      </c>
      <c r="AX11" s="47">
        <f t="shared" si="19"/>
        <v>290300</v>
      </c>
      <c r="AY11" s="48"/>
      <c r="AZ11" s="48"/>
      <c r="BA11" s="48"/>
    </row>
    <row r="13" spans="1:53" x14ac:dyDescent="0.2">
      <c r="A13" s="5" t="s">
        <v>40</v>
      </c>
      <c r="B13" s="5" t="s">
        <v>115</v>
      </c>
      <c r="C13" s="5" t="s">
        <v>0</v>
      </c>
      <c r="D13" s="5" t="s">
        <v>1</v>
      </c>
      <c r="E13" s="5" t="s">
        <v>2</v>
      </c>
      <c r="F13" s="5" t="s">
        <v>3</v>
      </c>
      <c r="G13" s="5" t="s">
        <v>4</v>
      </c>
      <c r="H13" s="5" t="s">
        <v>5</v>
      </c>
      <c r="I13" s="5" t="s">
        <v>6</v>
      </c>
      <c r="J13" s="5" t="s">
        <v>7</v>
      </c>
      <c r="K13" s="5" t="s">
        <v>8</v>
      </c>
      <c r="L13" s="5" t="s">
        <v>9</v>
      </c>
      <c r="M13" s="12" t="s">
        <v>10</v>
      </c>
      <c r="N13" s="12" t="s">
        <v>11</v>
      </c>
      <c r="O13" s="4" t="s">
        <v>26</v>
      </c>
      <c r="P13" s="4" t="s">
        <v>27</v>
      </c>
      <c r="Q13" s="4" t="s">
        <v>28</v>
      </c>
      <c r="R13" s="4" t="s">
        <v>29</v>
      </c>
      <c r="S13" s="4"/>
      <c r="T13" s="4"/>
      <c r="U13" s="4"/>
      <c r="V13" s="4"/>
      <c r="W13" s="4"/>
      <c r="X13" s="4"/>
      <c r="Y13" s="4"/>
      <c r="Z13" s="4"/>
      <c r="AA13" s="4"/>
      <c r="AB13" s="4"/>
      <c r="AC13" s="4"/>
      <c r="AD13" s="4"/>
      <c r="AE13" s="4"/>
      <c r="AF13" s="4"/>
      <c r="AG13" s="4"/>
      <c r="AH13" s="4"/>
      <c r="AI13" s="4"/>
      <c r="AO13" s="5" t="s">
        <v>115</v>
      </c>
    </row>
    <row r="14" spans="1:53" x14ac:dyDescent="0.2">
      <c r="A14" s="9" t="s">
        <v>70</v>
      </c>
      <c r="B14" s="10">
        <v>5</v>
      </c>
      <c r="C14">
        <v>3495</v>
      </c>
      <c r="D14">
        <v>2122</v>
      </c>
      <c r="E14">
        <v>122</v>
      </c>
      <c r="F14">
        <v>59</v>
      </c>
      <c r="G14">
        <v>8992</v>
      </c>
      <c r="H14">
        <v>21426</v>
      </c>
      <c r="I14" s="1">
        <v>212000</v>
      </c>
      <c r="J14" s="1">
        <v>290800</v>
      </c>
      <c r="K14">
        <v>8537</v>
      </c>
      <c r="L14">
        <v>40979</v>
      </c>
      <c r="M14" s="14">
        <v>457700</v>
      </c>
      <c r="N14" s="14">
        <v>2039000</v>
      </c>
      <c r="O14" s="8">
        <f t="shared" ref="O14:R19" si="41">(224333+K14)/235871</f>
        <v>0.98727694375315322</v>
      </c>
      <c r="P14" s="8">
        <f t="shared" si="41"/>
        <v>1.124818226912168</v>
      </c>
      <c r="Q14" s="8">
        <f t="shared" si="41"/>
        <v>2.8915508901051847</v>
      </c>
      <c r="R14" s="8">
        <f t="shared" si="41"/>
        <v>9.595639141734253</v>
      </c>
      <c r="S14" s="8">
        <f t="shared" ref="S14:V19" si="42">4/3*3.14*((O14/2)^3)</f>
        <v>0.50361120276125859</v>
      </c>
      <c r="T14" s="8">
        <f t="shared" si="42"/>
        <v>0.74477558830039647</v>
      </c>
      <c r="U14" s="8">
        <f t="shared" si="42"/>
        <v>12.652341865790852</v>
      </c>
      <c r="V14" s="8">
        <f t="shared" si="42"/>
        <v>462.38114876660097</v>
      </c>
      <c r="W14" s="8">
        <f t="shared" ref="W14:W19" si="43">(S14*265)/1000</f>
        <v>0.13345696873173352</v>
      </c>
      <c r="X14" s="8">
        <f t="shared" ref="X14:Z19" si="44">(10^(-0.665+LOG(T14, 10)*0.959))</f>
        <v>0.16303182512639439</v>
      </c>
      <c r="Y14" s="8">
        <f t="shared" si="44"/>
        <v>2.4659366217298335</v>
      </c>
      <c r="Z14" s="8">
        <f t="shared" si="44"/>
        <v>77.75621549856848</v>
      </c>
      <c r="AA14" s="8">
        <f t="shared" ref="AA14:AA31" si="45">W14*C14</f>
        <v>466.43210571740866</v>
      </c>
      <c r="AB14" s="8">
        <f t="shared" ref="AB14:AB31" si="46">X14*D14</f>
        <v>345.95353291820891</v>
      </c>
      <c r="AC14" s="8">
        <f t="shared" ref="AC14:AC31" si="47">Y14*E14</f>
        <v>300.84426785103972</v>
      </c>
      <c r="AD14" s="8">
        <f t="shared" ref="AD14:AD31" si="48">Z14*F14</f>
        <v>4587.6167144155406</v>
      </c>
      <c r="AE14" s="8">
        <f t="shared" ref="AE14:AE30" si="49">AA14/(AA14+AB14+AC14+AD14)</f>
        <v>8.1818041553202242E-2</v>
      </c>
      <c r="AF14" s="8">
        <f t="shared" ref="AF14:AF31" si="50">AB14/(AA14+AB14+AC14+AD14)</f>
        <v>6.0684588785421378E-2</v>
      </c>
      <c r="AG14" s="8">
        <f t="shared" ref="AG14:AG31" si="51">AC14/(AA14+AB14+AC14+AD14)</f>
        <v>5.2771857911067435E-2</v>
      </c>
      <c r="AH14" s="8">
        <f t="shared" ref="AH14:AH31" si="52">AD14/(AA14+AB14+AC14+AD14)</f>
        <v>0.80472551175030893</v>
      </c>
      <c r="AI14" s="8"/>
      <c r="AO14" s="10">
        <v>5</v>
      </c>
      <c r="AP14" s="8">
        <f t="shared" ref="AP14:AP31" si="53">H14/L14</f>
        <v>0.5228531686961615</v>
      </c>
      <c r="AQ14" s="8">
        <f t="shared" ref="AQ14:AQ31" si="54">I14/M14</f>
        <v>0.46318549268079529</v>
      </c>
      <c r="AW14" s="5">
        <f>H14</f>
        <v>21426</v>
      </c>
      <c r="AX14" s="5">
        <f t="shared" ref="AX14" si="55">I14</f>
        <v>212000</v>
      </c>
    </row>
    <row r="15" spans="1:53" x14ac:dyDescent="0.2">
      <c r="A15" s="9" t="s">
        <v>71</v>
      </c>
      <c r="B15" s="10">
        <v>5</v>
      </c>
      <c r="C15">
        <v>13009</v>
      </c>
      <c r="D15">
        <v>9137</v>
      </c>
      <c r="E15">
        <v>426</v>
      </c>
      <c r="F15">
        <v>125</v>
      </c>
      <c r="G15">
        <v>9333</v>
      </c>
      <c r="H15">
        <v>25301</v>
      </c>
      <c r="I15" s="1">
        <v>207100</v>
      </c>
      <c r="J15" s="1">
        <v>291600</v>
      </c>
      <c r="K15">
        <v>6027</v>
      </c>
      <c r="L15">
        <v>41346</v>
      </c>
      <c r="M15" s="14">
        <v>595500</v>
      </c>
      <c r="N15" s="14">
        <v>2292000</v>
      </c>
      <c r="O15" s="8">
        <f t="shared" si="41"/>
        <v>0.97663553382993251</v>
      </c>
      <c r="P15" s="8">
        <f t="shared" si="41"/>
        <v>1.1263741621479537</v>
      </c>
      <c r="Q15" s="8">
        <f t="shared" si="41"/>
        <v>3.4757685344955505</v>
      </c>
      <c r="R15" s="8">
        <f t="shared" si="41"/>
        <v>10.668259345150528</v>
      </c>
      <c r="S15" s="8">
        <f t="shared" si="42"/>
        <v>0.48750150682621984</v>
      </c>
      <c r="T15" s="8">
        <f t="shared" si="42"/>
        <v>0.74787055848656958</v>
      </c>
      <c r="U15" s="8">
        <f t="shared" si="42"/>
        <v>21.975104026191321</v>
      </c>
      <c r="V15" s="8">
        <f t="shared" si="42"/>
        <v>635.4173839155111</v>
      </c>
      <c r="W15" s="8">
        <f t="shared" si="43"/>
        <v>0.12918789930894825</v>
      </c>
      <c r="X15" s="8">
        <f t="shared" si="44"/>
        <v>0.16368148357197454</v>
      </c>
      <c r="Y15" s="8">
        <f t="shared" si="44"/>
        <v>4.1870849393948593</v>
      </c>
      <c r="Z15" s="8">
        <f t="shared" si="44"/>
        <v>105.47114710250632</v>
      </c>
      <c r="AA15" s="8">
        <f t="shared" si="45"/>
        <v>1680.6053821101077</v>
      </c>
      <c r="AB15" s="8">
        <f t="shared" si="46"/>
        <v>1495.5577153971315</v>
      </c>
      <c r="AC15" s="8">
        <f t="shared" si="47"/>
        <v>1783.6981841822101</v>
      </c>
      <c r="AD15" s="8">
        <f t="shared" si="48"/>
        <v>13183.89338781329</v>
      </c>
      <c r="AE15" s="8">
        <f t="shared" si="49"/>
        <v>9.2627210449168149E-2</v>
      </c>
      <c r="AF15" s="8">
        <f t="shared" si="50"/>
        <v>8.2428237299249127E-2</v>
      </c>
      <c r="AG15" s="8">
        <f t="shared" si="51"/>
        <v>9.8309209789987487E-2</v>
      </c>
      <c r="AH15" s="8">
        <f t="shared" si="52"/>
        <v>0.72663534246159511</v>
      </c>
      <c r="AI15" s="8"/>
      <c r="AO15" s="10">
        <v>5</v>
      </c>
      <c r="AP15" s="8">
        <f t="shared" si="53"/>
        <v>0.61193343975233394</v>
      </c>
      <c r="AQ15" s="8">
        <f t="shared" si="54"/>
        <v>0.34777497900923593</v>
      </c>
      <c r="AW15" s="5">
        <f t="shared" ref="AW15:AW31" si="56">H15</f>
        <v>25301</v>
      </c>
      <c r="AX15" s="5">
        <f t="shared" ref="AX15:AX31" si="57">I15</f>
        <v>207100</v>
      </c>
    </row>
    <row r="16" spans="1:53" x14ac:dyDescent="0.2">
      <c r="A16" s="9" t="s">
        <v>72</v>
      </c>
      <c r="B16" s="10">
        <v>5</v>
      </c>
      <c r="C16">
        <v>12700</v>
      </c>
      <c r="D16">
        <v>8159</v>
      </c>
      <c r="E16">
        <v>669</v>
      </c>
      <c r="F16">
        <v>112</v>
      </c>
      <c r="G16">
        <v>8933</v>
      </c>
      <c r="H16">
        <v>23855</v>
      </c>
      <c r="I16" s="1">
        <v>191400</v>
      </c>
      <c r="J16" s="1">
        <v>294900</v>
      </c>
      <c r="K16">
        <v>9312</v>
      </c>
      <c r="L16">
        <v>35220</v>
      </c>
      <c r="M16" s="14">
        <v>453700</v>
      </c>
      <c r="N16" s="14">
        <v>2487000</v>
      </c>
      <c r="O16" s="8">
        <f t="shared" si="41"/>
        <v>0.99056263805215561</v>
      </c>
      <c r="P16" s="8">
        <f t="shared" si="41"/>
        <v>1.1004023385664199</v>
      </c>
      <c r="Q16" s="8">
        <f t="shared" si="41"/>
        <v>2.8745924679167851</v>
      </c>
      <c r="R16" s="8">
        <f t="shared" si="41"/>
        <v>11.494982426835007</v>
      </c>
      <c r="S16" s="8">
        <f t="shared" si="42"/>
        <v>0.50865606536609176</v>
      </c>
      <c r="T16" s="8">
        <f t="shared" si="42"/>
        <v>0.69732126883578693</v>
      </c>
      <c r="U16" s="8">
        <f t="shared" si="42"/>
        <v>12.431033807623084</v>
      </c>
      <c r="V16" s="8">
        <f t="shared" si="42"/>
        <v>794.88322656045466</v>
      </c>
      <c r="W16" s="8">
        <f t="shared" si="43"/>
        <v>0.13479385732201429</v>
      </c>
      <c r="X16" s="8">
        <f t="shared" si="44"/>
        <v>0.15305663547570769</v>
      </c>
      <c r="Y16" s="8">
        <f t="shared" si="44"/>
        <v>2.4245572893187051</v>
      </c>
      <c r="Z16" s="8">
        <f t="shared" si="44"/>
        <v>130.73470644848794</v>
      </c>
      <c r="AA16" s="8">
        <f t="shared" si="45"/>
        <v>1711.8819879895816</v>
      </c>
      <c r="AB16" s="8">
        <f t="shared" si="46"/>
        <v>1248.7890888462991</v>
      </c>
      <c r="AC16" s="8">
        <f t="shared" si="47"/>
        <v>1622.0288265542138</v>
      </c>
      <c r="AD16" s="8">
        <f t="shared" si="48"/>
        <v>14642.287122230649</v>
      </c>
      <c r="AE16" s="8">
        <f t="shared" si="49"/>
        <v>8.904463684205309E-2</v>
      </c>
      <c r="AF16" s="8">
        <f t="shared" si="50"/>
        <v>6.4956563413128124E-2</v>
      </c>
      <c r="AG16" s="8">
        <f t="shared" si="51"/>
        <v>8.437086716326879E-2</v>
      </c>
      <c r="AH16" s="8">
        <f t="shared" si="52"/>
        <v>0.76162793258155004</v>
      </c>
      <c r="AI16" s="8"/>
      <c r="AO16" s="10">
        <v>5</v>
      </c>
      <c r="AP16" s="8">
        <f t="shared" si="53"/>
        <v>0.67731402612152192</v>
      </c>
      <c r="AQ16" s="8">
        <f t="shared" si="54"/>
        <v>0.42186466828300639</v>
      </c>
      <c r="AW16" s="5">
        <f t="shared" si="56"/>
        <v>23855</v>
      </c>
      <c r="AX16" s="5">
        <f t="shared" si="57"/>
        <v>191400</v>
      </c>
    </row>
    <row r="17" spans="1:50" x14ac:dyDescent="0.2">
      <c r="A17" s="9" t="s">
        <v>73</v>
      </c>
      <c r="B17" s="10">
        <v>12</v>
      </c>
      <c r="C17">
        <v>4370</v>
      </c>
      <c r="D17">
        <v>3075</v>
      </c>
      <c r="E17">
        <v>130</v>
      </c>
      <c r="F17">
        <v>26</v>
      </c>
      <c r="G17">
        <v>9060</v>
      </c>
      <c r="H17">
        <v>25923</v>
      </c>
      <c r="I17" s="1">
        <v>198300</v>
      </c>
      <c r="J17" s="1">
        <v>293200</v>
      </c>
      <c r="K17">
        <v>3717</v>
      </c>
      <c r="L17">
        <v>40825</v>
      </c>
      <c r="M17" s="14">
        <v>504200</v>
      </c>
      <c r="N17" s="14">
        <v>2235000</v>
      </c>
      <c r="O17" s="8">
        <f t="shared" si="41"/>
        <v>0.96684204501613169</v>
      </c>
      <c r="P17" s="8">
        <f t="shared" si="41"/>
        <v>1.1241653276579147</v>
      </c>
      <c r="Q17" s="8">
        <f t="shared" si="41"/>
        <v>3.08869254804533</v>
      </c>
      <c r="R17" s="8">
        <f t="shared" si="41"/>
        <v>10.426601828965833</v>
      </c>
      <c r="S17" s="8">
        <f t="shared" si="42"/>
        <v>0.47298240209015335</v>
      </c>
      <c r="T17" s="8">
        <f t="shared" si="42"/>
        <v>0.74347942892582242</v>
      </c>
      <c r="U17" s="8">
        <f t="shared" si="42"/>
        <v>15.420641421037923</v>
      </c>
      <c r="V17" s="8">
        <f t="shared" si="42"/>
        <v>593.20767964575327</v>
      </c>
      <c r="W17" s="8">
        <f t="shared" si="43"/>
        <v>0.12534033655389062</v>
      </c>
      <c r="X17" s="8">
        <f t="shared" si="44"/>
        <v>0.16275971827750918</v>
      </c>
      <c r="Y17" s="8">
        <f t="shared" si="44"/>
        <v>2.9811940005679616</v>
      </c>
      <c r="Z17" s="8">
        <f t="shared" si="44"/>
        <v>98.742765729528784</v>
      </c>
      <c r="AA17" s="8">
        <f t="shared" si="45"/>
        <v>547.73727074050203</v>
      </c>
      <c r="AB17" s="8">
        <f t="shared" si="46"/>
        <v>500.48613370334073</v>
      </c>
      <c r="AC17" s="8">
        <f t="shared" si="47"/>
        <v>387.55522007383502</v>
      </c>
      <c r="AD17" s="8">
        <f t="shared" si="48"/>
        <v>2567.3119089677484</v>
      </c>
      <c r="AE17" s="8">
        <f t="shared" si="49"/>
        <v>0.13682859934311706</v>
      </c>
      <c r="AF17" s="8">
        <f t="shared" si="50"/>
        <v>0.12502493498881115</v>
      </c>
      <c r="AG17" s="8">
        <f t="shared" si="51"/>
        <v>9.6814003288703279E-2</v>
      </c>
      <c r="AH17" s="8">
        <f t="shared" si="52"/>
        <v>0.64133246237936858</v>
      </c>
      <c r="AI17" s="8"/>
      <c r="AO17" s="10">
        <v>12</v>
      </c>
      <c r="AP17" s="8">
        <f t="shared" si="53"/>
        <v>0.63497856705450095</v>
      </c>
      <c r="AQ17" s="8">
        <f t="shared" si="54"/>
        <v>0.39329631098770329</v>
      </c>
      <c r="AW17" s="5">
        <f t="shared" si="56"/>
        <v>25923</v>
      </c>
      <c r="AX17" s="5">
        <f t="shared" si="57"/>
        <v>198300</v>
      </c>
    </row>
    <row r="18" spans="1:50" x14ac:dyDescent="0.2">
      <c r="A18" s="9" t="s">
        <v>74</v>
      </c>
      <c r="B18" s="10">
        <v>12</v>
      </c>
      <c r="C18">
        <v>13328</v>
      </c>
      <c r="D18">
        <v>9622</v>
      </c>
      <c r="E18">
        <v>448</v>
      </c>
      <c r="F18">
        <v>80</v>
      </c>
      <c r="G18">
        <v>9413</v>
      </c>
      <c r="H18">
        <v>26091</v>
      </c>
      <c r="I18" s="1">
        <v>201100</v>
      </c>
      <c r="J18" s="1">
        <v>297000</v>
      </c>
      <c r="K18">
        <v>5020</v>
      </c>
      <c r="L18">
        <v>35737</v>
      </c>
      <c r="M18" s="14">
        <v>498000</v>
      </c>
      <c r="N18" s="14">
        <v>2594000</v>
      </c>
      <c r="O18" s="8">
        <f t="shared" si="41"/>
        <v>0.97236625104400287</v>
      </c>
      <c r="P18" s="8">
        <f t="shared" si="41"/>
        <v>1.1025942146342704</v>
      </c>
      <c r="Q18" s="8">
        <f t="shared" si="41"/>
        <v>3.0624069936533105</v>
      </c>
      <c r="R18" s="8">
        <f t="shared" si="41"/>
        <v>11.948620220374696</v>
      </c>
      <c r="S18" s="8">
        <f t="shared" si="42"/>
        <v>0.48113619400683355</v>
      </c>
      <c r="T18" s="8">
        <f t="shared" si="42"/>
        <v>0.70149652796713713</v>
      </c>
      <c r="U18" s="8">
        <f t="shared" si="42"/>
        <v>15.030281738461989</v>
      </c>
      <c r="V18" s="8">
        <f t="shared" si="42"/>
        <v>892.75372381143904</v>
      </c>
      <c r="W18" s="8">
        <f t="shared" si="43"/>
        <v>0.1275010914118109</v>
      </c>
      <c r="X18" s="8">
        <f t="shared" si="44"/>
        <v>0.15393539104792542</v>
      </c>
      <c r="Y18" s="8">
        <f t="shared" si="44"/>
        <v>2.908783978158263</v>
      </c>
      <c r="Z18" s="8">
        <f t="shared" si="44"/>
        <v>146.13413455031809</v>
      </c>
      <c r="AA18" s="8">
        <f t="shared" si="45"/>
        <v>1699.3345463366156</v>
      </c>
      <c r="AB18" s="8">
        <f t="shared" si="46"/>
        <v>1481.1663326631383</v>
      </c>
      <c r="AC18" s="8">
        <f t="shared" si="47"/>
        <v>1303.1352222149019</v>
      </c>
      <c r="AD18" s="8">
        <f t="shared" si="48"/>
        <v>11690.730764025448</v>
      </c>
      <c r="AE18" s="8">
        <f t="shared" si="49"/>
        <v>0.1050634352797209</v>
      </c>
      <c r="AF18" s="8">
        <f t="shared" si="50"/>
        <v>9.1574918820858026E-2</v>
      </c>
      <c r="AG18" s="8">
        <f t="shared" si="51"/>
        <v>8.0567927825072078E-2</v>
      </c>
      <c r="AH18" s="8">
        <f t="shared" si="52"/>
        <v>0.722793718074349</v>
      </c>
      <c r="AI18" s="8"/>
      <c r="AO18" s="10">
        <v>12</v>
      </c>
      <c r="AP18" s="8">
        <f t="shared" si="53"/>
        <v>0.73008366678792291</v>
      </c>
      <c r="AQ18" s="8">
        <f t="shared" si="54"/>
        <v>0.4038152610441767</v>
      </c>
      <c r="AW18" s="5">
        <f t="shared" si="56"/>
        <v>26091</v>
      </c>
      <c r="AX18" s="5">
        <f t="shared" si="57"/>
        <v>201100</v>
      </c>
    </row>
    <row r="19" spans="1:50" x14ac:dyDescent="0.2">
      <c r="A19" s="9" t="s">
        <v>75</v>
      </c>
      <c r="B19" s="10">
        <v>12</v>
      </c>
      <c r="C19">
        <v>13539</v>
      </c>
      <c r="D19">
        <v>8149</v>
      </c>
      <c r="E19">
        <v>550</v>
      </c>
      <c r="F19">
        <v>83</v>
      </c>
      <c r="G19">
        <v>8776</v>
      </c>
      <c r="H19">
        <v>23996</v>
      </c>
      <c r="I19" s="1">
        <v>194900</v>
      </c>
      <c r="J19" s="1">
        <v>297000</v>
      </c>
      <c r="K19">
        <v>4073</v>
      </c>
      <c r="L19">
        <v>36607</v>
      </c>
      <c r="M19" s="14">
        <v>494500</v>
      </c>
      <c r="N19" s="14">
        <v>2157000</v>
      </c>
      <c r="O19" s="8">
        <f t="shared" si="41"/>
        <v>0.96835134459089922</v>
      </c>
      <c r="P19" s="8">
        <f t="shared" si="41"/>
        <v>1.1062826714602474</v>
      </c>
      <c r="Q19" s="8">
        <f t="shared" si="41"/>
        <v>3.0475683742384607</v>
      </c>
      <c r="R19" s="8">
        <f t="shared" si="41"/>
        <v>10.095912596292042</v>
      </c>
      <c r="S19" s="8">
        <f t="shared" si="42"/>
        <v>0.47520092512602075</v>
      </c>
      <c r="T19" s="8">
        <f t="shared" si="42"/>
        <v>0.70856015549688733</v>
      </c>
      <c r="U19" s="8">
        <f t="shared" si="42"/>
        <v>14.81285501072818</v>
      </c>
      <c r="V19" s="8">
        <f t="shared" si="42"/>
        <v>538.53650054972161</v>
      </c>
      <c r="W19" s="8">
        <f t="shared" si="43"/>
        <v>0.12592824515839549</v>
      </c>
      <c r="X19" s="8">
        <f t="shared" si="44"/>
        <v>0.15542156623320746</v>
      </c>
      <c r="Y19" s="8">
        <f t="shared" si="44"/>
        <v>2.8684189455610305</v>
      </c>
      <c r="Z19" s="8">
        <f t="shared" si="44"/>
        <v>89.998510755120847</v>
      </c>
      <c r="AA19" s="8">
        <f t="shared" si="45"/>
        <v>1704.9425111995165</v>
      </c>
      <c r="AB19" s="8">
        <f t="shared" si="46"/>
        <v>1266.5303432344076</v>
      </c>
      <c r="AC19" s="8">
        <f t="shared" si="47"/>
        <v>1577.6304200585669</v>
      </c>
      <c r="AD19" s="8">
        <f t="shared" si="48"/>
        <v>7469.8763926750307</v>
      </c>
      <c r="AE19" s="8">
        <f t="shared" si="49"/>
        <v>0.14185418050559989</v>
      </c>
      <c r="AF19" s="8">
        <f t="shared" si="50"/>
        <v>0.10537752607188554</v>
      </c>
      <c r="AG19" s="8">
        <f t="shared" si="51"/>
        <v>0.13126159322560552</v>
      </c>
      <c r="AH19" s="8">
        <f t="shared" si="52"/>
        <v>0.62150670019690912</v>
      </c>
      <c r="AI19" s="8"/>
      <c r="AO19" s="10">
        <v>12</v>
      </c>
      <c r="AP19" s="8">
        <f t="shared" si="53"/>
        <v>0.65550304586554486</v>
      </c>
      <c r="AQ19" s="8">
        <f t="shared" si="54"/>
        <v>0.39413549039433771</v>
      </c>
      <c r="AW19" s="5">
        <f t="shared" si="56"/>
        <v>23996</v>
      </c>
      <c r="AX19" s="5">
        <f t="shared" si="57"/>
        <v>194900</v>
      </c>
    </row>
    <row r="20" spans="1:50" x14ac:dyDescent="0.2">
      <c r="A20" s="9" t="s">
        <v>76</v>
      </c>
      <c r="B20" s="10">
        <v>20</v>
      </c>
      <c r="C20">
        <v>7951</v>
      </c>
      <c r="D20">
        <v>4729</v>
      </c>
      <c r="E20">
        <v>158</v>
      </c>
      <c r="F20">
        <v>21</v>
      </c>
      <c r="G20">
        <v>9483</v>
      </c>
      <c r="H20">
        <v>25955</v>
      </c>
      <c r="I20" s="1">
        <v>196900</v>
      </c>
      <c r="J20" s="1">
        <v>289600</v>
      </c>
      <c r="K20">
        <v>5742</v>
      </c>
      <c r="L20">
        <v>33385</v>
      </c>
      <c r="M20" s="14">
        <v>476600</v>
      </c>
      <c r="N20" s="14">
        <v>1596000</v>
      </c>
      <c r="O20" s="8">
        <f t="shared" ref="O20:O31" si="58">(224333+K20)/235871</f>
        <v>0.97542724624900901</v>
      </c>
      <c r="P20" s="8">
        <f t="shared" ref="P20:P31" si="59">(224333+L20)/235871</f>
        <v>1.0926226623874915</v>
      </c>
      <c r="Q20" s="8">
        <f t="shared" ref="Q20:Q31" si="60">(224333+M20)/235871</f>
        <v>2.9716794349453726</v>
      </c>
      <c r="R20" s="8">
        <f t="shared" ref="R20:R31" si="61">(224333+N20)/235871</f>
        <v>7.7174938843689986</v>
      </c>
      <c r="S20" s="8">
        <f t="shared" ref="S20:S31" si="62">4/3*3.14*((O20/2)^3)</f>
        <v>0.48569434272871431</v>
      </c>
      <c r="T20" s="8">
        <f t="shared" ref="T20:T31" si="63">4/3*3.14*((P20/2)^3)</f>
        <v>0.68263572044475473</v>
      </c>
      <c r="U20" s="8">
        <f t="shared" ref="U20:U31" si="64">4/3*3.14*((Q20/2)^3)</f>
        <v>13.733596204700623</v>
      </c>
      <c r="V20" s="8">
        <f t="shared" ref="V20:V31" si="65">4/3*3.14*((R20/2)^3)</f>
        <v>240.55106261220726</v>
      </c>
      <c r="W20" s="8">
        <f t="shared" ref="W20:W31" si="66">(S20*265)/1000</f>
        <v>0.12870900082310929</v>
      </c>
      <c r="X20" s="8">
        <f t="shared" ref="X20:X31" si="67">(10^(-0.665+LOG(T20, 10)*0.959))</f>
        <v>0.14996408449291634</v>
      </c>
      <c r="Y20" s="8">
        <f t="shared" ref="Y20:Y31" si="68">(10^(-0.665+LOG(U20, 10)*0.959))</f>
        <v>2.6676885139104574</v>
      </c>
      <c r="Z20" s="8">
        <f t="shared" ref="Z20:Z31" si="69">(10^(-0.665+LOG(V20, 10)*0.959))</f>
        <v>41.550646091431098</v>
      </c>
      <c r="AA20" s="8">
        <f t="shared" si="45"/>
        <v>1023.365265544542</v>
      </c>
      <c r="AB20" s="8">
        <f t="shared" si="46"/>
        <v>709.18015556700141</v>
      </c>
      <c r="AC20" s="8">
        <f t="shared" si="47"/>
        <v>421.49478519785225</v>
      </c>
      <c r="AD20" s="8">
        <f t="shared" si="48"/>
        <v>872.56356792005306</v>
      </c>
      <c r="AE20" s="8">
        <f t="shared" si="49"/>
        <v>0.33812330317505246</v>
      </c>
      <c r="AF20" s="8">
        <f t="shared" si="50"/>
        <v>0.23431549303065066</v>
      </c>
      <c r="AG20" s="8">
        <f t="shared" si="51"/>
        <v>0.13926328539822222</v>
      </c>
      <c r="AH20" s="8">
        <f t="shared" si="52"/>
        <v>0.2882979183960746</v>
      </c>
      <c r="AO20" s="10">
        <v>20</v>
      </c>
      <c r="AP20" s="8">
        <f t="shared" si="53"/>
        <v>0.77744496031151711</v>
      </c>
      <c r="AQ20" s="8">
        <f t="shared" si="54"/>
        <v>0.41313470415442721</v>
      </c>
      <c r="AW20" s="5">
        <f t="shared" si="56"/>
        <v>25955</v>
      </c>
      <c r="AX20" s="5">
        <f t="shared" si="57"/>
        <v>196900</v>
      </c>
    </row>
    <row r="21" spans="1:50" x14ac:dyDescent="0.2">
      <c r="A21" s="9" t="s">
        <v>77</v>
      </c>
      <c r="B21" s="10">
        <v>20</v>
      </c>
      <c r="C21">
        <v>25587</v>
      </c>
      <c r="D21">
        <v>14091</v>
      </c>
      <c r="E21">
        <v>470</v>
      </c>
      <c r="F21">
        <v>76</v>
      </c>
      <c r="G21">
        <v>9943</v>
      </c>
      <c r="H21">
        <v>26476</v>
      </c>
      <c r="I21" s="1">
        <v>198700</v>
      </c>
      <c r="J21" s="1">
        <v>285600</v>
      </c>
      <c r="K21">
        <v>3593</v>
      </c>
      <c r="L21">
        <v>33353</v>
      </c>
      <c r="M21" s="14">
        <v>465000</v>
      </c>
      <c r="N21" s="14">
        <v>2492000</v>
      </c>
      <c r="O21" s="8">
        <f t="shared" si="58"/>
        <v>0.9663163339282913</v>
      </c>
      <c r="P21" s="8">
        <f t="shared" si="59"/>
        <v>1.0924869950099843</v>
      </c>
      <c r="Q21" s="8">
        <f t="shared" si="60"/>
        <v>2.922500010599014</v>
      </c>
      <c r="R21" s="8">
        <f t="shared" si="61"/>
        <v>11.516180454570506</v>
      </c>
      <c r="S21" s="8">
        <f t="shared" si="62"/>
        <v>0.47221128259841938</v>
      </c>
      <c r="T21" s="8">
        <f t="shared" si="63"/>
        <v>0.68238147009174133</v>
      </c>
      <c r="U21" s="8">
        <f t="shared" si="64"/>
        <v>13.062970976136622</v>
      </c>
      <c r="V21" s="8">
        <f t="shared" si="65"/>
        <v>799.28890071123953</v>
      </c>
      <c r="W21" s="8">
        <f t="shared" si="66"/>
        <v>0.12513598988858113</v>
      </c>
      <c r="X21" s="8">
        <f t="shared" si="67"/>
        <v>0.14991051941527617</v>
      </c>
      <c r="Y21" s="8">
        <f t="shared" si="68"/>
        <v>2.5426362915980616</v>
      </c>
      <c r="Z21" s="8">
        <f t="shared" si="69"/>
        <v>131.42952161537627</v>
      </c>
      <c r="AA21" s="8">
        <f t="shared" si="45"/>
        <v>3201.8545732791254</v>
      </c>
      <c r="AB21" s="8">
        <f t="shared" si="46"/>
        <v>2112.3891290806564</v>
      </c>
      <c r="AC21" s="8">
        <f t="shared" si="47"/>
        <v>1195.039057051089</v>
      </c>
      <c r="AD21" s="8">
        <f t="shared" si="48"/>
        <v>9988.6436427685967</v>
      </c>
      <c r="AE21" s="8">
        <f t="shared" si="49"/>
        <v>0.19407618237744975</v>
      </c>
      <c r="AF21" s="8">
        <f t="shared" si="50"/>
        <v>0.12803967465884672</v>
      </c>
      <c r="AG21" s="8">
        <f t="shared" si="51"/>
        <v>7.2435712702247107E-2</v>
      </c>
      <c r="AH21" s="8">
        <f t="shared" si="52"/>
        <v>0.60544843026145656</v>
      </c>
      <c r="AO21" s="10">
        <v>20</v>
      </c>
      <c r="AP21" s="8">
        <f t="shared" si="53"/>
        <v>0.79381165112583574</v>
      </c>
      <c r="AQ21" s="8">
        <f t="shared" si="54"/>
        <v>0.42731182795698924</v>
      </c>
      <c r="AW21" s="5">
        <f t="shared" si="56"/>
        <v>26476</v>
      </c>
      <c r="AX21" s="5">
        <f t="shared" si="57"/>
        <v>198700</v>
      </c>
    </row>
    <row r="22" spans="1:50" x14ac:dyDescent="0.2">
      <c r="A22" s="9" t="s">
        <v>78</v>
      </c>
      <c r="B22" s="10">
        <v>20</v>
      </c>
      <c r="C22">
        <v>26346</v>
      </c>
      <c r="D22">
        <v>12523</v>
      </c>
      <c r="E22">
        <v>545</v>
      </c>
      <c r="F22">
        <v>70</v>
      </c>
      <c r="G22">
        <v>9229</v>
      </c>
      <c r="H22">
        <v>23554</v>
      </c>
      <c r="I22" s="1">
        <v>193200</v>
      </c>
      <c r="J22" s="1">
        <v>292000</v>
      </c>
      <c r="K22">
        <v>3355</v>
      </c>
      <c r="L22">
        <v>31861</v>
      </c>
      <c r="M22" s="14">
        <v>439100</v>
      </c>
      <c r="N22" s="14">
        <v>2325000</v>
      </c>
      <c r="O22" s="8">
        <f t="shared" si="58"/>
        <v>0.96530730780808149</v>
      </c>
      <c r="P22" s="8">
        <f t="shared" si="59"/>
        <v>1.0861615035337113</v>
      </c>
      <c r="Q22" s="8">
        <f t="shared" si="60"/>
        <v>2.8126942269291266</v>
      </c>
      <c r="R22" s="8">
        <f t="shared" si="61"/>
        <v>10.808166328204823</v>
      </c>
      <c r="S22" s="8">
        <f t="shared" si="62"/>
        <v>0.47073357967060292</v>
      </c>
      <c r="T22" s="8">
        <f t="shared" si="63"/>
        <v>0.67059701541089123</v>
      </c>
      <c r="U22" s="8">
        <f t="shared" si="64"/>
        <v>11.645173490659101</v>
      </c>
      <c r="V22" s="8">
        <f t="shared" si="65"/>
        <v>660.74586828151746</v>
      </c>
      <c r="W22" s="8">
        <f t="shared" si="66"/>
        <v>0.12474439861270978</v>
      </c>
      <c r="X22" s="8">
        <f t="shared" si="67"/>
        <v>0.14742688519282068</v>
      </c>
      <c r="Y22" s="8">
        <f t="shared" si="68"/>
        <v>2.2773720096135968</v>
      </c>
      <c r="Z22" s="8">
        <f t="shared" si="69"/>
        <v>109.49972876636819</v>
      </c>
      <c r="AA22" s="8">
        <f t="shared" si="45"/>
        <v>3286.5159258504518</v>
      </c>
      <c r="AB22" s="8">
        <f t="shared" si="46"/>
        <v>1846.2268832696934</v>
      </c>
      <c r="AC22" s="8">
        <f t="shared" si="47"/>
        <v>1241.1677452394101</v>
      </c>
      <c r="AD22" s="8">
        <f t="shared" si="48"/>
        <v>7664.9810136457736</v>
      </c>
      <c r="AE22" s="8">
        <f t="shared" si="49"/>
        <v>0.23410081272658523</v>
      </c>
      <c r="AF22" s="8">
        <f t="shared" si="50"/>
        <v>0.13150802357340299</v>
      </c>
      <c r="AG22" s="8">
        <f t="shared" si="51"/>
        <v>8.8409240802745051E-2</v>
      </c>
      <c r="AH22" s="8">
        <f t="shared" si="52"/>
        <v>0.54598192289726677</v>
      </c>
      <c r="AO22" s="10">
        <v>20</v>
      </c>
      <c r="AP22" s="8">
        <f t="shared" si="53"/>
        <v>0.73927372022221527</v>
      </c>
      <c r="AQ22" s="8">
        <f t="shared" si="54"/>
        <v>0.43999089045775452</v>
      </c>
      <c r="AW22" s="5">
        <f t="shared" si="56"/>
        <v>23554</v>
      </c>
      <c r="AX22" s="5">
        <f t="shared" si="57"/>
        <v>193200</v>
      </c>
    </row>
    <row r="23" spans="1:50" x14ac:dyDescent="0.2">
      <c r="A23" s="9" t="s">
        <v>79</v>
      </c>
      <c r="B23" s="10">
        <v>30</v>
      </c>
      <c r="C23">
        <v>7202</v>
      </c>
      <c r="D23">
        <v>3118</v>
      </c>
      <c r="E23">
        <v>194</v>
      </c>
      <c r="F23">
        <v>15</v>
      </c>
      <c r="G23">
        <v>11918</v>
      </c>
      <c r="H23">
        <v>36237</v>
      </c>
      <c r="I23" s="1">
        <v>243100</v>
      </c>
      <c r="J23" s="1">
        <v>299200</v>
      </c>
      <c r="K23">
        <v>4090</v>
      </c>
      <c r="L23">
        <v>37602</v>
      </c>
      <c r="M23" s="14">
        <v>465100</v>
      </c>
      <c r="N23" s="14">
        <v>2568000</v>
      </c>
      <c r="O23" s="8">
        <f t="shared" si="58"/>
        <v>0.96842341788519992</v>
      </c>
      <c r="P23" s="8">
        <f t="shared" si="59"/>
        <v>1.1105010789796117</v>
      </c>
      <c r="Q23" s="8">
        <f t="shared" si="60"/>
        <v>2.922923971153724</v>
      </c>
      <c r="R23" s="8">
        <f t="shared" si="61"/>
        <v>11.838390476150099</v>
      </c>
      <c r="S23" s="8">
        <f t="shared" si="62"/>
        <v>0.47530703902420285</v>
      </c>
      <c r="T23" s="8">
        <f t="shared" si="63"/>
        <v>0.71669661329813161</v>
      </c>
      <c r="U23" s="8">
        <f t="shared" si="64"/>
        <v>13.068656849038611</v>
      </c>
      <c r="V23" s="8">
        <f t="shared" si="65"/>
        <v>868.27316623543504</v>
      </c>
      <c r="W23" s="8">
        <f t="shared" si="66"/>
        <v>0.12595636534141375</v>
      </c>
      <c r="X23" s="8">
        <f t="shared" si="67"/>
        <v>0.15713271077553531</v>
      </c>
      <c r="Y23" s="8">
        <f t="shared" si="68"/>
        <v>2.5436976306873413</v>
      </c>
      <c r="Z23" s="8">
        <f t="shared" si="69"/>
        <v>142.28904610691262</v>
      </c>
      <c r="AA23" s="8">
        <f t="shared" si="45"/>
        <v>907.1377431888618</v>
      </c>
      <c r="AB23" s="8">
        <f t="shared" si="46"/>
        <v>489.93979219811911</v>
      </c>
      <c r="AC23" s="8">
        <f t="shared" si="47"/>
        <v>493.47734035334423</v>
      </c>
      <c r="AD23" s="8">
        <f t="shared" si="48"/>
        <v>2134.3356916036892</v>
      </c>
      <c r="AE23" s="8">
        <f t="shared" si="49"/>
        <v>0.22538196455549178</v>
      </c>
      <c r="AF23" s="8">
        <f t="shared" si="50"/>
        <v>0.12172748153036757</v>
      </c>
      <c r="AG23" s="8">
        <f t="shared" si="51"/>
        <v>0.1226063993782035</v>
      </c>
      <c r="AH23" s="8">
        <f t="shared" si="52"/>
        <v>0.53028415453593725</v>
      </c>
      <c r="AO23" s="10">
        <v>30</v>
      </c>
      <c r="AP23" s="8">
        <f t="shared" si="53"/>
        <v>0.96369873942875384</v>
      </c>
      <c r="AQ23" s="8">
        <f t="shared" si="54"/>
        <v>0.52268329391528701</v>
      </c>
      <c r="AW23" s="5">
        <f t="shared" si="56"/>
        <v>36237</v>
      </c>
      <c r="AX23" s="5">
        <f t="shared" si="57"/>
        <v>243100</v>
      </c>
    </row>
    <row r="24" spans="1:50" x14ac:dyDescent="0.2">
      <c r="A24" s="9" t="s">
        <v>80</v>
      </c>
      <c r="B24" s="10">
        <v>30</v>
      </c>
      <c r="C24">
        <v>20473</v>
      </c>
      <c r="D24">
        <v>8149</v>
      </c>
      <c r="E24">
        <v>662</v>
      </c>
      <c r="F24">
        <v>60</v>
      </c>
      <c r="G24">
        <v>13874</v>
      </c>
      <c r="H24">
        <v>41260</v>
      </c>
      <c r="I24" s="1">
        <v>252000</v>
      </c>
      <c r="J24" s="1">
        <v>289000</v>
      </c>
      <c r="K24">
        <v>4957</v>
      </c>
      <c r="L24">
        <v>40188</v>
      </c>
      <c r="M24" s="14">
        <v>443500</v>
      </c>
      <c r="N24" s="14">
        <v>2000000</v>
      </c>
      <c r="O24" s="8">
        <f t="shared" si="58"/>
        <v>0.97209915589453555</v>
      </c>
      <c r="P24" s="8">
        <f t="shared" si="59"/>
        <v>1.1214646989244121</v>
      </c>
      <c r="Q24" s="8">
        <f t="shared" si="60"/>
        <v>2.831348491336366</v>
      </c>
      <c r="R24" s="8">
        <f t="shared" si="61"/>
        <v>9.4302945253973576</v>
      </c>
      <c r="S24" s="8">
        <f t="shared" si="62"/>
        <v>0.48073981914155051</v>
      </c>
      <c r="T24" s="8">
        <f t="shared" si="63"/>
        <v>0.73813401712814686</v>
      </c>
      <c r="U24" s="8">
        <f t="shared" si="64"/>
        <v>11.878411837732193</v>
      </c>
      <c r="V24" s="8">
        <f t="shared" si="65"/>
        <v>438.88846625478493</v>
      </c>
      <c r="W24" s="8">
        <f t="shared" si="66"/>
        <v>0.1273960520725109</v>
      </c>
      <c r="X24" s="8">
        <f t="shared" si="67"/>
        <v>0.16163733312314735</v>
      </c>
      <c r="Y24" s="8">
        <f t="shared" si="68"/>
        <v>2.3210969727061737</v>
      </c>
      <c r="Z24" s="8">
        <f t="shared" si="69"/>
        <v>73.963532873515121</v>
      </c>
      <c r="AA24" s="8">
        <f t="shared" si="45"/>
        <v>2608.1793740805156</v>
      </c>
      <c r="AB24" s="8">
        <f t="shared" si="46"/>
        <v>1317.1826276205277</v>
      </c>
      <c r="AC24" s="8">
        <f t="shared" si="47"/>
        <v>1536.5661959314871</v>
      </c>
      <c r="AD24" s="8">
        <f t="shared" si="48"/>
        <v>4437.8119724109074</v>
      </c>
      <c r="AE24" s="8">
        <f t="shared" si="49"/>
        <v>0.26345937663827307</v>
      </c>
      <c r="AF24" s="8">
        <f t="shared" si="50"/>
        <v>0.13305224228069293</v>
      </c>
      <c r="AG24" s="8">
        <f t="shared" si="51"/>
        <v>0.1552127802890351</v>
      </c>
      <c r="AH24" s="8">
        <f t="shared" si="52"/>
        <v>0.44827560079199885</v>
      </c>
      <c r="AO24" s="10">
        <v>30</v>
      </c>
      <c r="AP24" s="8">
        <f t="shared" si="53"/>
        <v>1.0266746292425599</v>
      </c>
      <c r="AQ24" s="8">
        <f t="shared" si="54"/>
        <v>0.56820744081172492</v>
      </c>
      <c r="AW24" s="5">
        <f t="shared" si="56"/>
        <v>41260</v>
      </c>
      <c r="AX24" s="5">
        <f t="shared" si="57"/>
        <v>252000</v>
      </c>
    </row>
    <row r="25" spans="1:50" x14ac:dyDescent="0.2">
      <c r="A25" s="9" t="s">
        <v>81</v>
      </c>
      <c r="B25" s="10">
        <v>30</v>
      </c>
      <c r="C25">
        <v>22831</v>
      </c>
      <c r="D25">
        <v>6889</v>
      </c>
      <c r="E25">
        <v>683</v>
      </c>
      <c r="F25">
        <v>62</v>
      </c>
      <c r="G25">
        <v>12628</v>
      </c>
      <c r="H25">
        <v>43102</v>
      </c>
      <c r="I25" s="1">
        <v>249200</v>
      </c>
      <c r="J25" s="1">
        <v>284100</v>
      </c>
      <c r="K25">
        <v>3507</v>
      </c>
      <c r="L25">
        <v>45542</v>
      </c>
      <c r="M25" s="14">
        <v>452700</v>
      </c>
      <c r="N25" s="14">
        <v>1956000</v>
      </c>
      <c r="O25" s="8">
        <f t="shared" si="58"/>
        <v>0.96595172785124073</v>
      </c>
      <c r="P25" s="8">
        <f t="shared" si="59"/>
        <v>1.1441635470235849</v>
      </c>
      <c r="Q25" s="8">
        <f t="shared" si="60"/>
        <v>2.870352862369685</v>
      </c>
      <c r="R25" s="8">
        <f t="shared" si="61"/>
        <v>9.2437518813249611</v>
      </c>
      <c r="S25" s="8">
        <f t="shared" si="62"/>
        <v>0.47167696642493079</v>
      </c>
      <c r="T25" s="8">
        <f t="shared" si="63"/>
        <v>0.78386760894411367</v>
      </c>
      <c r="U25" s="8">
        <f t="shared" si="64"/>
        <v>12.376112990250601</v>
      </c>
      <c r="V25" s="8">
        <f t="shared" si="65"/>
        <v>413.35503959238127</v>
      </c>
      <c r="W25" s="8">
        <f t="shared" si="66"/>
        <v>0.12499439610260665</v>
      </c>
      <c r="X25" s="8">
        <f t="shared" si="67"/>
        <v>0.17122957052259544</v>
      </c>
      <c r="Y25" s="8">
        <f t="shared" si="68"/>
        <v>2.4142837474601504</v>
      </c>
      <c r="Z25" s="8">
        <f t="shared" si="69"/>
        <v>69.83192019529416</v>
      </c>
      <c r="AA25" s="8">
        <f t="shared" si="45"/>
        <v>2853.7470574186127</v>
      </c>
      <c r="AB25" s="8">
        <f t="shared" si="46"/>
        <v>1179.6005113301599</v>
      </c>
      <c r="AC25" s="8">
        <f t="shared" si="47"/>
        <v>1648.9557995152827</v>
      </c>
      <c r="AD25" s="8">
        <f t="shared" si="48"/>
        <v>4329.5790521082381</v>
      </c>
      <c r="AE25" s="8">
        <f t="shared" si="49"/>
        <v>0.28503601396794026</v>
      </c>
      <c r="AF25" s="8">
        <f t="shared" si="50"/>
        <v>0.11782005239393294</v>
      </c>
      <c r="AG25" s="8">
        <f t="shared" si="51"/>
        <v>0.16469987663458455</v>
      </c>
      <c r="AH25" s="8">
        <f t="shared" si="52"/>
        <v>0.43244405700354216</v>
      </c>
      <c r="AO25" s="10">
        <v>30</v>
      </c>
      <c r="AP25" s="8">
        <f t="shared" si="53"/>
        <v>0.94642308199025071</v>
      </c>
      <c r="AQ25" s="8">
        <f t="shared" si="54"/>
        <v>0.55047492820852661</v>
      </c>
      <c r="AW25" s="5">
        <f t="shared" si="56"/>
        <v>43102</v>
      </c>
      <c r="AX25" s="5">
        <f t="shared" si="57"/>
        <v>249200</v>
      </c>
    </row>
    <row r="26" spans="1:50" x14ac:dyDescent="0.2">
      <c r="A26" s="9" t="s">
        <v>82</v>
      </c>
      <c r="B26" s="10">
        <v>40</v>
      </c>
      <c r="C26">
        <v>3518</v>
      </c>
      <c r="D26">
        <v>1426</v>
      </c>
      <c r="E26">
        <v>120</v>
      </c>
      <c r="F26">
        <v>6</v>
      </c>
      <c r="G26">
        <v>16191</v>
      </c>
      <c r="H26">
        <v>55131</v>
      </c>
      <c r="I26" s="1">
        <v>261900</v>
      </c>
      <c r="J26" s="1">
        <v>299200</v>
      </c>
      <c r="K26">
        <v>8675</v>
      </c>
      <c r="L26">
        <v>49701</v>
      </c>
      <c r="M26" s="14">
        <v>429700</v>
      </c>
      <c r="N26" s="14">
        <v>1298000</v>
      </c>
      <c r="O26" s="8">
        <f t="shared" si="58"/>
        <v>0.98786200931865298</v>
      </c>
      <c r="P26" s="8">
        <f t="shared" si="59"/>
        <v>1.1617960664939735</v>
      </c>
      <c r="Q26" s="8">
        <f t="shared" si="60"/>
        <v>2.7728419347863875</v>
      </c>
      <c r="R26" s="8">
        <f t="shared" si="61"/>
        <v>6.4540914313332287</v>
      </c>
      <c r="S26" s="8">
        <f t="shared" si="62"/>
        <v>0.50450706147048507</v>
      </c>
      <c r="T26" s="8">
        <f t="shared" si="63"/>
        <v>0.82066914033227212</v>
      </c>
      <c r="U26" s="8">
        <f t="shared" si="64"/>
        <v>11.157161973475498</v>
      </c>
      <c r="V26" s="8">
        <f t="shared" si="65"/>
        <v>140.69664392363634</v>
      </c>
      <c r="W26" s="8">
        <f t="shared" si="66"/>
        <v>0.13369437128967854</v>
      </c>
      <c r="X26" s="8">
        <f t="shared" si="67"/>
        <v>0.17893166811065775</v>
      </c>
      <c r="Y26" s="8">
        <f t="shared" si="68"/>
        <v>2.1857678549686348</v>
      </c>
      <c r="Z26" s="8">
        <f t="shared" si="69"/>
        <v>24.843003751505318</v>
      </c>
      <c r="AA26" s="8">
        <f t="shared" si="45"/>
        <v>470.33679819708908</v>
      </c>
      <c r="AB26" s="8">
        <f t="shared" si="46"/>
        <v>255.15655872579794</v>
      </c>
      <c r="AC26" s="8">
        <f t="shared" si="47"/>
        <v>262.2921425962362</v>
      </c>
      <c r="AD26" s="8">
        <f t="shared" si="48"/>
        <v>149.0580225090319</v>
      </c>
      <c r="AE26" s="8">
        <f t="shared" si="49"/>
        <v>0.4137216680075701</v>
      </c>
      <c r="AF26" s="8">
        <f t="shared" si="50"/>
        <v>0.22444298954230107</v>
      </c>
      <c r="AG26" s="8">
        <f t="shared" si="51"/>
        <v>0.2307196527172895</v>
      </c>
      <c r="AH26" s="8">
        <f t="shared" si="52"/>
        <v>0.13111568973283935</v>
      </c>
      <c r="AO26" s="10">
        <v>40</v>
      </c>
      <c r="AP26" s="8">
        <f t="shared" si="53"/>
        <v>1.109253334942959</v>
      </c>
      <c r="AQ26" s="8">
        <f t="shared" si="54"/>
        <v>0.60949499650919248</v>
      </c>
      <c r="AW26" s="5">
        <f t="shared" si="56"/>
        <v>55131</v>
      </c>
      <c r="AX26" s="5">
        <f t="shared" si="57"/>
        <v>261900</v>
      </c>
    </row>
    <row r="27" spans="1:50" x14ac:dyDescent="0.2">
      <c r="A27" s="9" t="s">
        <v>83</v>
      </c>
      <c r="B27" s="10">
        <v>40</v>
      </c>
      <c r="C27">
        <v>7893</v>
      </c>
      <c r="D27">
        <v>3412</v>
      </c>
      <c r="E27">
        <v>353</v>
      </c>
      <c r="F27">
        <v>26</v>
      </c>
      <c r="G27">
        <v>20245</v>
      </c>
      <c r="H27">
        <v>62598</v>
      </c>
      <c r="I27" s="1">
        <v>268500</v>
      </c>
      <c r="J27" s="1">
        <v>285100</v>
      </c>
      <c r="K27">
        <v>5884</v>
      </c>
      <c r="L27">
        <v>49717</v>
      </c>
      <c r="M27" s="14">
        <v>381600</v>
      </c>
      <c r="N27" s="14">
        <v>1363000</v>
      </c>
      <c r="O27" s="8">
        <f t="shared" si="58"/>
        <v>0.97602927023669717</v>
      </c>
      <c r="P27" s="8">
        <f t="shared" si="59"/>
        <v>1.1618639001827269</v>
      </c>
      <c r="Q27" s="8">
        <f t="shared" si="60"/>
        <v>2.5689169079708822</v>
      </c>
      <c r="R27" s="8">
        <f t="shared" si="61"/>
        <v>6.729665791894722</v>
      </c>
      <c r="S27" s="8">
        <f t="shared" si="62"/>
        <v>0.48659419502239415</v>
      </c>
      <c r="T27" s="8">
        <f t="shared" si="63"/>
        <v>0.82081289774472777</v>
      </c>
      <c r="U27" s="8">
        <f t="shared" si="64"/>
        <v>8.8721437374631975</v>
      </c>
      <c r="V27" s="8">
        <f t="shared" si="65"/>
        <v>159.49933925425722</v>
      </c>
      <c r="W27" s="8">
        <f t="shared" si="66"/>
        <v>0.12894746168093446</v>
      </c>
      <c r="X27" s="8">
        <f t="shared" si="67"/>
        <v>0.1789617265482491</v>
      </c>
      <c r="Y27" s="8">
        <f t="shared" si="68"/>
        <v>1.7545243417227367</v>
      </c>
      <c r="Z27" s="8">
        <f t="shared" si="69"/>
        <v>28.018557592629726</v>
      </c>
      <c r="AA27" s="8">
        <f t="shared" si="45"/>
        <v>1017.7823150476157</v>
      </c>
      <c r="AB27" s="8">
        <f t="shared" si="46"/>
        <v>610.61741098262598</v>
      </c>
      <c r="AC27" s="8">
        <f t="shared" si="47"/>
        <v>619.34709262812612</v>
      </c>
      <c r="AD27" s="8">
        <f t="shared" si="48"/>
        <v>728.48249740837286</v>
      </c>
      <c r="AE27" s="8">
        <f t="shared" si="49"/>
        <v>0.34197039507448773</v>
      </c>
      <c r="AF27" s="8">
        <f t="shared" si="50"/>
        <v>0.20516477264916949</v>
      </c>
      <c r="AG27" s="8">
        <f t="shared" si="51"/>
        <v>0.20809790740406697</v>
      </c>
      <c r="AH27" s="8">
        <f t="shared" si="52"/>
        <v>0.24476692487227586</v>
      </c>
      <c r="AO27" s="10">
        <v>40</v>
      </c>
      <c r="AP27" s="8">
        <f t="shared" si="53"/>
        <v>1.259086429189211</v>
      </c>
      <c r="AQ27" s="8">
        <f t="shared" si="54"/>
        <v>0.70361635220125784</v>
      </c>
      <c r="AW27" s="5">
        <f t="shared" si="56"/>
        <v>62598</v>
      </c>
      <c r="AX27" s="5">
        <f t="shared" si="57"/>
        <v>268500</v>
      </c>
    </row>
    <row r="28" spans="1:50" x14ac:dyDescent="0.2">
      <c r="A28" s="9" t="s">
        <v>84</v>
      </c>
      <c r="B28" s="10">
        <v>40</v>
      </c>
      <c r="C28">
        <v>8759</v>
      </c>
      <c r="D28">
        <v>3096</v>
      </c>
      <c r="E28">
        <v>364</v>
      </c>
      <c r="F28">
        <v>19</v>
      </c>
      <c r="G28">
        <v>19224</v>
      </c>
      <c r="H28">
        <v>65785</v>
      </c>
      <c r="I28" s="1">
        <v>268700</v>
      </c>
      <c r="J28" s="1">
        <v>299200</v>
      </c>
      <c r="K28">
        <v>4171</v>
      </c>
      <c r="L28">
        <v>59457</v>
      </c>
      <c r="M28" s="14">
        <v>401400</v>
      </c>
      <c r="N28" s="14">
        <v>3684000</v>
      </c>
      <c r="O28" s="8">
        <f t="shared" si="58"/>
        <v>0.96876682593451502</v>
      </c>
      <c r="P28" s="8">
        <f t="shared" si="59"/>
        <v>1.20315765821148</v>
      </c>
      <c r="Q28" s="8">
        <f t="shared" si="60"/>
        <v>2.6528610978034606</v>
      </c>
      <c r="R28" s="8">
        <f t="shared" si="61"/>
        <v>16.569790266713586</v>
      </c>
      <c r="S28" s="8">
        <f t="shared" si="62"/>
        <v>0.4758128574929858</v>
      </c>
      <c r="T28" s="8">
        <f t="shared" si="63"/>
        <v>0.91147763515868452</v>
      </c>
      <c r="U28" s="8">
        <f t="shared" si="64"/>
        <v>9.7706156860864617</v>
      </c>
      <c r="V28" s="8">
        <f t="shared" si="65"/>
        <v>2380.8357310715401</v>
      </c>
      <c r="W28" s="8">
        <f t="shared" si="66"/>
        <v>0.12609040723564124</v>
      </c>
      <c r="X28" s="8">
        <f t="shared" si="67"/>
        <v>0.19787750700337564</v>
      </c>
      <c r="Y28" s="8">
        <f t="shared" si="68"/>
        <v>1.9245762939727402</v>
      </c>
      <c r="Z28" s="8">
        <f t="shared" si="69"/>
        <v>374.3549025440247</v>
      </c>
      <c r="AA28" s="8">
        <f t="shared" si="45"/>
        <v>1104.4258769769817</v>
      </c>
      <c r="AB28" s="8">
        <f t="shared" si="46"/>
        <v>612.628761682451</v>
      </c>
      <c r="AC28" s="8">
        <f t="shared" si="47"/>
        <v>700.54577100607742</v>
      </c>
      <c r="AD28" s="8">
        <f t="shared" si="48"/>
        <v>7112.7431483364689</v>
      </c>
      <c r="AE28" s="8">
        <f t="shared" si="49"/>
        <v>0.11588521129961477</v>
      </c>
      <c r="AF28" s="8">
        <f t="shared" si="50"/>
        <v>6.4281917850492226E-2</v>
      </c>
      <c r="AG28" s="8">
        <f t="shared" si="51"/>
        <v>7.3506874830118474E-2</v>
      </c>
      <c r="AH28" s="8">
        <f t="shared" si="52"/>
        <v>0.74632599601977445</v>
      </c>
      <c r="AO28" s="10">
        <v>40</v>
      </c>
      <c r="AP28" s="8">
        <f t="shared" si="53"/>
        <v>1.1064298568713524</v>
      </c>
      <c r="AQ28" s="8">
        <f t="shared" si="54"/>
        <v>0.66940707523667164</v>
      </c>
      <c r="AW28" s="5">
        <f t="shared" si="56"/>
        <v>65785</v>
      </c>
      <c r="AX28" s="5">
        <f t="shared" si="57"/>
        <v>268700</v>
      </c>
    </row>
    <row r="29" spans="1:50" x14ac:dyDescent="0.2">
      <c r="A29" s="9" t="s">
        <v>85</v>
      </c>
      <c r="B29" s="10">
        <v>50</v>
      </c>
      <c r="C29">
        <v>2216</v>
      </c>
      <c r="D29">
        <v>940</v>
      </c>
      <c r="E29">
        <v>90</v>
      </c>
      <c r="F29">
        <v>5</v>
      </c>
      <c r="G29">
        <v>20714</v>
      </c>
      <c r="H29">
        <v>67789</v>
      </c>
      <c r="I29" s="1">
        <v>282100</v>
      </c>
      <c r="J29" s="1">
        <v>296700</v>
      </c>
      <c r="K29">
        <v>4614</v>
      </c>
      <c r="L29">
        <v>52193</v>
      </c>
      <c r="M29" s="14">
        <v>376100</v>
      </c>
      <c r="N29" s="14">
        <v>1081000</v>
      </c>
      <c r="O29" s="8">
        <f t="shared" si="58"/>
        <v>0.97064497119188031</v>
      </c>
      <c r="P29" s="8">
        <f t="shared" si="59"/>
        <v>1.1723611635173463</v>
      </c>
      <c r="Q29" s="8">
        <f t="shared" si="60"/>
        <v>2.5455990774618331</v>
      </c>
      <c r="R29" s="8">
        <f t="shared" si="61"/>
        <v>5.5340970276125505</v>
      </c>
      <c r="S29" s="8">
        <f t="shared" si="62"/>
        <v>0.47858559681089385</v>
      </c>
      <c r="T29" s="8">
        <f t="shared" si="63"/>
        <v>0.84326226665768966</v>
      </c>
      <c r="U29" s="8">
        <f t="shared" si="64"/>
        <v>8.6327350575345356</v>
      </c>
      <c r="V29" s="8">
        <f t="shared" si="65"/>
        <v>88.698996276882596</v>
      </c>
      <c r="W29" s="8">
        <f t="shared" si="66"/>
        <v>0.12682518315488686</v>
      </c>
      <c r="X29" s="8">
        <f t="shared" si="67"/>
        <v>0.18365307234317527</v>
      </c>
      <c r="Y29" s="8">
        <f t="shared" si="68"/>
        <v>1.7090954874985904</v>
      </c>
      <c r="Z29" s="8">
        <f t="shared" si="69"/>
        <v>15.96077731803074</v>
      </c>
      <c r="AA29" s="8">
        <f t="shared" si="45"/>
        <v>281.04460587122929</v>
      </c>
      <c r="AB29" s="8">
        <f t="shared" si="46"/>
        <v>172.63388800258474</v>
      </c>
      <c r="AC29" s="8">
        <f t="shared" si="47"/>
        <v>153.81859387487313</v>
      </c>
      <c r="AD29" s="8">
        <f t="shared" si="48"/>
        <v>79.803886590153695</v>
      </c>
      <c r="AE29" s="8">
        <f t="shared" si="49"/>
        <v>0.40891053026890323</v>
      </c>
      <c r="AF29" s="8">
        <f t="shared" si="50"/>
        <v>0.25117655066421579</v>
      </c>
      <c r="AG29" s="8">
        <f t="shared" si="51"/>
        <v>0.22380092509375699</v>
      </c>
      <c r="AH29" s="8">
        <f t="shared" si="52"/>
        <v>0.11611199397312393</v>
      </c>
      <c r="AO29" s="10">
        <v>50</v>
      </c>
      <c r="AP29" s="8">
        <f t="shared" si="53"/>
        <v>1.2988140172053724</v>
      </c>
      <c r="AQ29" s="8">
        <f t="shared" si="54"/>
        <v>0.75006647168306306</v>
      </c>
      <c r="AW29" s="5">
        <f t="shared" si="56"/>
        <v>67789</v>
      </c>
      <c r="AX29" s="5">
        <f t="shared" si="57"/>
        <v>282100</v>
      </c>
    </row>
    <row r="30" spans="1:50" x14ac:dyDescent="0.2">
      <c r="A30" s="9" t="s">
        <v>86</v>
      </c>
      <c r="B30" s="10">
        <v>50</v>
      </c>
      <c r="C30">
        <v>6830</v>
      </c>
      <c r="D30">
        <v>3126</v>
      </c>
      <c r="E30">
        <v>219</v>
      </c>
      <c r="F30">
        <v>9</v>
      </c>
      <c r="G30">
        <v>23042</v>
      </c>
      <c r="H30">
        <v>65883</v>
      </c>
      <c r="I30" s="1">
        <v>285900</v>
      </c>
      <c r="J30" s="1">
        <v>299200</v>
      </c>
      <c r="K30">
        <v>5940</v>
      </c>
      <c r="L30">
        <v>46698</v>
      </c>
      <c r="M30" s="14">
        <v>410500</v>
      </c>
      <c r="N30" s="14">
        <v>1184000</v>
      </c>
      <c r="O30" s="8">
        <f t="shared" si="58"/>
        <v>0.97626668814733475</v>
      </c>
      <c r="P30" s="8">
        <f t="shared" si="59"/>
        <v>1.1490645310360323</v>
      </c>
      <c r="Q30" s="8">
        <f t="shared" si="60"/>
        <v>2.6914415082820695</v>
      </c>
      <c r="R30" s="8">
        <f t="shared" si="61"/>
        <v>5.9707763989638405</v>
      </c>
      <c r="S30" s="8">
        <f t="shared" si="62"/>
        <v>0.48694937170975078</v>
      </c>
      <c r="T30" s="8">
        <f t="shared" si="63"/>
        <v>0.79398382530529688</v>
      </c>
      <c r="U30" s="8">
        <f t="shared" si="64"/>
        <v>10.203125664009542</v>
      </c>
      <c r="V30" s="8">
        <f t="shared" si="65"/>
        <v>111.39631386597911</v>
      </c>
      <c r="W30" s="8">
        <f t="shared" si="66"/>
        <v>0.12904158350308395</v>
      </c>
      <c r="X30" s="8">
        <f t="shared" si="67"/>
        <v>0.17334821635354755</v>
      </c>
      <c r="Y30" s="8">
        <f t="shared" si="68"/>
        <v>2.00620437379497</v>
      </c>
      <c r="Z30" s="8">
        <f t="shared" si="69"/>
        <v>19.858622331080838</v>
      </c>
      <c r="AA30" s="8">
        <f t="shared" si="45"/>
        <v>881.3540153260634</v>
      </c>
      <c r="AB30" s="8">
        <f t="shared" si="46"/>
        <v>541.88652432118965</v>
      </c>
      <c r="AC30" s="8">
        <f t="shared" si="47"/>
        <v>439.35875786109841</v>
      </c>
      <c r="AD30" s="8">
        <f t="shared" si="48"/>
        <v>178.72760097972753</v>
      </c>
      <c r="AE30" s="8">
        <f t="shared" si="49"/>
        <v>0.43175545081919187</v>
      </c>
      <c r="AF30" s="8">
        <f t="shared" si="50"/>
        <v>0.26545798457000741</v>
      </c>
      <c r="AG30" s="8">
        <f t="shared" si="51"/>
        <v>0.21523194456826689</v>
      </c>
      <c r="AH30" s="8">
        <f t="shared" si="52"/>
        <v>8.7554620042533698E-2</v>
      </c>
      <c r="AO30" s="10">
        <v>50</v>
      </c>
      <c r="AP30" s="8">
        <f t="shared" si="53"/>
        <v>1.4108312989849672</v>
      </c>
      <c r="AQ30" s="8">
        <f t="shared" si="54"/>
        <v>0.6964677222898904</v>
      </c>
      <c r="AW30" s="5">
        <f t="shared" si="56"/>
        <v>65883</v>
      </c>
      <c r="AX30" s="5">
        <f t="shared" si="57"/>
        <v>285900</v>
      </c>
    </row>
    <row r="31" spans="1:50" x14ac:dyDescent="0.2">
      <c r="A31" s="9" t="s">
        <v>87</v>
      </c>
      <c r="B31" s="10">
        <v>50</v>
      </c>
      <c r="C31">
        <v>7099</v>
      </c>
      <c r="D31">
        <v>2752</v>
      </c>
      <c r="E31">
        <v>223</v>
      </c>
      <c r="F31">
        <v>22</v>
      </c>
      <c r="G31">
        <v>23121</v>
      </c>
      <c r="H31">
        <v>66561</v>
      </c>
      <c r="I31" s="1">
        <v>279800</v>
      </c>
      <c r="J31" s="1">
        <v>299200</v>
      </c>
      <c r="K31">
        <v>4760</v>
      </c>
      <c r="L31">
        <v>51004</v>
      </c>
      <c r="M31" s="14">
        <v>359000</v>
      </c>
      <c r="N31" s="14">
        <v>1542000</v>
      </c>
      <c r="O31" s="8">
        <f t="shared" si="58"/>
        <v>0.97126395360175688</v>
      </c>
      <c r="P31" s="8">
        <f t="shared" si="59"/>
        <v>1.1673202725218446</v>
      </c>
      <c r="Q31" s="8">
        <f t="shared" si="60"/>
        <v>2.4731018226064245</v>
      </c>
      <c r="R31" s="8">
        <f t="shared" si="61"/>
        <v>7.4885551848256036</v>
      </c>
      <c r="S31" s="8">
        <f t="shared" si="62"/>
        <v>0.4795017660346077</v>
      </c>
      <c r="T31" s="8">
        <f t="shared" si="63"/>
        <v>0.83243145265361274</v>
      </c>
      <c r="U31" s="8">
        <f t="shared" si="64"/>
        <v>7.9159745673813129</v>
      </c>
      <c r="V31" s="8">
        <f t="shared" si="65"/>
        <v>219.77207130956859</v>
      </c>
      <c r="W31" s="8">
        <f t="shared" si="66"/>
        <v>0.12706796799917106</v>
      </c>
      <c r="X31" s="8">
        <f t="shared" si="67"/>
        <v>0.18139035615696192</v>
      </c>
      <c r="Y31" s="8">
        <f t="shared" si="68"/>
        <v>1.5727717877749892</v>
      </c>
      <c r="Z31" s="8">
        <f t="shared" si="69"/>
        <v>38.102338308962025</v>
      </c>
      <c r="AA31" s="8">
        <f t="shared" si="45"/>
        <v>902.05550482611534</v>
      </c>
      <c r="AB31" s="8">
        <f t="shared" si="46"/>
        <v>499.1862601439592</v>
      </c>
      <c r="AC31" s="8">
        <f t="shared" si="47"/>
        <v>350.72810867382259</v>
      </c>
      <c r="AD31" s="8">
        <f t="shared" si="48"/>
        <v>838.2514427971646</v>
      </c>
      <c r="AE31" s="8">
        <f>AA31/(AA31+AB31+AC31+AD31)</f>
        <v>0.34825422024768549</v>
      </c>
      <c r="AF31" s="8">
        <f t="shared" si="50"/>
        <v>0.192719539822889</v>
      </c>
      <c r="AG31" s="8">
        <f t="shared" si="51"/>
        <v>0.13540468779545042</v>
      </c>
      <c r="AH31" s="8">
        <f t="shared" si="52"/>
        <v>0.32362155213397503</v>
      </c>
      <c r="AI31" s="8"/>
      <c r="AO31" s="10">
        <v>50</v>
      </c>
      <c r="AP31" s="8">
        <f t="shared" si="53"/>
        <v>1.3050152929182024</v>
      </c>
      <c r="AQ31" s="8">
        <f t="shared" si="54"/>
        <v>0.77938718662952644</v>
      </c>
      <c r="AW31" s="5">
        <f t="shared" si="56"/>
        <v>66561</v>
      </c>
      <c r="AX31" s="5">
        <f t="shared" si="57"/>
        <v>279800</v>
      </c>
    </row>
    <row r="33" spans="1:28" s="28" customFormat="1" x14ac:dyDescent="0.2">
      <c r="M33" s="29"/>
      <c r="N33" s="29"/>
    </row>
    <row r="34" spans="1:28" x14ac:dyDescent="0.2">
      <c r="A34" s="4" t="s">
        <v>526</v>
      </c>
      <c r="M34" s="5"/>
      <c r="N34" s="5"/>
      <c r="S34" s="6" t="s">
        <v>538</v>
      </c>
      <c r="T34" s="6"/>
    </row>
    <row r="35" spans="1:28" x14ac:dyDescent="0.2">
      <c r="A35" s="4" t="s">
        <v>527</v>
      </c>
      <c r="L35" s="6"/>
      <c r="M35" s="5"/>
      <c r="N35" s="6" t="s">
        <v>525</v>
      </c>
      <c r="R35" s="23" t="s">
        <v>530</v>
      </c>
      <c r="S35" s="23" t="s">
        <v>529</v>
      </c>
      <c r="T35" s="23" t="s">
        <v>537</v>
      </c>
    </row>
    <row r="36" spans="1:28" x14ac:dyDescent="0.2">
      <c r="L36" s="6"/>
      <c r="M36" s="5"/>
      <c r="N36" s="27" t="s">
        <v>523</v>
      </c>
      <c r="R36" s="6" t="s">
        <v>536</v>
      </c>
      <c r="S36" s="23" t="s">
        <v>533</v>
      </c>
      <c r="T36" s="6" t="s">
        <v>532</v>
      </c>
    </row>
    <row r="37" spans="1:28" x14ac:dyDescent="0.2">
      <c r="L37" s="6"/>
      <c r="M37" s="5"/>
      <c r="N37" s="27"/>
      <c r="R37" s="6" t="s">
        <v>551</v>
      </c>
      <c r="S37" s="23" t="s">
        <v>551</v>
      </c>
      <c r="T37" s="6" t="s">
        <v>551</v>
      </c>
      <c r="V37" s="6" t="s">
        <v>552</v>
      </c>
      <c r="W37" s="6" t="s">
        <v>552</v>
      </c>
      <c r="X37" s="6" t="s">
        <v>552</v>
      </c>
      <c r="Z37" s="6" t="s">
        <v>553</v>
      </c>
      <c r="AA37" s="6" t="s">
        <v>554</v>
      </c>
      <c r="AB37" s="6" t="s">
        <v>554</v>
      </c>
    </row>
    <row r="38" spans="1:28" x14ac:dyDescent="0.2">
      <c r="A38" s="4" t="s">
        <v>39</v>
      </c>
      <c r="B38" s="4" t="s">
        <v>115</v>
      </c>
      <c r="C38" s="4" t="s">
        <v>514</v>
      </c>
      <c r="D38" s="4" t="s">
        <v>515</v>
      </c>
      <c r="E38" s="4" t="s">
        <v>516</v>
      </c>
      <c r="F38" s="4" t="s">
        <v>517</v>
      </c>
      <c r="G38" s="4" t="s">
        <v>518</v>
      </c>
      <c r="H38" s="4" t="s">
        <v>0</v>
      </c>
      <c r="I38" s="4" t="s">
        <v>1</v>
      </c>
      <c r="J38" s="4" t="s">
        <v>2</v>
      </c>
      <c r="K38" s="4" t="s">
        <v>3</v>
      </c>
      <c r="L38" s="6" t="s">
        <v>519</v>
      </c>
      <c r="M38" s="4" t="s">
        <v>520</v>
      </c>
      <c r="N38" s="4" t="s">
        <v>521</v>
      </c>
      <c r="O38" s="4" t="s">
        <v>522</v>
      </c>
      <c r="P38" s="4" t="s">
        <v>524</v>
      </c>
      <c r="Q38" s="4" t="s">
        <v>528</v>
      </c>
      <c r="R38" s="6" t="s">
        <v>534</v>
      </c>
      <c r="S38" s="6" t="s">
        <v>529</v>
      </c>
      <c r="T38" s="6" t="s">
        <v>531</v>
      </c>
      <c r="V38" s="6" t="s">
        <v>534</v>
      </c>
      <c r="W38" s="6" t="s">
        <v>529</v>
      </c>
      <c r="X38" s="6" t="s">
        <v>531</v>
      </c>
      <c r="Z38" s="6" t="s">
        <v>534</v>
      </c>
      <c r="AA38" s="6" t="s">
        <v>529</v>
      </c>
      <c r="AB38" s="6" t="s">
        <v>531</v>
      </c>
    </row>
    <row r="39" spans="1:28" x14ac:dyDescent="0.2">
      <c r="A39" s="5" t="s">
        <v>64</v>
      </c>
      <c r="B39" s="10">
        <v>5</v>
      </c>
      <c r="C39" s="6">
        <f>1-0.26-0.025</f>
        <v>0.71499999999999997</v>
      </c>
      <c r="D39" s="12">
        <f>H39/$C39</f>
        <v>32626.573426573428</v>
      </c>
      <c r="E39" s="12">
        <f t="shared" ref="E39:F39" si="70">I39/$C39</f>
        <v>24825.174825174825</v>
      </c>
      <c r="F39" s="12">
        <f t="shared" si="70"/>
        <v>1693.7062937062938</v>
      </c>
      <c r="G39" s="12">
        <f>K39/$C39</f>
        <v>362.23776223776224</v>
      </c>
      <c r="H39">
        <v>23328</v>
      </c>
      <c r="I39">
        <v>17750</v>
      </c>
      <c r="J39">
        <v>1211</v>
      </c>
      <c r="K39">
        <v>259</v>
      </c>
      <c r="L39" s="26">
        <f>W4*D39*1000/1000000</f>
        <v>4.1829828709610419</v>
      </c>
      <c r="M39" s="26">
        <f t="shared" ref="M39:N39" si="71">X4*E39*1000/1000000</f>
        <v>3.4617074171163038</v>
      </c>
      <c r="N39" s="26">
        <f t="shared" si="71"/>
        <v>7.6557081610881603</v>
      </c>
      <c r="O39" s="26">
        <f>Z4*G39*1000/1000000</f>
        <v>50.749895830005244</v>
      </c>
      <c r="P39" s="26">
        <f>SUM(L39:O39)</f>
        <v>66.050294279170743</v>
      </c>
      <c r="Q39" s="26">
        <f>SUM(L39:N39)</f>
        <v>15.300398449165506</v>
      </c>
      <c r="R39" s="26">
        <f>(LN(L49/(L39*0.25)))/1.25</f>
        <v>0.10738839554430102</v>
      </c>
      <c r="S39" s="26">
        <f>(R39-R40)/(1-0.25)</f>
        <v>0.11146397558001057</v>
      </c>
      <c r="T39" s="26">
        <f>S39+R41</f>
        <v>0.25976670112566225</v>
      </c>
      <c r="V39" s="26">
        <f>(LN(L52/(L40*0.25)))/1.25</f>
        <v>0.30456932764950284</v>
      </c>
      <c r="W39" s="26">
        <f>(V39-V40)/(1-0.25)</f>
        <v>0.27103796274018871</v>
      </c>
      <c r="X39" s="26">
        <f>W39+V41</f>
        <v>0.37496454737347074</v>
      </c>
      <c r="Z39" s="26">
        <f>(LN(L55/(L41*0.25)))/1.25</f>
        <v>0.34787214536578265</v>
      </c>
      <c r="AA39" s="26">
        <f>(Z39-Z40)/(1-0.25)</f>
        <v>0.38235321146220796</v>
      </c>
      <c r="AB39" s="26">
        <f>AA39+Z41</f>
        <v>0.47507711927318169</v>
      </c>
    </row>
    <row r="40" spans="1:28" x14ac:dyDescent="0.2">
      <c r="A40" s="5" t="s">
        <v>65</v>
      </c>
      <c r="B40" s="10">
        <v>12</v>
      </c>
      <c r="C40" s="6">
        <f>1-0.25-0.025</f>
        <v>0.72499999999999998</v>
      </c>
      <c r="D40" s="12">
        <f t="shared" ref="D40:D46" si="72">H40/$C40</f>
        <v>34171.034482758623</v>
      </c>
      <c r="E40" s="12">
        <f t="shared" ref="E40:E46" si="73">I40/$C40</f>
        <v>25022.068965517243</v>
      </c>
      <c r="F40" s="12">
        <f t="shared" ref="F40:F46" si="74">J40/$C40</f>
        <v>1579.3103448275863</v>
      </c>
      <c r="G40" s="12">
        <f t="shared" ref="G40:G46" si="75">K40/$C40</f>
        <v>271.72413793103448</v>
      </c>
      <c r="H40">
        <v>24774</v>
      </c>
      <c r="I40">
        <v>18141</v>
      </c>
      <c r="J40">
        <v>1145</v>
      </c>
      <c r="K40">
        <v>197</v>
      </c>
      <c r="L40" s="26">
        <f t="shared" ref="L40:L46" si="76">W5*D40*1000/1000000</f>
        <v>4.277827495020448</v>
      </c>
      <c r="M40" s="26">
        <f t="shared" ref="M40:M46" si="77">X5*E40*1000/1000000</f>
        <v>3.4608352619719058</v>
      </c>
      <c r="N40" s="26">
        <f t="shared" ref="N40:N46" si="78">Y5*F40*1000/1000000</f>
        <v>7.1435077759778585</v>
      </c>
      <c r="O40" s="26">
        <f t="shared" ref="O40:O46" si="79">Z5*G40*1000/1000000</f>
        <v>39.627156223358625</v>
      </c>
      <c r="P40" s="26">
        <f t="shared" ref="P40:P46" si="80">SUM(L40:O40)</f>
        <v>54.509326756328839</v>
      </c>
      <c r="Q40" s="26">
        <f t="shared" ref="Q40:Q46" si="81">SUM(L40:N40)</f>
        <v>14.882170532970212</v>
      </c>
      <c r="R40" s="26">
        <f>(LN(L50/L39))/1.25</f>
        <v>2.3790413859293084E-2</v>
      </c>
      <c r="V40" s="26">
        <f>(LN(L53/L40))/1.25</f>
        <v>0.10129085559436131</v>
      </c>
      <c r="Z40" s="26">
        <f>(LN(L56/L41))/1.25</f>
        <v>6.110723676912666E-2</v>
      </c>
    </row>
    <row r="41" spans="1:28" x14ac:dyDescent="0.2">
      <c r="A41" s="5" t="s">
        <v>66</v>
      </c>
      <c r="B41" s="10">
        <v>20</v>
      </c>
      <c r="C41" s="6">
        <f t="shared" ref="C41:C46" si="82">1-0.26-0.025</f>
        <v>0.71499999999999997</v>
      </c>
      <c r="D41" s="12">
        <f t="shared" si="72"/>
        <v>63151.048951048957</v>
      </c>
      <c r="E41" s="12">
        <f t="shared" si="73"/>
        <v>38923.076923076922</v>
      </c>
      <c r="F41" s="12">
        <f t="shared" si="74"/>
        <v>1818.1818181818182</v>
      </c>
      <c r="G41" s="12">
        <f t="shared" si="75"/>
        <v>370.62937062937067</v>
      </c>
      <c r="H41">
        <v>45153</v>
      </c>
      <c r="I41">
        <v>27830</v>
      </c>
      <c r="J41">
        <v>1300</v>
      </c>
      <c r="K41">
        <v>265</v>
      </c>
      <c r="L41" s="26">
        <f t="shared" si="76"/>
        <v>7.9103766938439346</v>
      </c>
      <c r="M41" s="26">
        <f t="shared" si="77"/>
        <v>5.1802263150703691</v>
      </c>
      <c r="N41" s="26">
        <f t="shared" si="78"/>
        <v>6.9111340620718815</v>
      </c>
      <c r="O41" s="26">
        <f t="shared" si="79"/>
        <v>91.853536114264472</v>
      </c>
      <c r="P41" s="26">
        <f t="shared" si="80"/>
        <v>111.85527318525065</v>
      </c>
      <c r="Q41" s="26">
        <f t="shared" si="81"/>
        <v>20.001737070986184</v>
      </c>
      <c r="R41" s="26">
        <f>LN(L51/L39)/1.25</f>
        <v>0.14830272554565166</v>
      </c>
      <c r="V41" s="26">
        <f>LN(L54/L40)/1.25</f>
        <v>0.10392658463328205</v>
      </c>
      <c r="Z41" s="26">
        <f>LN(L57/L41)/1.25</f>
        <v>9.2723907810973713E-2</v>
      </c>
    </row>
    <row r="42" spans="1:28" x14ac:dyDescent="0.2">
      <c r="A42" s="5" t="s">
        <v>67</v>
      </c>
      <c r="B42" s="10">
        <v>30</v>
      </c>
      <c r="C42" s="6">
        <f t="shared" si="82"/>
        <v>0.71499999999999997</v>
      </c>
      <c r="D42" s="12">
        <f t="shared" si="72"/>
        <v>51854.545454545456</v>
      </c>
      <c r="E42" s="12">
        <f t="shared" si="73"/>
        <v>21060.139860139861</v>
      </c>
      <c r="F42" s="12">
        <f t="shared" si="74"/>
        <v>1924.4755244755245</v>
      </c>
      <c r="G42" s="12">
        <f t="shared" si="75"/>
        <v>282.51748251748251</v>
      </c>
      <c r="H42">
        <v>37076</v>
      </c>
      <c r="I42">
        <v>15058</v>
      </c>
      <c r="J42">
        <v>1376</v>
      </c>
      <c r="K42">
        <v>202</v>
      </c>
      <c r="L42" s="26">
        <f t="shared" si="76"/>
        <v>6.7749910651120748</v>
      </c>
      <c r="M42" s="26">
        <f t="shared" si="77"/>
        <v>3.1635560115757571</v>
      </c>
      <c r="N42" s="26">
        <f t="shared" si="78"/>
        <v>4.1732361868183254</v>
      </c>
      <c r="O42" s="26">
        <f t="shared" si="79"/>
        <v>33.885581877101465</v>
      </c>
      <c r="P42" s="26">
        <f t="shared" si="80"/>
        <v>47.997365140607627</v>
      </c>
      <c r="Q42" s="26">
        <f t="shared" si="81"/>
        <v>14.111783263506158</v>
      </c>
      <c r="R42" s="5" t="s">
        <v>535</v>
      </c>
      <c r="V42" s="5" t="s">
        <v>535</v>
      </c>
      <c r="Z42" s="5" t="s">
        <v>535</v>
      </c>
    </row>
    <row r="43" spans="1:28" x14ac:dyDescent="0.2">
      <c r="A43" s="5" t="s">
        <v>68</v>
      </c>
      <c r="B43" s="10">
        <v>40</v>
      </c>
      <c r="C43" s="6">
        <f t="shared" si="82"/>
        <v>0.71499999999999997</v>
      </c>
      <c r="D43" s="12">
        <f t="shared" si="72"/>
        <v>18744.055944055945</v>
      </c>
      <c r="E43" s="12">
        <f t="shared" si="73"/>
        <v>8581.818181818182</v>
      </c>
      <c r="F43" s="12">
        <f t="shared" si="74"/>
        <v>769.23076923076928</v>
      </c>
      <c r="G43" s="12">
        <f t="shared" si="75"/>
        <v>44.75524475524476</v>
      </c>
      <c r="H43">
        <v>13402</v>
      </c>
      <c r="I43">
        <v>6136</v>
      </c>
      <c r="J43">
        <v>550</v>
      </c>
      <c r="K43">
        <v>32</v>
      </c>
      <c r="L43" s="26">
        <f t="shared" si="76"/>
        <v>2.5172843775922749</v>
      </c>
      <c r="M43" s="26">
        <f t="shared" si="77"/>
        <v>1.425348544630292</v>
      </c>
      <c r="N43" s="26">
        <f t="shared" si="78"/>
        <v>1.3216300824068918</v>
      </c>
      <c r="O43" s="26">
        <f t="shared" si="79"/>
        <v>1.9160004556547254</v>
      </c>
      <c r="P43" s="26">
        <f t="shared" si="80"/>
        <v>7.1802634602841842</v>
      </c>
      <c r="Q43" s="26">
        <f t="shared" si="81"/>
        <v>5.2642630046294592</v>
      </c>
      <c r="R43" s="6" t="s">
        <v>539</v>
      </c>
      <c r="S43" s="6" t="s">
        <v>540</v>
      </c>
      <c r="T43" s="6" t="s">
        <v>541</v>
      </c>
      <c r="V43" s="6" t="s">
        <v>539</v>
      </c>
      <c r="W43" s="6" t="s">
        <v>540</v>
      </c>
      <c r="X43" s="6" t="s">
        <v>541</v>
      </c>
      <c r="Z43" s="6" t="s">
        <v>539</v>
      </c>
      <c r="AA43" s="6" t="s">
        <v>540</v>
      </c>
      <c r="AB43" s="6" t="s">
        <v>541</v>
      </c>
    </row>
    <row r="44" spans="1:28" x14ac:dyDescent="0.2">
      <c r="A44" s="5" t="s">
        <v>69</v>
      </c>
      <c r="B44" s="10">
        <v>50</v>
      </c>
      <c r="C44" s="6">
        <f t="shared" si="82"/>
        <v>0.71499999999999997</v>
      </c>
      <c r="D44" s="12">
        <f t="shared" si="72"/>
        <v>18615.384615384617</v>
      </c>
      <c r="E44" s="12">
        <f t="shared" si="73"/>
        <v>8467.1328671328683</v>
      </c>
      <c r="F44" s="12">
        <f t="shared" si="74"/>
        <v>706.29370629370635</v>
      </c>
      <c r="G44" s="12">
        <f t="shared" si="75"/>
        <v>43.35664335664336</v>
      </c>
      <c r="H44">
        <v>13310</v>
      </c>
      <c r="I44">
        <v>6054</v>
      </c>
      <c r="J44">
        <v>505</v>
      </c>
      <c r="K44">
        <v>31</v>
      </c>
      <c r="L44" s="26">
        <f t="shared" si="76"/>
        <v>2.3744754594785413</v>
      </c>
      <c r="M44" s="26">
        <f t="shared" si="77"/>
        <v>1.4332091859110156</v>
      </c>
      <c r="N44" s="26">
        <f t="shared" si="78"/>
        <v>1.4144024154288242</v>
      </c>
      <c r="O44" s="26">
        <f t="shared" si="79"/>
        <v>3.0678007630249988</v>
      </c>
      <c r="P44" s="26">
        <f t="shared" si="80"/>
        <v>8.2898878238433795</v>
      </c>
      <c r="Q44" s="26">
        <f t="shared" si="81"/>
        <v>5.2220870608183816</v>
      </c>
      <c r="R44" s="26">
        <f>(LN(M49/(M39*0.25)))/1.25</f>
        <v>1.9752119683279293E-2</v>
      </c>
      <c r="S44" s="26">
        <f>(R44-R45)/(1-0.25)</f>
        <v>-8.283268352030243E-2</v>
      </c>
      <c r="T44" s="26">
        <f>S44+R46</f>
        <v>-3.5455024532088243E-2</v>
      </c>
      <c r="V44" s="26">
        <f>(LN(M52/(M40*0.25)))/1.25</f>
        <v>0.40194490799136717</v>
      </c>
      <c r="W44" s="26">
        <f>(V44-V45)/(1-0.25)</f>
        <v>0.32137507796571074</v>
      </c>
      <c r="X44" s="26">
        <f>W44+V46</f>
        <v>0.35704972426848336</v>
      </c>
      <c r="Z44" s="26">
        <f>(LN(M55/(M41*0.25)))/1.25</f>
        <v>0.39313974094748189</v>
      </c>
      <c r="AA44" s="26">
        <f>(Z44-Z45)/(1-0.25)</f>
        <v>0.43479954459859976</v>
      </c>
      <c r="AB44" s="26">
        <f>AA44+Z46</f>
        <v>0.40483759398562741</v>
      </c>
    </row>
    <row r="45" spans="1:28" x14ac:dyDescent="0.2">
      <c r="A45" s="9" t="s">
        <v>476</v>
      </c>
      <c r="B45" s="10">
        <v>70</v>
      </c>
      <c r="C45" s="6">
        <f t="shared" si="82"/>
        <v>0.71499999999999997</v>
      </c>
      <c r="D45" s="12">
        <f t="shared" si="72"/>
        <v>5811.1888111888111</v>
      </c>
      <c r="E45" s="12">
        <f t="shared" si="73"/>
        <v>1876.9230769230769</v>
      </c>
      <c r="F45" s="12">
        <f t="shared" si="74"/>
        <v>229.37062937062939</v>
      </c>
      <c r="G45" s="12">
        <f t="shared" si="75"/>
        <v>13.986013986013987</v>
      </c>
      <c r="H45">
        <v>4155</v>
      </c>
      <c r="I45">
        <v>1342</v>
      </c>
      <c r="J45">
        <v>164</v>
      </c>
      <c r="K45">
        <v>10</v>
      </c>
      <c r="L45" s="26">
        <f t="shared" si="76"/>
        <v>0.76569443057759379</v>
      </c>
      <c r="M45" s="26">
        <f t="shared" si="77"/>
        <v>0.34204477081630974</v>
      </c>
      <c r="N45" s="26">
        <f t="shared" si="78"/>
        <v>0.40665442498156651</v>
      </c>
      <c r="O45" s="26">
        <f t="shared" si="79"/>
        <v>0.18828381780204351</v>
      </c>
      <c r="P45" s="26">
        <f t="shared" si="80"/>
        <v>1.7026774441775134</v>
      </c>
      <c r="Q45" s="26">
        <f t="shared" si="81"/>
        <v>1.51439362637547</v>
      </c>
      <c r="R45" s="26">
        <f>(LN(M50/M39))/1.25</f>
        <v>8.1876632323506116E-2</v>
      </c>
      <c r="V45" s="26">
        <f>(LN(M53/M40))/1.25</f>
        <v>0.16091359951708412</v>
      </c>
      <c r="Z45" s="26">
        <f>(LN(M56/M41))/1.25</f>
        <v>6.7040082498532078E-2</v>
      </c>
    </row>
    <row r="46" spans="1:28" x14ac:dyDescent="0.2">
      <c r="A46" s="9" t="s">
        <v>477</v>
      </c>
      <c r="B46" s="10">
        <v>100</v>
      </c>
      <c r="C46" s="6">
        <f t="shared" si="82"/>
        <v>0.71499999999999997</v>
      </c>
      <c r="D46" s="12">
        <f t="shared" si="72"/>
        <v>3002.7972027972028</v>
      </c>
      <c r="E46" s="12">
        <f t="shared" si="73"/>
        <v>1044.7552447552448</v>
      </c>
      <c r="F46" s="12">
        <f t="shared" si="74"/>
        <v>117.48251748251749</v>
      </c>
      <c r="G46" s="12">
        <f t="shared" si="75"/>
        <v>11.18881118881119</v>
      </c>
      <c r="H46">
        <v>2147</v>
      </c>
      <c r="I46">
        <v>747</v>
      </c>
      <c r="J46">
        <v>84</v>
      </c>
      <c r="K46">
        <v>8</v>
      </c>
      <c r="L46" s="26">
        <f t="shared" si="76"/>
        <v>0.39369756738228984</v>
      </c>
      <c r="M46" s="26">
        <f t="shared" si="77"/>
        <v>0.19764553401839119</v>
      </c>
      <c r="N46" s="26">
        <f t="shared" si="78"/>
        <v>0.20808939830281328</v>
      </c>
      <c r="O46" s="26">
        <f t="shared" si="79"/>
        <v>0.25004074224718303</v>
      </c>
      <c r="P46" s="26">
        <f t="shared" si="80"/>
        <v>1.0494732419506774</v>
      </c>
      <c r="Q46" s="26">
        <f t="shared" si="81"/>
        <v>0.79943249970349428</v>
      </c>
      <c r="R46" s="26">
        <f>LN(M51/M39)/1.25</f>
        <v>4.7377658988214187E-2</v>
      </c>
      <c r="V46" s="26">
        <f>LN(M54/M40)/1.25</f>
        <v>3.5674646302772603E-2</v>
      </c>
      <c r="Z46" s="26">
        <f>LN(M57/M41)/1.25</f>
        <v>-2.9961950612972355E-2</v>
      </c>
    </row>
    <row r="47" spans="1:28" x14ac:dyDescent="0.2">
      <c r="A47" s="30"/>
      <c r="B47" s="10"/>
      <c r="M47" s="5"/>
      <c r="N47" s="5"/>
      <c r="Q47" s="10"/>
    </row>
    <row r="48" spans="1:28" x14ac:dyDescent="0.2">
      <c r="A48" s="5" t="s">
        <v>40</v>
      </c>
      <c r="B48" s="5" t="s">
        <v>115</v>
      </c>
      <c r="C48" s="4" t="s">
        <v>514</v>
      </c>
      <c r="D48" s="4" t="s">
        <v>515</v>
      </c>
      <c r="E48" s="4" t="s">
        <v>516</v>
      </c>
      <c r="F48" s="4" t="s">
        <v>517</v>
      </c>
      <c r="G48" s="4" t="s">
        <v>518</v>
      </c>
      <c r="H48" s="5" t="s">
        <v>0</v>
      </c>
      <c r="I48" s="5" t="s">
        <v>1</v>
      </c>
      <c r="J48" s="5" t="s">
        <v>2</v>
      </c>
      <c r="K48" s="5" t="s">
        <v>3</v>
      </c>
      <c r="L48" s="6" t="s">
        <v>519</v>
      </c>
      <c r="M48" s="4" t="s">
        <v>520</v>
      </c>
      <c r="N48" s="4" t="s">
        <v>521</v>
      </c>
      <c r="O48" s="4" t="s">
        <v>522</v>
      </c>
      <c r="P48" s="4" t="s">
        <v>524</v>
      </c>
      <c r="Q48" s="6" t="s">
        <v>528</v>
      </c>
      <c r="R48" s="6" t="s">
        <v>542</v>
      </c>
      <c r="S48" s="6" t="s">
        <v>543</v>
      </c>
      <c r="T48" s="6" t="s">
        <v>544</v>
      </c>
      <c r="V48" s="6" t="s">
        <v>542</v>
      </c>
      <c r="W48" s="6" t="s">
        <v>543</v>
      </c>
      <c r="X48" s="6" t="s">
        <v>544</v>
      </c>
      <c r="Z48" s="6" t="s">
        <v>542</v>
      </c>
      <c r="AA48" s="6" t="s">
        <v>543</v>
      </c>
      <c r="AB48" s="6" t="s">
        <v>544</v>
      </c>
    </row>
    <row r="49" spans="1:28" x14ac:dyDescent="0.2">
      <c r="A49" s="9" t="s">
        <v>70</v>
      </c>
      <c r="B49" s="10">
        <v>5</v>
      </c>
      <c r="C49" s="6">
        <f>1-0.585-0.025</f>
        <v>0.39</v>
      </c>
      <c r="D49" s="12">
        <f t="shared" ref="D49:D66" si="83">H49/$C49</f>
        <v>8961.538461538461</v>
      </c>
      <c r="E49" s="12">
        <f t="shared" ref="E49:E66" si="84">I49/$C49</f>
        <v>5441.0256410256407</v>
      </c>
      <c r="F49" s="12">
        <f t="shared" ref="F49:F66" si="85">J49/$C49</f>
        <v>312.82051282051282</v>
      </c>
      <c r="G49" s="12">
        <f>K49/$C49</f>
        <v>151.28205128205127</v>
      </c>
      <c r="H49">
        <v>3495</v>
      </c>
      <c r="I49">
        <v>2122</v>
      </c>
      <c r="J49">
        <v>122</v>
      </c>
      <c r="K49">
        <v>59</v>
      </c>
      <c r="L49" s="26">
        <f t="shared" ref="L49:L66" si="86">W14*D49*1000/1000000</f>
        <v>1.1959797582497655</v>
      </c>
      <c r="M49" s="26">
        <f t="shared" ref="M49:M66" si="87">X14*E49*1000/1000000</f>
        <v>0.88706034081592011</v>
      </c>
      <c r="N49" s="26">
        <f t="shared" ref="N49:N66" si="88">Y14*F49*1000/1000000</f>
        <v>0.77139555859240949</v>
      </c>
      <c r="O49" s="26">
        <f t="shared" ref="O49:O66" si="89">Z14*G49*1000/1000000</f>
        <v>11.763119780552667</v>
      </c>
      <c r="P49" s="26">
        <f>SUM(L49:O49)</f>
        <v>14.617555438210763</v>
      </c>
      <c r="Q49" s="26">
        <f>SUM(L49:N49)</f>
        <v>2.8544356576580956</v>
      </c>
      <c r="R49" s="26">
        <f>(LN(N49/(N39*0.25)))/1.25</f>
        <v>-0.72696893131370333</v>
      </c>
      <c r="S49" s="26">
        <f>(R49-R50)/(1-0.25)</f>
        <v>-0.41979414414071708</v>
      </c>
      <c r="T49" s="26">
        <f>S49+R51</f>
        <v>-0.79816546038752401</v>
      </c>
      <c r="V49" s="26">
        <f>(LN(N52/(N40*0.25)))/1.25</f>
        <v>-0.38238751373430485</v>
      </c>
      <c r="W49" s="26">
        <f>(V49-V50)/(1-0.25)</f>
        <v>0.1851993107573949</v>
      </c>
      <c r="X49" s="26">
        <f>W49+V51</f>
        <v>-0.18316695259534369</v>
      </c>
      <c r="Z49" s="26">
        <f>(LN(N55/(N41*0.25)))/1.25</f>
        <v>-0.25373000690528663</v>
      </c>
      <c r="AA49" s="26">
        <f>(Z49-Z50)/(1-0.25)</f>
        <v>0.48742732060213395</v>
      </c>
      <c r="AB49" s="26">
        <f>AA49+Z51</f>
        <v>-9.0835722148988773E-2</v>
      </c>
    </row>
    <row r="50" spans="1:28" x14ac:dyDescent="0.2">
      <c r="A50" s="9" t="s">
        <v>71</v>
      </c>
      <c r="B50" s="10">
        <v>5</v>
      </c>
      <c r="C50" s="6">
        <f t="shared" ref="C50" si="90">1-0.585-0.025</f>
        <v>0.39</v>
      </c>
      <c r="D50" s="12">
        <f t="shared" si="83"/>
        <v>33356.410256410258</v>
      </c>
      <c r="E50" s="12">
        <f t="shared" si="84"/>
        <v>23428.205128205129</v>
      </c>
      <c r="F50" s="12">
        <f t="shared" si="85"/>
        <v>1092.3076923076924</v>
      </c>
      <c r="G50" s="12">
        <f t="shared" ref="G50:G66" si="91">K50/$C50</f>
        <v>320.5128205128205</v>
      </c>
      <c r="H50">
        <v>13009</v>
      </c>
      <c r="I50">
        <v>9137</v>
      </c>
      <c r="J50">
        <v>426</v>
      </c>
      <c r="K50">
        <v>125</v>
      </c>
      <c r="L50" s="26">
        <f t="shared" si="86"/>
        <v>4.3092445695130976</v>
      </c>
      <c r="M50" s="26">
        <f t="shared" si="87"/>
        <v>3.8347633728131574</v>
      </c>
      <c r="N50" s="26">
        <f t="shared" si="88"/>
        <v>4.573585087646693</v>
      </c>
      <c r="O50" s="26">
        <f t="shared" si="89"/>
        <v>33.804854840546902</v>
      </c>
      <c r="P50" s="26">
        <f t="shared" ref="P50:P54" si="92">SUM(L50:O50)</f>
        <v>46.522447870519848</v>
      </c>
      <c r="Q50" s="26">
        <f t="shared" ref="Q50:Q54" si="93">SUM(L50:N50)</f>
        <v>12.717593029972948</v>
      </c>
      <c r="R50" s="26">
        <f>(LN(N50/N39))/1.25</f>
        <v>-0.41212332320816553</v>
      </c>
      <c r="V50" s="26">
        <f>(LN(N53/N40))/1.25</f>
        <v>-0.52128699680235102</v>
      </c>
      <c r="Z50" s="26">
        <f>(LN(N56/N41))/1.25</f>
        <v>-0.61930049735688708</v>
      </c>
    </row>
    <row r="51" spans="1:28" x14ac:dyDescent="0.2">
      <c r="A51" s="9" t="s">
        <v>72</v>
      </c>
      <c r="B51" s="10">
        <v>5</v>
      </c>
      <c r="C51" s="6">
        <f>1-0.635-0.025</f>
        <v>0.33999999999999997</v>
      </c>
      <c r="D51" s="12">
        <f t="shared" si="83"/>
        <v>37352.941176470595</v>
      </c>
      <c r="E51" s="12">
        <f t="shared" si="84"/>
        <v>23997.058823529413</v>
      </c>
      <c r="F51" s="12">
        <f t="shared" si="85"/>
        <v>1967.6470588235295</v>
      </c>
      <c r="G51" s="12">
        <f t="shared" si="91"/>
        <v>329.41176470588238</v>
      </c>
      <c r="H51">
        <v>12700</v>
      </c>
      <c r="I51">
        <v>8159</v>
      </c>
      <c r="J51">
        <v>669</v>
      </c>
      <c r="K51">
        <v>112</v>
      </c>
      <c r="L51" s="26">
        <f t="shared" si="86"/>
        <v>5.0349470234987699</v>
      </c>
      <c r="M51" s="26">
        <f t="shared" si="87"/>
        <v>3.6729090848420562</v>
      </c>
      <c r="N51" s="26">
        <f t="shared" si="88"/>
        <v>4.7706730192770994</v>
      </c>
      <c r="O51" s="26">
        <f t="shared" si="89"/>
        <v>43.065550359501913</v>
      </c>
      <c r="P51" s="26">
        <f t="shared" si="92"/>
        <v>56.544079487119838</v>
      </c>
      <c r="Q51" s="26">
        <f t="shared" si="93"/>
        <v>13.478529127617925</v>
      </c>
      <c r="R51" s="26">
        <f>LN(N51/N39)/1.25</f>
        <v>-0.37837131624680692</v>
      </c>
      <c r="V51" s="26">
        <f>LN(N54/N40)/1.25</f>
        <v>-0.36836626335273859</v>
      </c>
      <c r="Z51" s="26">
        <f>LN(N57/N41)/1.25</f>
        <v>-0.57826304275112272</v>
      </c>
    </row>
    <row r="52" spans="1:28" x14ac:dyDescent="0.2">
      <c r="A52" s="9" t="s">
        <v>73</v>
      </c>
      <c r="B52" s="10">
        <v>12</v>
      </c>
      <c r="C52" s="6">
        <f>1-0.625-0.025</f>
        <v>0.35</v>
      </c>
      <c r="D52" s="12">
        <f t="shared" si="83"/>
        <v>12485.714285714286</v>
      </c>
      <c r="E52" s="12">
        <f t="shared" si="84"/>
        <v>8785.7142857142862</v>
      </c>
      <c r="F52" s="12">
        <f t="shared" si="85"/>
        <v>371.42857142857144</v>
      </c>
      <c r="G52" s="12">
        <f t="shared" si="91"/>
        <v>74.285714285714292</v>
      </c>
      <c r="H52">
        <v>4370</v>
      </c>
      <c r="I52">
        <v>3075</v>
      </c>
      <c r="J52">
        <v>130</v>
      </c>
      <c r="K52">
        <v>26</v>
      </c>
      <c r="L52" s="26">
        <f t="shared" si="86"/>
        <v>1.5649636306871488</v>
      </c>
      <c r="M52" s="26">
        <f t="shared" si="87"/>
        <v>1.429960382009545</v>
      </c>
      <c r="N52" s="26">
        <f t="shared" si="88"/>
        <v>1.1073006287823857</v>
      </c>
      <c r="O52" s="26">
        <f t="shared" si="89"/>
        <v>7.3351768827649959</v>
      </c>
      <c r="P52" s="26">
        <f t="shared" si="92"/>
        <v>11.437401524244075</v>
      </c>
      <c r="Q52" s="26">
        <f t="shared" si="93"/>
        <v>4.1022246414790793</v>
      </c>
    </row>
    <row r="53" spans="1:28" x14ac:dyDescent="0.2">
      <c r="A53" s="9" t="s">
        <v>74</v>
      </c>
      <c r="B53" s="10">
        <v>12</v>
      </c>
      <c r="C53" s="6">
        <f>1-0.625-0.025</f>
        <v>0.35</v>
      </c>
      <c r="D53" s="12">
        <f t="shared" si="83"/>
        <v>38080</v>
      </c>
      <c r="E53" s="12">
        <f t="shared" si="84"/>
        <v>27491.428571428572</v>
      </c>
      <c r="F53" s="12">
        <f t="shared" si="85"/>
        <v>1280</v>
      </c>
      <c r="G53" s="12">
        <f t="shared" si="91"/>
        <v>228.57142857142858</v>
      </c>
      <c r="H53">
        <v>13328</v>
      </c>
      <c r="I53">
        <v>9622</v>
      </c>
      <c r="J53">
        <v>448</v>
      </c>
      <c r="K53">
        <v>80</v>
      </c>
      <c r="L53" s="26">
        <f t="shared" si="86"/>
        <v>4.8552415609617601</v>
      </c>
      <c r="M53" s="26">
        <f t="shared" si="87"/>
        <v>4.2319038076089672</v>
      </c>
      <c r="N53" s="26">
        <f t="shared" si="88"/>
        <v>3.723243492042577</v>
      </c>
      <c r="O53" s="26">
        <f t="shared" si="89"/>
        <v>33.402087897215573</v>
      </c>
      <c r="P53" s="26">
        <f t="shared" si="92"/>
        <v>46.212476757828881</v>
      </c>
      <c r="Q53" s="26">
        <f t="shared" si="93"/>
        <v>12.810388860613305</v>
      </c>
      <c r="R53" s="6" t="s">
        <v>545</v>
      </c>
      <c r="S53" s="6" t="s">
        <v>546</v>
      </c>
      <c r="T53" s="6" t="s">
        <v>547</v>
      </c>
      <c r="V53" s="6" t="s">
        <v>545</v>
      </c>
      <c r="W53" s="6" t="s">
        <v>546</v>
      </c>
      <c r="X53" s="6" t="s">
        <v>547</v>
      </c>
      <c r="Z53" s="6" t="s">
        <v>545</v>
      </c>
      <c r="AA53" s="6" t="s">
        <v>546</v>
      </c>
      <c r="AB53" s="6" t="s">
        <v>547</v>
      </c>
    </row>
    <row r="54" spans="1:28" x14ac:dyDescent="0.2">
      <c r="A54" s="9" t="s">
        <v>75</v>
      </c>
      <c r="B54" s="10">
        <v>12</v>
      </c>
      <c r="C54" s="6">
        <f>1-0.625-0.025</f>
        <v>0.35</v>
      </c>
      <c r="D54" s="12">
        <f t="shared" si="83"/>
        <v>38682.857142857145</v>
      </c>
      <c r="E54" s="12">
        <f t="shared" si="84"/>
        <v>23282.857142857145</v>
      </c>
      <c r="F54" s="12">
        <f t="shared" si="85"/>
        <v>1571.4285714285716</v>
      </c>
      <c r="G54" s="12">
        <f t="shared" si="91"/>
        <v>237.14285714285717</v>
      </c>
      <c r="H54">
        <v>13539</v>
      </c>
      <c r="I54">
        <v>8149</v>
      </c>
      <c r="J54">
        <v>550</v>
      </c>
      <c r="K54">
        <v>83</v>
      </c>
      <c r="L54" s="26">
        <f t="shared" si="86"/>
        <v>4.8712643177129049</v>
      </c>
      <c r="M54" s="26">
        <f t="shared" si="87"/>
        <v>3.6186581235268793</v>
      </c>
      <c r="N54" s="26">
        <f t="shared" si="88"/>
        <v>4.5075154858816191</v>
      </c>
      <c r="O54" s="26">
        <f t="shared" si="89"/>
        <v>21.342503979071516</v>
      </c>
      <c r="P54" s="26">
        <f t="shared" si="92"/>
        <v>34.339941906192919</v>
      </c>
      <c r="Q54" s="26">
        <f t="shared" si="93"/>
        <v>12.997437927121403</v>
      </c>
      <c r="R54" s="26">
        <f>(LN(O49/(O39*0.25)))/1.25</f>
        <v>-6.0516807551375618E-2</v>
      </c>
      <c r="S54" s="26">
        <f>(R54-R55)/(1-0.25)</f>
        <v>0.352703071316885</v>
      </c>
      <c r="T54" s="26">
        <f>S54+R56</f>
        <v>0.22135412458919956</v>
      </c>
      <c r="V54" s="26">
        <f>(LN(O52/(O40*0.25)))/1.25</f>
        <v>-0.24043100730235806</v>
      </c>
      <c r="W54" s="26">
        <f>(V54-V55)/(1-0.25)</f>
        <v>-0.13828535744115919</v>
      </c>
      <c r="X54" s="26">
        <f>W54+V56</f>
        <v>-0.63333661352694848</v>
      </c>
      <c r="Z54" s="26">
        <f>(LN(O55/(O41*0.25)))/1.25</f>
        <v>-1.7412767774256426</v>
      </c>
      <c r="AA54" s="26">
        <f>(Z54-Z55)/(1-0.25)</f>
        <v>-1.0012573088291845</v>
      </c>
      <c r="AB54" s="26">
        <f>AA54+Z56</f>
        <v>-2.192682109684668</v>
      </c>
    </row>
    <row r="55" spans="1:28" x14ac:dyDescent="0.2">
      <c r="A55" s="9" t="s">
        <v>76</v>
      </c>
      <c r="B55" s="10">
        <v>20</v>
      </c>
      <c r="C55" s="6">
        <f>1-0.64-0.025</f>
        <v>0.33499999999999996</v>
      </c>
      <c r="D55" s="12">
        <f t="shared" si="83"/>
        <v>23734.328358208957</v>
      </c>
      <c r="E55" s="12">
        <f t="shared" si="84"/>
        <v>14116.417910447763</v>
      </c>
      <c r="F55" s="12">
        <f t="shared" si="85"/>
        <v>471.64179104477614</v>
      </c>
      <c r="G55" s="12">
        <f t="shared" si="91"/>
        <v>62.68656716417911</v>
      </c>
      <c r="H55">
        <v>7951</v>
      </c>
      <c r="I55">
        <v>4729</v>
      </c>
      <c r="J55">
        <v>158</v>
      </c>
      <c r="K55">
        <v>21</v>
      </c>
      <c r="L55" s="26">
        <f t="shared" si="86"/>
        <v>3.0548216881926629</v>
      </c>
      <c r="M55" s="26">
        <f t="shared" si="87"/>
        <v>2.116955688259706</v>
      </c>
      <c r="N55" s="26">
        <f t="shared" si="88"/>
        <v>1.2581933886503054</v>
      </c>
      <c r="O55" s="26">
        <f t="shared" si="89"/>
        <v>2.6046673669255314</v>
      </c>
      <c r="P55" s="26">
        <f t="shared" ref="P55:P66" si="94">SUM(L55:O55)</f>
        <v>9.0346381320282045</v>
      </c>
      <c r="Q55" s="26">
        <f t="shared" ref="Q55:Q66" si="95">SUM(L55:N55)</f>
        <v>6.4299707651026736</v>
      </c>
      <c r="R55" s="26">
        <f>(LN(O50/O39))/1.25</f>
        <v>-0.32504411103903935</v>
      </c>
      <c r="V55" s="26">
        <f>(LN(O53/O40))/1.25</f>
        <v>-0.13671698922148867</v>
      </c>
      <c r="Z55" s="26">
        <f>(LN(O56/O41))/1.25</f>
        <v>-0.99033379580375414</v>
      </c>
    </row>
    <row r="56" spans="1:28" x14ac:dyDescent="0.2">
      <c r="A56" s="9" t="s">
        <v>77</v>
      </c>
      <c r="B56" s="10">
        <v>20</v>
      </c>
      <c r="C56" s="6">
        <f>1-0.6-0.025</f>
        <v>0.375</v>
      </c>
      <c r="D56" s="12">
        <f t="shared" si="83"/>
        <v>68232</v>
      </c>
      <c r="E56" s="12">
        <f t="shared" si="84"/>
        <v>37576</v>
      </c>
      <c r="F56" s="12">
        <f t="shared" si="85"/>
        <v>1253.3333333333333</v>
      </c>
      <c r="G56" s="12">
        <f t="shared" si="91"/>
        <v>202.66666666666666</v>
      </c>
      <c r="H56">
        <v>25587</v>
      </c>
      <c r="I56">
        <v>14091</v>
      </c>
      <c r="J56">
        <v>470</v>
      </c>
      <c r="K56">
        <v>76</v>
      </c>
      <c r="L56" s="26">
        <f t="shared" si="86"/>
        <v>8.538278862077668</v>
      </c>
      <c r="M56" s="26">
        <f t="shared" si="87"/>
        <v>5.6330376775484181</v>
      </c>
      <c r="N56" s="26">
        <f t="shared" si="88"/>
        <v>3.1867708188029038</v>
      </c>
      <c r="O56" s="26">
        <f t="shared" si="89"/>
        <v>26.636383047382921</v>
      </c>
      <c r="P56" s="26">
        <f t="shared" si="94"/>
        <v>43.99447040581191</v>
      </c>
      <c r="Q56" s="26">
        <f t="shared" si="95"/>
        <v>17.358087358428989</v>
      </c>
      <c r="R56" s="26">
        <f>LN(O51/O39)/1.25</f>
        <v>-0.13134894672768543</v>
      </c>
      <c r="V56" s="26">
        <f>LN(O54/O40)/1.25</f>
        <v>-0.49505125608578926</v>
      </c>
      <c r="Z56" s="26">
        <f>LN(O57/O41)/1.25</f>
        <v>-1.1914248008554833</v>
      </c>
    </row>
    <row r="57" spans="1:28" x14ac:dyDescent="0.2">
      <c r="A57" s="9" t="s">
        <v>78</v>
      </c>
      <c r="B57" s="10">
        <v>20</v>
      </c>
      <c r="C57" s="6">
        <f>1-0.605-0.025</f>
        <v>0.37</v>
      </c>
      <c r="D57" s="12">
        <f t="shared" si="83"/>
        <v>71205.4054054054</v>
      </c>
      <c r="E57" s="12">
        <f t="shared" si="84"/>
        <v>33845.945945945947</v>
      </c>
      <c r="F57" s="12">
        <f t="shared" si="85"/>
        <v>1472.9729729729729</v>
      </c>
      <c r="G57" s="12">
        <f t="shared" si="91"/>
        <v>189.18918918918919</v>
      </c>
      <c r="H57">
        <v>26346</v>
      </c>
      <c r="I57">
        <v>12523</v>
      </c>
      <c r="J57">
        <v>545</v>
      </c>
      <c r="K57">
        <v>70</v>
      </c>
      <c r="L57" s="26">
        <f t="shared" si="86"/>
        <v>8.882475475271491</v>
      </c>
      <c r="M57" s="26">
        <f t="shared" si="87"/>
        <v>4.9898023872153878</v>
      </c>
      <c r="N57" s="26">
        <f t="shared" si="88"/>
        <v>3.3545074195659739</v>
      </c>
      <c r="O57" s="26">
        <f t="shared" si="89"/>
        <v>20.716164901745334</v>
      </c>
      <c r="P57" s="26">
        <f t="shared" si="94"/>
        <v>37.942950183798189</v>
      </c>
      <c r="Q57" s="26">
        <f t="shared" si="95"/>
        <v>17.226785282052852</v>
      </c>
    </row>
    <row r="58" spans="1:28" x14ac:dyDescent="0.2">
      <c r="A58" s="9" t="s">
        <v>79</v>
      </c>
      <c r="B58" s="10">
        <v>30</v>
      </c>
      <c r="C58" s="6">
        <f t="shared" ref="C58:C60" si="96">1-0.605-0.025</f>
        <v>0.37</v>
      </c>
      <c r="D58" s="12">
        <f t="shared" si="83"/>
        <v>19464.864864864867</v>
      </c>
      <c r="E58" s="12">
        <f t="shared" si="84"/>
        <v>8427.0270270270266</v>
      </c>
      <c r="F58" s="12">
        <f t="shared" si="85"/>
        <v>524.32432432432438</v>
      </c>
      <c r="G58" s="12">
        <f t="shared" si="91"/>
        <v>40.54054054054054</v>
      </c>
      <c r="H58">
        <v>7202</v>
      </c>
      <c r="I58">
        <v>3118</v>
      </c>
      <c r="J58">
        <v>194</v>
      </c>
      <c r="K58">
        <v>15</v>
      </c>
      <c r="L58" s="26">
        <f t="shared" si="86"/>
        <v>2.451723630240167</v>
      </c>
      <c r="M58" s="26">
        <f t="shared" si="87"/>
        <v>1.3241616005354571</v>
      </c>
      <c r="N58" s="26">
        <f t="shared" si="88"/>
        <v>1.3337225414955249</v>
      </c>
      <c r="O58" s="26">
        <f t="shared" si="89"/>
        <v>5.7684748421721341</v>
      </c>
      <c r="P58" s="26">
        <f t="shared" si="94"/>
        <v>10.878082614443283</v>
      </c>
      <c r="Q58" s="26">
        <f t="shared" si="95"/>
        <v>5.1096077722711488</v>
      </c>
      <c r="R58" s="4"/>
      <c r="S58" s="4"/>
      <c r="T58" s="4"/>
      <c r="V58" s="4"/>
      <c r="W58" s="4"/>
      <c r="X58" s="4"/>
      <c r="Z58" s="4"/>
      <c r="AA58" s="4"/>
      <c r="AB58" s="4"/>
    </row>
    <row r="59" spans="1:28" x14ac:dyDescent="0.2">
      <c r="A59" s="9" t="s">
        <v>80</v>
      </c>
      <c r="B59" s="10">
        <v>30</v>
      </c>
      <c r="C59" s="6">
        <f t="shared" si="96"/>
        <v>0.37</v>
      </c>
      <c r="D59" s="12">
        <f t="shared" si="83"/>
        <v>55332.432432432433</v>
      </c>
      <c r="E59" s="12">
        <f t="shared" si="84"/>
        <v>22024.324324324323</v>
      </c>
      <c r="F59" s="12">
        <f t="shared" si="85"/>
        <v>1789.1891891891892</v>
      </c>
      <c r="G59" s="12">
        <f t="shared" si="91"/>
        <v>162.16216216216216</v>
      </c>
      <c r="H59">
        <v>20473</v>
      </c>
      <c r="I59">
        <v>8149</v>
      </c>
      <c r="J59">
        <v>662</v>
      </c>
      <c r="K59">
        <v>60</v>
      </c>
      <c r="L59" s="26">
        <f t="shared" si="86"/>
        <v>7.0491334434608541</v>
      </c>
      <c r="M59" s="26">
        <f t="shared" si="87"/>
        <v>3.5599530476230479</v>
      </c>
      <c r="N59" s="26">
        <f t="shared" si="88"/>
        <v>4.1528816106256397</v>
      </c>
      <c r="O59" s="26">
        <f t="shared" si="89"/>
        <v>11.994086411921371</v>
      </c>
      <c r="P59" s="26">
        <f t="shared" si="94"/>
        <v>26.756054513630914</v>
      </c>
      <c r="Q59" s="26">
        <f t="shared" si="95"/>
        <v>14.761968101709542</v>
      </c>
      <c r="R59" s="6" t="s">
        <v>548</v>
      </c>
      <c r="S59" s="6" t="s">
        <v>549</v>
      </c>
      <c r="T59" s="6" t="s">
        <v>550</v>
      </c>
      <c r="V59" s="6" t="s">
        <v>548</v>
      </c>
      <c r="W59" s="6" t="s">
        <v>549</v>
      </c>
      <c r="X59" s="6" t="s">
        <v>550</v>
      </c>
      <c r="Z59" s="6" t="s">
        <v>548</v>
      </c>
      <c r="AA59" s="6" t="s">
        <v>549</v>
      </c>
      <c r="AB59" s="6" t="s">
        <v>550</v>
      </c>
    </row>
    <row r="60" spans="1:28" x14ac:dyDescent="0.2">
      <c r="A60" s="9" t="s">
        <v>81</v>
      </c>
      <c r="B60" s="10">
        <v>30</v>
      </c>
      <c r="C60" s="6">
        <f t="shared" si="96"/>
        <v>0.37</v>
      </c>
      <c r="D60" s="12">
        <f t="shared" si="83"/>
        <v>61705.405405405407</v>
      </c>
      <c r="E60" s="12">
        <f t="shared" si="84"/>
        <v>18618.91891891892</v>
      </c>
      <c r="F60" s="12">
        <f t="shared" si="85"/>
        <v>1845.9459459459461</v>
      </c>
      <c r="G60" s="12">
        <f t="shared" si="91"/>
        <v>167.56756756756758</v>
      </c>
      <c r="H60">
        <v>22831</v>
      </c>
      <c r="I60">
        <v>6889</v>
      </c>
      <c r="J60">
        <v>683</v>
      </c>
      <c r="K60">
        <v>62</v>
      </c>
      <c r="L60" s="26">
        <f t="shared" si="86"/>
        <v>7.712829884915168</v>
      </c>
      <c r="M60" s="26">
        <f t="shared" si="87"/>
        <v>3.1881094900815139</v>
      </c>
      <c r="N60" s="26">
        <f t="shared" si="88"/>
        <v>4.4566372959872504</v>
      </c>
      <c r="O60" s="26">
        <f t="shared" si="89"/>
        <v>11.701565005697942</v>
      </c>
      <c r="P60" s="26">
        <f t="shared" si="94"/>
        <v>27.059141676681875</v>
      </c>
      <c r="Q60" s="26">
        <f t="shared" si="95"/>
        <v>15.357576670983931</v>
      </c>
      <c r="R60" s="26">
        <f>(LN(Q49/(Q39*0.25)))/1.25</f>
        <v>-0.23416828309613838</v>
      </c>
      <c r="S60" s="26">
        <f>(R60-R61)/(1-0.25)</f>
        <v>-0.11500564926360397</v>
      </c>
      <c r="T60" s="26">
        <f>S60+R62</f>
        <v>-0.21643035815929679</v>
      </c>
      <c r="V60" s="26">
        <f>(LN(Q52/(Q40*0.25)))/1.25</f>
        <v>7.8127916194282582E-2</v>
      </c>
      <c r="W60" s="26">
        <f>(V60-V61)/(1-0.25)</f>
        <v>0.26407179913970202</v>
      </c>
      <c r="X60" s="26">
        <f>W60+V62</f>
        <v>0.15574249321234251</v>
      </c>
      <c r="Z60" s="26">
        <f>(LN(Q55/(Q41*0.25)))/1.25</f>
        <v>0.20115618350960224</v>
      </c>
      <c r="AA60" s="26">
        <f>(Z60-Z61)/(1-0.25)</f>
        <v>0.41941954641278389</v>
      </c>
      <c r="AB60" s="26">
        <f>AA60+Z62</f>
        <v>0.29993661282787643</v>
      </c>
    </row>
    <row r="61" spans="1:28" x14ac:dyDescent="0.2">
      <c r="A61" s="9" t="s">
        <v>82</v>
      </c>
      <c r="B61" s="10">
        <v>40</v>
      </c>
      <c r="C61" s="6">
        <f>1-0.58-0.025</f>
        <v>0.39500000000000002</v>
      </c>
      <c r="D61" s="12">
        <f t="shared" si="83"/>
        <v>8906.32911392405</v>
      </c>
      <c r="E61" s="12">
        <f t="shared" si="84"/>
        <v>3610.1265822784808</v>
      </c>
      <c r="F61" s="12">
        <f t="shared" si="85"/>
        <v>303.79746835443035</v>
      </c>
      <c r="G61" s="12">
        <f t="shared" si="91"/>
        <v>15.189873417721518</v>
      </c>
      <c r="H61">
        <v>3518</v>
      </c>
      <c r="I61">
        <v>1426</v>
      </c>
      <c r="J61">
        <v>120</v>
      </c>
      <c r="K61">
        <v>6</v>
      </c>
      <c r="L61" s="26">
        <f t="shared" si="86"/>
        <v>1.1907260713850356</v>
      </c>
      <c r="M61" s="26">
        <f t="shared" si="87"/>
        <v>0.64596597145771617</v>
      </c>
      <c r="N61" s="26">
        <f t="shared" si="88"/>
        <v>0.66403074074996493</v>
      </c>
      <c r="O61" s="26">
        <f t="shared" si="89"/>
        <v>0.3773620823013466</v>
      </c>
      <c r="P61" s="26">
        <f t="shared" si="94"/>
        <v>2.8780848658940634</v>
      </c>
      <c r="Q61" s="26">
        <f t="shared" si="95"/>
        <v>2.5007227835927166</v>
      </c>
      <c r="R61" s="26">
        <f>(LN(Q50/Q39))/1.25</f>
        <v>-0.1479140461484354</v>
      </c>
      <c r="S61" s="10"/>
      <c r="T61" s="10"/>
      <c r="V61" s="26">
        <f>(LN(Q53/Q40))/1.25</f>
        <v>-0.11992593316049394</v>
      </c>
      <c r="W61" s="10"/>
      <c r="X61" s="10"/>
      <c r="Z61" s="26">
        <f>(LN(Q56/Q41))/1.25</f>
        <v>-0.11340847629998571</v>
      </c>
      <c r="AA61" s="10"/>
      <c r="AB61" s="10"/>
    </row>
    <row r="62" spans="1:28" x14ac:dyDescent="0.2">
      <c r="A62" s="9" t="s">
        <v>83</v>
      </c>
      <c r="B62" s="10">
        <v>40</v>
      </c>
      <c r="C62" s="6">
        <f>1-0.62-0.025</f>
        <v>0.35499999999999998</v>
      </c>
      <c r="D62" s="12">
        <f t="shared" si="83"/>
        <v>22233.802816901411</v>
      </c>
      <c r="E62" s="12">
        <f t="shared" si="84"/>
        <v>9611.2676056338041</v>
      </c>
      <c r="F62" s="12">
        <f t="shared" si="85"/>
        <v>994.36619718309862</v>
      </c>
      <c r="G62" s="12">
        <f t="shared" si="91"/>
        <v>73.239436619718319</v>
      </c>
      <c r="H62">
        <v>7893</v>
      </c>
      <c r="I62">
        <v>3412</v>
      </c>
      <c r="J62">
        <v>353</v>
      </c>
      <c r="K62">
        <v>26</v>
      </c>
      <c r="L62" s="26">
        <f t="shared" si="86"/>
        <v>2.8669924367538475</v>
      </c>
      <c r="M62" s="26">
        <f t="shared" si="87"/>
        <v>1.7200490450214818</v>
      </c>
      <c r="N62" s="26">
        <f t="shared" si="88"/>
        <v>1.744639697544017</v>
      </c>
      <c r="O62" s="26">
        <f t="shared" si="89"/>
        <v>2.052063372981332</v>
      </c>
      <c r="P62" s="26">
        <f t="shared" si="94"/>
        <v>8.3837445523006782</v>
      </c>
      <c r="Q62" s="26">
        <f t="shared" si="95"/>
        <v>6.3316811793193466</v>
      </c>
      <c r="R62" s="26">
        <f>LN(Q51/Q39)/1.25</f>
        <v>-0.10142470889569281</v>
      </c>
      <c r="S62" s="10"/>
      <c r="T62" s="10"/>
      <c r="V62" s="26">
        <f>LN(Q54/Q40)/1.25</f>
        <v>-0.1083293059273595</v>
      </c>
      <c r="W62" s="10"/>
      <c r="X62" s="10"/>
      <c r="Z62" s="26">
        <f>LN(Q57/Q41)/1.25</f>
        <v>-0.11948293358490747</v>
      </c>
      <c r="AA62" s="10"/>
      <c r="AB62" s="10"/>
    </row>
    <row r="63" spans="1:28" x14ac:dyDescent="0.2">
      <c r="A63" s="9" t="s">
        <v>84</v>
      </c>
      <c r="B63" s="10">
        <v>40</v>
      </c>
      <c r="C63" s="6">
        <f>1-0.6-0.025</f>
        <v>0.375</v>
      </c>
      <c r="D63" s="12">
        <f t="shared" si="83"/>
        <v>23357.333333333332</v>
      </c>
      <c r="E63" s="12">
        <f t="shared" si="84"/>
        <v>8256</v>
      </c>
      <c r="F63" s="12">
        <f t="shared" si="85"/>
        <v>970.66666666666663</v>
      </c>
      <c r="G63" s="12">
        <f t="shared" si="91"/>
        <v>50.666666666666664</v>
      </c>
      <c r="H63">
        <v>8759</v>
      </c>
      <c r="I63">
        <v>3096</v>
      </c>
      <c r="J63">
        <v>364</v>
      </c>
      <c r="K63">
        <v>19</v>
      </c>
      <c r="L63" s="26">
        <f t="shared" si="86"/>
        <v>2.9451356719386177</v>
      </c>
      <c r="M63" s="26">
        <f t="shared" si="87"/>
        <v>1.6336766978198694</v>
      </c>
      <c r="N63" s="26">
        <f t="shared" si="88"/>
        <v>1.8681220560162064</v>
      </c>
      <c r="O63" s="26">
        <f t="shared" si="89"/>
        <v>18.967315062230583</v>
      </c>
      <c r="P63" s="26">
        <f t="shared" si="94"/>
        <v>25.414249488005275</v>
      </c>
      <c r="Q63" s="26">
        <f t="shared" si="95"/>
        <v>6.4469344257746934</v>
      </c>
    </row>
    <row r="64" spans="1:28" x14ac:dyDescent="0.2">
      <c r="A64" s="9" t="s">
        <v>85</v>
      </c>
      <c r="B64" s="10">
        <v>50</v>
      </c>
      <c r="C64" s="6">
        <f>1-0.585-0.025</f>
        <v>0.39</v>
      </c>
      <c r="D64" s="12">
        <f t="shared" si="83"/>
        <v>5682.0512820512822</v>
      </c>
      <c r="E64" s="12">
        <f t="shared" si="84"/>
        <v>2410.2564102564102</v>
      </c>
      <c r="F64" s="12">
        <f t="shared" si="85"/>
        <v>230.76923076923077</v>
      </c>
      <c r="G64" s="12">
        <f t="shared" si="91"/>
        <v>12.820512820512819</v>
      </c>
      <c r="H64">
        <v>2216</v>
      </c>
      <c r="I64">
        <v>940</v>
      </c>
      <c r="J64">
        <v>90</v>
      </c>
      <c r="K64">
        <v>5</v>
      </c>
      <c r="L64" s="26">
        <f t="shared" si="86"/>
        <v>0.72062719454161361</v>
      </c>
      <c r="M64" s="26">
        <f t="shared" si="87"/>
        <v>0.44265099487842241</v>
      </c>
      <c r="N64" s="26">
        <f t="shared" si="88"/>
        <v>0.39440665096121319</v>
      </c>
      <c r="O64" s="26">
        <f t="shared" si="89"/>
        <v>0.20462535023116332</v>
      </c>
      <c r="P64" s="26">
        <f t="shared" si="94"/>
        <v>1.7623101906124126</v>
      </c>
      <c r="Q64" s="26">
        <f t="shared" si="95"/>
        <v>1.5576848403812493</v>
      </c>
    </row>
    <row r="65" spans="1:28" x14ac:dyDescent="0.2">
      <c r="A65" s="9" t="s">
        <v>86</v>
      </c>
      <c r="B65" s="10">
        <v>50</v>
      </c>
      <c r="C65" s="6">
        <f>1-0.6-0.025</f>
        <v>0.375</v>
      </c>
      <c r="D65" s="12">
        <f t="shared" si="83"/>
        <v>18213.333333333332</v>
      </c>
      <c r="E65" s="12">
        <f t="shared" si="84"/>
        <v>8336</v>
      </c>
      <c r="F65" s="12">
        <f t="shared" si="85"/>
        <v>584</v>
      </c>
      <c r="G65" s="12">
        <f t="shared" si="91"/>
        <v>24</v>
      </c>
      <c r="H65">
        <v>6830</v>
      </c>
      <c r="I65">
        <v>3126</v>
      </c>
      <c r="J65">
        <v>219</v>
      </c>
      <c r="K65">
        <v>9</v>
      </c>
      <c r="L65" s="26">
        <f t="shared" si="86"/>
        <v>2.350277374202836</v>
      </c>
      <c r="M65" s="26">
        <f t="shared" si="87"/>
        <v>1.4450307315231723</v>
      </c>
      <c r="N65" s="26">
        <f t="shared" si="88"/>
        <v>1.1716233542962626</v>
      </c>
      <c r="O65" s="26">
        <f t="shared" si="89"/>
        <v>0.47660693594594011</v>
      </c>
      <c r="P65" s="26">
        <f t="shared" si="94"/>
        <v>5.4435383959682104</v>
      </c>
      <c r="Q65" s="26">
        <f t="shared" si="95"/>
        <v>4.9669314600222707</v>
      </c>
      <c r="R65" s="6" t="s">
        <v>555</v>
      </c>
      <c r="S65" s="6" t="s">
        <v>555</v>
      </c>
      <c r="T65" s="6" t="s">
        <v>555</v>
      </c>
      <c r="V65" s="6" t="s">
        <v>556</v>
      </c>
      <c r="W65" s="6" t="s">
        <v>556</v>
      </c>
      <c r="X65" s="6" t="s">
        <v>556</v>
      </c>
      <c r="Z65" s="6" t="s">
        <v>558</v>
      </c>
      <c r="AA65" s="6" t="s">
        <v>557</v>
      </c>
      <c r="AB65" s="6" t="s">
        <v>557</v>
      </c>
    </row>
    <row r="66" spans="1:28" x14ac:dyDescent="0.2">
      <c r="A66" s="9" t="s">
        <v>87</v>
      </c>
      <c r="B66" s="10">
        <v>50</v>
      </c>
      <c r="C66" s="6">
        <f>1-0.6-0.025</f>
        <v>0.375</v>
      </c>
      <c r="D66" s="12">
        <f t="shared" si="83"/>
        <v>18930.666666666668</v>
      </c>
      <c r="E66" s="12">
        <f t="shared" si="84"/>
        <v>7338.666666666667</v>
      </c>
      <c r="F66" s="12">
        <f t="shared" si="85"/>
        <v>594.66666666666663</v>
      </c>
      <c r="G66" s="12">
        <f t="shared" si="91"/>
        <v>58.666666666666664</v>
      </c>
      <c r="H66">
        <v>7099</v>
      </c>
      <c r="I66">
        <v>2752</v>
      </c>
      <c r="J66">
        <v>223</v>
      </c>
      <c r="K66">
        <v>22</v>
      </c>
      <c r="L66" s="26">
        <f t="shared" si="86"/>
        <v>2.4054813462029743</v>
      </c>
      <c r="M66" s="26">
        <f t="shared" si="87"/>
        <v>1.3311633603838913</v>
      </c>
      <c r="N66" s="26">
        <f t="shared" si="88"/>
        <v>0.93527495646352676</v>
      </c>
      <c r="O66" s="26">
        <f t="shared" si="89"/>
        <v>2.2353371807924387</v>
      </c>
      <c r="P66" s="26">
        <f t="shared" si="94"/>
        <v>6.9072568438428306</v>
      </c>
      <c r="Q66" s="26">
        <f t="shared" si="95"/>
        <v>4.6719196630503923</v>
      </c>
      <c r="R66" s="6" t="s">
        <v>534</v>
      </c>
      <c r="S66" s="6" t="s">
        <v>529</v>
      </c>
      <c r="T66" s="6" t="s">
        <v>531</v>
      </c>
      <c r="V66" s="6" t="s">
        <v>534</v>
      </c>
      <c r="W66" s="6" t="s">
        <v>529</v>
      </c>
      <c r="X66" s="6" t="s">
        <v>531</v>
      </c>
      <c r="Z66" s="6" t="s">
        <v>534</v>
      </c>
      <c r="AA66" s="6" t="s">
        <v>529</v>
      </c>
      <c r="AB66" s="6" t="s">
        <v>531</v>
      </c>
    </row>
    <row r="67" spans="1:28" x14ac:dyDescent="0.2">
      <c r="R67" s="26">
        <f>(LN(L58/(L42*0.25)))/1.25</f>
        <v>0.29587809032424295</v>
      </c>
      <c r="S67" s="26">
        <f>(R67-R68)/(1-0.25)</f>
        <v>0.35219303191391954</v>
      </c>
      <c r="T67" s="26">
        <f>S67+R69</f>
        <v>0.4559107224059229</v>
      </c>
      <c r="V67" s="26">
        <f>(LN(L61/(L43*0.25)))/1.25</f>
        <v>0.5101415469415147</v>
      </c>
      <c r="W67" s="26">
        <f>(V67-V68)/(1-0.25)</f>
        <v>0.54143368249532031</v>
      </c>
      <c r="X67" s="26">
        <f>W67+V69</f>
        <v>0.66701303616502061</v>
      </c>
      <c r="Z67" s="26">
        <f>(LN(L64/(L44*0.25)))/1.25</f>
        <v>0.15510757164855193</v>
      </c>
      <c r="AA67" s="26">
        <f>(Z67-Z68)/(1-0.25)</f>
        <v>0.21773617676887771</v>
      </c>
      <c r="AB67" s="26">
        <f>AA67+Z69</f>
        <v>0.22811495561386932</v>
      </c>
    </row>
    <row r="68" spans="1:28" x14ac:dyDescent="0.2">
      <c r="R68" s="26">
        <f>(LN(L59/L42))/1.25</f>
        <v>3.17333163888033E-2</v>
      </c>
      <c r="V68" s="26">
        <f>(LN(L62/L43))/1.25</f>
        <v>0.10406628507002447</v>
      </c>
      <c r="Z68" s="26">
        <f>(LN(L65/L44))/1.25</f>
        <v>-8.1945609281063644E-3</v>
      </c>
    </row>
    <row r="69" spans="1:28" x14ac:dyDescent="0.2">
      <c r="R69" s="26">
        <f>LN(L60/L42)/1.25</f>
        <v>0.10371769049200337</v>
      </c>
      <c r="V69" s="26">
        <f>LN(L63/L43)/1.25</f>
        <v>0.12557935366970036</v>
      </c>
      <c r="Z69" s="26">
        <f>LN(L66/L44)/1.25</f>
        <v>1.037877884499162E-2</v>
      </c>
    </row>
    <row r="70" spans="1:28" x14ac:dyDescent="0.2">
      <c r="R70" s="5" t="s">
        <v>535</v>
      </c>
      <c r="V70" s="5" t="s">
        <v>535</v>
      </c>
      <c r="Z70" s="5" t="s">
        <v>535</v>
      </c>
    </row>
    <row r="71" spans="1:28" x14ac:dyDescent="0.2">
      <c r="R71" s="6" t="s">
        <v>539</v>
      </c>
      <c r="S71" s="6" t="s">
        <v>540</v>
      </c>
      <c r="T71" s="6" t="s">
        <v>541</v>
      </c>
      <c r="V71" s="6" t="s">
        <v>539</v>
      </c>
      <c r="W71" s="6" t="s">
        <v>540</v>
      </c>
      <c r="X71" s="6" t="s">
        <v>541</v>
      </c>
      <c r="Z71" s="6" t="s">
        <v>539</v>
      </c>
      <c r="AA71" s="6" t="s">
        <v>540</v>
      </c>
      <c r="AB71" s="6" t="s">
        <v>541</v>
      </c>
    </row>
    <row r="72" spans="1:28" x14ac:dyDescent="0.2">
      <c r="R72" s="26">
        <f>(LN(M58/(M42*0.25)))/1.25</f>
        <v>0.41230172076164473</v>
      </c>
      <c r="S72" s="26">
        <f>(R72-R73)/(1-0.25)</f>
        <v>0.4238149440689935</v>
      </c>
      <c r="T72" s="26">
        <f>S72+R74</f>
        <v>0.43000005587753948</v>
      </c>
      <c r="V72" s="26">
        <f>(LN(M61/(M43*0.25)))/1.25</f>
        <v>0.47589562578814959</v>
      </c>
      <c r="W72" s="26">
        <f>(V72-V73)/(1-0.25)</f>
        <v>0.43406197739166569</v>
      </c>
      <c r="X72" s="26">
        <f>W72+V74</f>
        <v>0.5431953701708655</v>
      </c>
      <c r="Z72" s="26">
        <f>(LN(M64/(M44*0.25)))/1.25</f>
        <v>0.16912368315500298</v>
      </c>
      <c r="AA72" s="26">
        <f>(Z72-Z73)/(1-0.25)</f>
        <v>0.21673613964255267</v>
      </c>
      <c r="AB72" s="26">
        <f>AA72+Z74</f>
        <v>0.15764586056772911</v>
      </c>
    </row>
    <row r="73" spans="1:28" x14ac:dyDescent="0.2">
      <c r="R73" s="26">
        <f>(LN(M59/M42))/1.25</f>
        <v>9.4440512709899602E-2</v>
      </c>
      <c r="V73" s="26">
        <f>(LN(M62/M43))/1.25</f>
        <v>0.15034914274440031</v>
      </c>
      <c r="Z73" s="26">
        <f>(LN(M65/M44))/1.25</f>
        <v>6.5715784230884868E-3</v>
      </c>
    </row>
    <row r="74" spans="1:28" x14ac:dyDescent="0.2">
      <c r="R74" s="26">
        <f>LN(M60/M42)/1.25</f>
        <v>6.1851118085459872E-3</v>
      </c>
      <c r="V74" s="26">
        <f>LN(M63/M43)/1.25</f>
        <v>0.10913339277919984</v>
      </c>
      <c r="Z74" s="26">
        <f>LN(M66/M44)/1.25</f>
        <v>-5.9090279074823573E-2</v>
      </c>
    </row>
    <row r="76" spans="1:28" x14ac:dyDescent="0.2">
      <c r="R76" s="6" t="s">
        <v>542</v>
      </c>
      <c r="S76" s="6" t="s">
        <v>543</v>
      </c>
      <c r="T76" s="6" t="s">
        <v>544</v>
      </c>
      <c r="V76" s="6" t="s">
        <v>542</v>
      </c>
      <c r="W76" s="6" t="s">
        <v>543</v>
      </c>
      <c r="X76" s="6" t="s">
        <v>544</v>
      </c>
      <c r="Z76" s="6" t="s">
        <v>542</v>
      </c>
      <c r="AA76" s="6" t="s">
        <v>543</v>
      </c>
      <c r="AB76" s="6" t="s">
        <v>544</v>
      </c>
    </row>
    <row r="77" spans="1:28" x14ac:dyDescent="0.2">
      <c r="R77" s="26">
        <f>(LN(N58/(N42*0.25)))/1.25</f>
        <v>0.19646119862642911</v>
      </c>
      <c r="S77" s="26">
        <f>(R77-R78)/(1-0.25)</f>
        <v>0.26716356246120337</v>
      </c>
      <c r="T77" s="26">
        <f>S77+R79</f>
        <v>0.31972573312556346</v>
      </c>
      <c r="V77" s="26">
        <f>(LN(N61/(N43*0.25)))/1.25</f>
        <v>0.55840131297236684</v>
      </c>
      <c r="W77" s="26">
        <f>(V77-V78)/(1-0.25)</f>
        <v>0.44834076754112467</v>
      </c>
      <c r="X77" s="26">
        <f>W77+V79</f>
        <v>0.72519500155276195</v>
      </c>
      <c r="Z77" s="26">
        <f>(LN(N64/(N44*0.25)))/1.25</f>
        <v>8.7371558060172522E-2</v>
      </c>
      <c r="AA77" s="26">
        <f>(Z77-Z78)/(1-0.25)</f>
        <v>0.31736671868368155</v>
      </c>
      <c r="AB77" s="26">
        <f>AA77+Z79</f>
        <v>-1.3530755300831587E-2</v>
      </c>
    </row>
    <row r="78" spans="1:28" x14ac:dyDescent="0.2">
      <c r="R78" s="26">
        <f>(LN(N59/N42))/1.25</f>
        <v>-3.9114732194734173E-3</v>
      </c>
      <c r="V78" s="26">
        <f>(LN(N62/N43))/1.25</f>
        <v>0.22214573731652329</v>
      </c>
      <c r="Z78" s="26">
        <f>(LN(N65/N44))/1.25</f>
        <v>-0.15065348095258863</v>
      </c>
    </row>
    <row r="79" spans="1:28" x14ac:dyDescent="0.2">
      <c r="R79" s="26">
        <f>LN(N60/N42)/1.25</f>
        <v>5.25621706643601E-2</v>
      </c>
      <c r="V79" s="26">
        <f>LN(N63/N43)/1.25</f>
        <v>0.27685423401163728</v>
      </c>
      <c r="Z79" s="26">
        <f>LN(N66/N44)/1.25</f>
        <v>-0.33089747398451314</v>
      </c>
    </row>
    <row r="81" spans="18:28" x14ac:dyDescent="0.2">
      <c r="R81" s="6" t="s">
        <v>545</v>
      </c>
      <c r="S81" s="6" t="s">
        <v>546</v>
      </c>
      <c r="T81" s="6" t="s">
        <v>547</v>
      </c>
      <c r="V81" s="6" t="s">
        <v>545</v>
      </c>
      <c r="W81" s="6" t="s">
        <v>546</v>
      </c>
      <c r="X81" s="6" t="s">
        <v>547</v>
      </c>
      <c r="Z81" s="6" t="s">
        <v>545</v>
      </c>
      <c r="AA81" s="6" t="s">
        <v>546</v>
      </c>
      <c r="AB81" s="6" t="s">
        <v>547</v>
      </c>
    </row>
    <row r="82" spans="18:28" x14ac:dyDescent="0.2">
      <c r="R82" s="26">
        <f>(LN(O58/(O42*0.25)))/1.25</f>
        <v>-0.30743002344174808</v>
      </c>
      <c r="S82" s="26">
        <f>(R82-R83)/(1-0.25)</f>
        <v>0.697907575399349</v>
      </c>
      <c r="T82" s="26">
        <f>S82+R84</f>
        <v>-0.15270603782140169</v>
      </c>
      <c r="V82" s="26">
        <f>(LN(O61/(O43*0.25)))/1.25</f>
        <v>-0.19079654255138218</v>
      </c>
      <c r="W82" s="26">
        <f>(V82-V83)/(1-0.25)</f>
        <v>-0.32757500925415811</v>
      </c>
      <c r="X82" s="26">
        <f>W82+V84</f>
        <v>1.5064068472045922</v>
      </c>
      <c r="Z82" s="26">
        <f>(LN(O64/(O44*0.25)))/1.25</f>
        <v>-1.056992889319363</v>
      </c>
      <c r="AA82" s="26">
        <f>(Z82-Z83)/(1-0.25)</f>
        <v>0.57683519024606655</v>
      </c>
      <c r="AB82" s="26">
        <f>AA82+Z84</f>
        <v>0.32358010186489272</v>
      </c>
    </row>
    <row r="83" spans="18:28" x14ac:dyDescent="0.2">
      <c r="R83" s="26">
        <f>(LN(O59/O42))/1.25</f>
        <v>-0.83086070499125986</v>
      </c>
      <c r="V83" s="26">
        <f>(LN(O62/O43))/1.25</f>
        <v>5.4884714389236401E-2</v>
      </c>
      <c r="Z83" s="26">
        <f>(LN(O65/O44))/1.25</f>
        <v>-1.4896192820039129</v>
      </c>
    </row>
    <row r="84" spans="18:28" x14ac:dyDescent="0.2">
      <c r="R84" s="26">
        <f>LN(O60/O42)/1.25</f>
        <v>-0.85061361322075069</v>
      </c>
      <c r="V84" s="26">
        <f>LN(O63/O43)/1.25</f>
        <v>1.8339818564587502</v>
      </c>
      <c r="Z84" s="26">
        <f>LN(O66/O44)/1.25</f>
        <v>-0.25325508838117383</v>
      </c>
    </row>
    <row r="86" spans="18:28" x14ac:dyDescent="0.2">
      <c r="R86" s="4"/>
      <c r="S86" s="4"/>
      <c r="T86" s="4"/>
      <c r="V86" s="4"/>
      <c r="W86" s="4"/>
      <c r="X86" s="4"/>
      <c r="Z86" s="4"/>
      <c r="AA86" s="4"/>
      <c r="AB86" s="4"/>
    </row>
    <row r="87" spans="18:28" x14ac:dyDescent="0.2">
      <c r="R87" s="6" t="s">
        <v>548</v>
      </c>
      <c r="S87" s="6" t="s">
        <v>549</v>
      </c>
      <c r="T87" s="6" t="s">
        <v>550</v>
      </c>
      <c r="V87" s="6" t="s">
        <v>548</v>
      </c>
      <c r="W87" s="6" t="s">
        <v>549</v>
      </c>
      <c r="X87" s="6" t="s">
        <v>550</v>
      </c>
      <c r="Z87" s="6" t="s">
        <v>548</v>
      </c>
      <c r="AA87" s="6" t="s">
        <v>549</v>
      </c>
      <c r="AB87" s="6" t="s">
        <v>550</v>
      </c>
    </row>
    <row r="88" spans="18:28" x14ac:dyDescent="0.2">
      <c r="R88" s="26">
        <f>(LN(Q58/(Q42*0.25)))/1.25</f>
        <v>0.29632549172846845</v>
      </c>
      <c r="S88" s="26">
        <f>(R88-R89)/(1-0.25)</f>
        <v>0.347053711987104</v>
      </c>
      <c r="T88" s="26">
        <f>S88+R90</f>
        <v>0.41473275648447194</v>
      </c>
      <c r="V88" s="26">
        <f>(LN(Q61/(Q43*0.25)))/1.25</f>
        <v>0.51354640718835831</v>
      </c>
      <c r="W88" s="26">
        <f>(V88-V89)/(1-0.25)</f>
        <v>0.48779559957588314</v>
      </c>
      <c r="X88" s="26">
        <f>W88+V90</f>
        <v>0.64992646304702018</v>
      </c>
      <c r="Z88" s="26">
        <f>(LN(Q64/(Q44*0.25)))/1.25</f>
        <v>0.14127828904171447</v>
      </c>
      <c r="AA88" s="26">
        <f>(Z88-Z89)/(1-0.25)</f>
        <v>0.2418056175034545</v>
      </c>
      <c r="AB88" s="26">
        <f>AA88+Z90</f>
        <v>0.15274394382457585</v>
      </c>
    </row>
    <row r="89" spans="18:28" x14ac:dyDescent="0.2">
      <c r="R89" s="26">
        <f>(LN(Q59/Q42))/1.25</f>
        <v>3.6035207738140444E-2</v>
      </c>
      <c r="S89" s="10"/>
      <c r="T89" s="10"/>
      <c r="V89" s="26">
        <f>(LN(Q62/Q43))/1.25</f>
        <v>0.14769970750644595</v>
      </c>
      <c r="W89" s="10"/>
      <c r="X89" s="10"/>
      <c r="Z89" s="26">
        <f>(LN(Q65/Q44))/1.25</f>
        <v>-4.0075924085876388E-2</v>
      </c>
      <c r="AA89" s="10"/>
      <c r="AB89" s="10"/>
    </row>
    <row r="90" spans="18:28" x14ac:dyDescent="0.2">
      <c r="R90" s="26">
        <f>LN(Q60/Q42)/1.25</f>
        <v>6.7679044497367946E-2</v>
      </c>
      <c r="S90" s="10"/>
      <c r="T90" s="10"/>
      <c r="V90" s="26">
        <f>LN(Q63/Q43)/1.25</f>
        <v>0.162130863471137</v>
      </c>
      <c r="W90" s="10"/>
      <c r="X90" s="10"/>
      <c r="Z90" s="26">
        <f>LN(Q66/Q44)/1.25</f>
        <v>-8.9061673678878642E-2</v>
      </c>
      <c r="AA90" s="10"/>
      <c r="AB90"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89"/>
  <sheetViews>
    <sheetView topLeftCell="C1" workbookViewId="0">
      <selection activeCell="H25" sqref="H25"/>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559</v>
      </c>
      <c r="B1" s="4">
        <v>1.02</v>
      </c>
      <c r="AI1" s="4" t="s">
        <v>41</v>
      </c>
    </row>
    <row r="2" spans="1:52" s="4" customFormat="1" x14ac:dyDescent="0.2">
      <c r="C2" s="4" t="s">
        <v>38</v>
      </c>
      <c r="G2" s="4" t="s">
        <v>37</v>
      </c>
      <c r="K2" s="4" t="s">
        <v>36</v>
      </c>
      <c r="O2" s="4" t="s">
        <v>34</v>
      </c>
      <c r="S2" s="4" t="s">
        <v>35</v>
      </c>
      <c r="W2" s="4" t="s">
        <v>55</v>
      </c>
      <c r="AA2" s="4" t="s">
        <v>54</v>
      </c>
      <c r="AE2" s="4" t="s">
        <v>53</v>
      </c>
      <c r="AI2" s="4" t="s">
        <v>42</v>
      </c>
      <c r="AM2" s="3"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3"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88</v>
      </c>
      <c r="B4" s="10">
        <v>5</v>
      </c>
      <c r="C4" s="5">
        <v>2733</v>
      </c>
      <c r="D4" s="5">
        <v>10540</v>
      </c>
      <c r="E4" s="5">
        <v>496</v>
      </c>
      <c r="F4" s="5">
        <v>203</v>
      </c>
      <c r="G4" s="5">
        <v>8620</v>
      </c>
      <c r="H4" s="5">
        <v>27452</v>
      </c>
      <c r="I4" s="7">
        <v>208600</v>
      </c>
      <c r="J4" s="7">
        <v>294800</v>
      </c>
      <c r="K4" s="5">
        <v>50309</v>
      </c>
      <c r="L4" s="5">
        <v>54613</v>
      </c>
      <c r="M4" s="7">
        <v>713400</v>
      </c>
      <c r="N4" s="7">
        <v>3294000</v>
      </c>
      <c r="O4" s="8">
        <f>(224333+K4)/235871</f>
        <v>1.1643737466666102</v>
      </c>
      <c r="P4" s="8">
        <f>(224333+L4)/235871</f>
        <v>1.182621008941328</v>
      </c>
      <c r="Q4" s="8">
        <f t="shared" ref="Q4:R9" si="0">(224333+M4)/235871</f>
        <v>3.9756180284986287</v>
      </c>
      <c r="R4" s="8">
        <f t="shared" si="0"/>
        <v>14.916344103344624</v>
      </c>
      <c r="S4" s="8">
        <f>4/3*3.14*((O4/2)^3)</f>
        <v>0.82614373160759369</v>
      </c>
      <c r="T4" s="8">
        <f t="shared" ref="T4:V9" si="1">4/3*3.14*((P4/2)^3)</f>
        <v>0.86559585331431876</v>
      </c>
      <c r="U4" s="8">
        <f t="shared" si="1"/>
        <v>32.884583961463022</v>
      </c>
      <c r="V4" s="8">
        <f>4/3*3.14*((R4/2)^3)</f>
        <v>1736.8630582990984</v>
      </c>
      <c r="W4" s="8">
        <f>(S4*265)/1000</f>
        <v>0.21892808887601234</v>
      </c>
      <c r="X4" s="8">
        <f>(10^(-0.665+LOG(T4, 10)*0.959))</f>
        <v>0.18831514344296446</v>
      </c>
      <c r="Y4" s="8">
        <f>(10^(-0.665+LOG(U4, 10)*0.959))</f>
        <v>6.1630496342050316</v>
      </c>
      <c r="Z4" s="8">
        <f>(10^(-0.665+LOG(V4, 10)*0.959))</f>
        <v>276.6528760587239</v>
      </c>
      <c r="AA4" s="8">
        <f>W4*C4</f>
        <v>598.33046689814171</v>
      </c>
      <c r="AB4" s="8">
        <f>X4*D4</f>
        <v>1984.8416118888454</v>
      </c>
      <c r="AC4" s="8">
        <f t="shared" ref="AC4:AD9" si="2">Y4*E4</f>
        <v>3056.8726185656956</v>
      </c>
      <c r="AD4" s="8">
        <f>Z4*F4</f>
        <v>56160.53383992095</v>
      </c>
      <c r="AE4" s="8">
        <f>AA4/(AA4+AB4+AC4+AD4)</f>
        <v>9.6816321312796789E-3</v>
      </c>
      <c r="AF4" s="8">
        <f>AB4/(AA4+AB4+AC4+AD4)</f>
        <v>3.2116877525535339E-2</v>
      </c>
      <c r="AG4" s="8">
        <f>AC4/(AA4+AB4+AC4+AD4)</f>
        <v>4.9463495179450645E-2</v>
      </c>
      <c r="AH4" s="8">
        <f>AD4/(AA4+AB4+AC4+AD4)</f>
        <v>0.90873799516373432</v>
      </c>
      <c r="AI4" s="8">
        <f>LN((AVERAGE(G14:G16))/G4)/1.02</f>
        <v>1.0445648651967281E-2</v>
      </c>
      <c r="AJ4" s="8">
        <f>LN((AVERAGE(H14:H16))/H4)/1.02</f>
        <v>0.24964701893992566</v>
      </c>
      <c r="AK4" s="8">
        <f>LN((AVERAGE(I14:I16))/I4)/1.02</f>
        <v>4.1561908782162767E-2</v>
      </c>
      <c r="AL4" s="8">
        <f>LN((AVERAGE(J14:J16))/J4)/1.02</f>
        <v>2.3251730695797172E-3</v>
      </c>
      <c r="AM4" s="16">
        <f>(AI4*AE4)+(AJ4*AF4)+(AG4*AK4)+(AH4*AL4)</f>
        <v>1.2287784047883391E-2</v>
      </c>
      <c r="AN4" s="10">
        <v>5</v>
      </c>
      <c r="AO4" s="50">
        <f>H4/L4</f>
        <v>0.50266420083130392</v>
      </c>
      <c r="AP4" s="50">
        <f>I4/M4</f>
        <v>0.29240257919820578</v>
      </c>
      <c r="AQ4" s="50">
        <f>LN((AVERAGE(AO14:AO16))/AO4)/1.02</f>
        <v>-2.6538643396170632E-2</v>
      </c>
      <c r="AR4" s="50">
        <f>LN((AVERAGE(AP14:AP16))/AP4)/1.02</f>
        <v>-6.4892136448549756E-2</v>
      </c>
      <c r="AS4" s="8">
        <f>AB4/(AB4+AC4)</f>
        <v>0.39368387837203928</v>
      </c>
      <c r="AT4" s="8">
        <f>AC4/(AC4+AB4)</f>
        <v>0.60631612162796067</v>
      </c>
      <c r="AU4" s="50">
        <f>(AQ4*AS4)+(AR4*AT4)</f>
        <v>-4.9792984554574073E-2</v>
      </c>
      <c r="AV4" s="46">
        <f>H4</f>
        <v>27452</v>
      </c>
      <c r="AW4" s="46">
        <f t="shared" ref="AW4:AW9" si="3">I4</f>
        <v>208600</v>
      </c>
      <c r="AX4" s="48">
        <f>LN((AVERAGE(AV14:AV16))/AV4)/1.02</f>
        <v>0.24964701893992566</v>
      </c>
      <c r="AY4" s="48">
        <f>LN((AVERAGE(AW14:AW16))/AW4)/1.02</f>
        <v>4.1561908782162767E-2</v>
      </c>
      <c r="AZ4" s="48">
        <f t="shared" ref="AZ4:AZ9" si="4">(AX4*AS4)+(AY4*AT4)</f>
        <v>0.12348166198054389</v>
      </c>
    </row>
    <row r="5" spans="1:52" x14ac:dyDescent="0.2">
      <c r="A5" s="5" t="s">
        <v>89</v>
      </c>
      <c r="B5" s="10">
        <v>12</v>
      </c>
      <c r="C5" s="5">
        <v>5028</v>
      </c>
      <c r="D5" s="5">
        <v>11593</v>
      </c>
      <c r="E5" s="5">
        <v>595</v>
      </c>
      <c r="F5" s="5">
        <v>156</v>
      </c>
      <c r="G5" s="5">
        <v>8588</v>
      </c>
      <c r="H5" s="5">
        <v>26900</v>
      </c>
      <c r="I5" s="7">
        <v>212100</v>
      </c>
      <c r="J5" s="7">
        <v>296000</v>
      </c>
      <c r="K5" s="5">
        <v>0</v>
      </c>
      <c r="L5" s="5">
        <v>51089</v>
      </c>
      <c r="M5" s="7">
        <v>716400</v>
      </c>
      <c r="N5" s="7">
        <v>3155000</v>
      </c>
      <c r="O5" s="8">
        <f t="shared" ref="O5:P9" si="5">(224333+K5)/235871</f>
        <v>0.95108343119756134</v>
      </c>
      <c r="P5" s="8">
        <f t="shared" si="5"/>
        <v>1.1676806389933481</v>
      </c>
      <c r="Q5" s="8">
        <f t="shared" si="0"/>
        <v>3.9883368451399281</v>
      </c>
      <c r="R5" s="8">
        <f t="shared" si="0"/>
        <v>14.327038932297739</v>
      </c>
      <c r="S5" s="8">
        <f t="shared" ref="S5:S9" si="6">4/3*3.14*((O5/2)^3)</f>
        <v>0.45022980883906677</v>
      </c>
      <c r="T5" s="8">
        <f t="shared" si="1"/>
        <v>0.83320263690272944</v>
      </c>
      <c r="U5" s="8">
        <f t="shared" si="1"/>
        <v>33.201208316223102</v>
      </c>
      <c r="V5" s="8">
        <f t="shared" si="1"/>
        <v>1539.032251311753</v>
      </c>
      <c r="W5" s="8">
        <f t="shared" ref="W5:W9" si="7">(S5*265)/1000</f>
        <v>0.1193108993423527</v>
      </c>
      <c r="X5" s="8">
        <f t="shared" ref="X5:Z9" si="8">(10^(-0.665+LOG(T5, 10)*0.959))</f>
        <v>0.18155150760967859</v>
      </c>
      <c r="Y5" s="8">
        <f t="shared" si="8"/>
        <v>6.2199455108714909</v>
      </c>
      <c r="Z5" s="8">
        <f t="shared" si="8"/>
        <v>246.36020923420935</v>
      </c>
      <c r="AA5" s="8">
        <f t="shared" ref="AA5:AB9" si="9">W5*C5</f>
        <v>599.89520189334939</v>
      </c>
      <c r="AB5" s="8">
        <f t="shared" si="9"/>
        <v>2104.7266277190038</v>
      </c>
      <c r="AC5" s="8">
        <f t="shared" si="2"/>
        <v>3700.8675789685371</v>
      </c>
      <c r="AD5" s="8">
        <f t="shared" si="2"/>
        <v>38432.192640536661</v>
      </c>
      <c r="AE5" s="8">
        <f t="shared" ref="AE5:AE9" si="10">AA5/(AA5+AB5+AC5+AD5)</f>
        <v>1.3379264370450566E-2</v>
      </c>
      <c r="AF5" s="8">
        <f t="shared" ref="AF5:AF9" si="11">AB5/(AA5+AB5+AC5+AD5)</f>
        <v>4.6941022183380837E-2</v>
      </c>
      <c r="AG5" s="8">
        <f t="shared" ref="AG5:AG9" si="12">AC5/(AA5+AB5+AC5+AD5)</f>
        <v>8.253922615612494E-2</v>
      </c>
      <c r="AH5" s="8">
        <f t="shared" ref="AH5:AH9" si="13">AD5/(AA5+AB5+AC5+AD5)</f>
        <v>0.85714048729004366</v>
      </c>
      <c r="AI5" s="8">
        <f>LN((AVERAGE(G17:G19))/G5)/1.02</f>
        <v>3.8577538413501838E-2</v>
      </c>
      <c r="AJ5" s="8">
        <f>LN((AVERAGE(H17:H19))/H5)/1.02</f>
        <v>0.22948761074413995</v>
      </c>
      <c r="AK5" s="8">
        <f>LN((AVERAGE(I17:I19))/I5)/1.02</f>
        <v>1.6046056337456285E-2</v>
      </c>
      <c r="AL5" s="8">
        <f>LN((AVERAGE(J17:J19))/J5)/1.02</f>
        <v>-4.6479904858142008E-3</v>
      </c>
      <c r="AM5" s="16">
        <f>(AI5*AE5)+(AJ5*AF5)+(AG5*AK5)+(AH5*AL5)</f>
        <v>8.6289703549681483E-3</v>
      </c>
      <c r="AN5" s="10">
        <v>12</v>
      </c>
      <c r="AO5" s="50">
        <f t="shared" ref="AO5:AO9" si="14">H5/L5</f>
        <v>0.52653213020415357</v>
      </c>
      <c r="AP5" s="50">
        <f t="shared" ref="AP5:AP9" si="15">I5/M5</f>
        <v>0.29606365159128978</v>
      </c>
      <c r="AQ5" s="50">
        <f>LN((AVERAGE(AO17:AO19))/AO5)/1.02</f>
        <v>3.422590459277871E-2</v>
      </c>
      <c r="AR5" s="50">
        <f>LN((AVERAGE(AP17:AP19))/AP5)/1.02</f>
        <v>8.8012947846423134E-2</v>
      </c>
      <c r="AS5" s="8">
        <f t="shared" ref="AS5:AS9" si="16">AB5/(AB5+AC5)</f>
        <v>0.3625342303970438</v>
      </c>
      <c r="AT5" s="8">
        <f t="shared" ref="AT5:AT9" si="17">AC5/(AC5+AB5)</f>
        <v>0.63746576960295609</v>
      </c>
      <c r="AU5" s="50">
        <f t="shared" ref="AU5:AU9" si="18">(AQ5*AS5)+(AR5*AT5)</f>
        <v>6.851330351513063E-2</v>
      </c>
      <c r="AV5" s="46">
        <f t="shared" ref="AV5:AV9" si="19">H5</f>
        <v>26900</v>
      </c>
      <c r="AW5" s="46">
        <f t="shared" si="3"/>
        <v>212100</v>
      </c>
      <c r="AX5" s="48">
        <f>LN((AVERAGE(AV17:AV19))/AV5)/1.02</f>
        <v>0.22948761074413995</v>
      </c>
      <c r="AY5" s="48">
        <f>LN((AVERAGE(AW17:AW19))/AW5)/1.02</f>
        <v>1.6046056337456285E-2</v>
      </c>
      <c r="AZ5" s="48">
        <f t="shared" si="4"/>
        <v>9.34259259990321E-2</v>
      </c>
    </row>
    <row r="6" spans="1:52" x14ac:dyDescent="0.2">
      <c r="A6" s="5" t="s">
        <v>90</v>
      </c>
      <c r="B6" s="10">
        <v>20</v>
      </c>
      <c r="C6" s="5">
        <v>15951</v>
      </c>
      <c r="D6" s="5">
        <v>16003</v>
      </c>
      <c r="E6" s="5">
        <v>851</v>
      </c>
      <c r="F6" s="5">
        <v>154</v>
      </c>
      <c r="G6" s="5">
        <v>9396</v>
      </c>
      <c r="H6" s="5">
        <v>24172</v>
      </c>
      <c r="I6" s="7">
        <v>194500</v>
      </c>
      <c r="J6" s="7">
        <v>292100</v>
      </c>
      <c r="K6" s="5">
        <v>0</v>
      </c>
      <c r="L6" s="5">
        <v>36019</v>
      </c>
      <c r="M6" s="7">
        <v>602400</v>
      </c>
      <c r="N6" s="7">
        <v>2782000</v>
      </c>
      <c r="O6" s="8">
        <f t="shared" si="5"/>
        <v>0.95108343119756134</v>
      </c>
      <c r="P6" s="8">
        <f t="shared" si="5"/>
        <v>1.1037897833985526</v>
      </c>
      <c r="Q6" s="8">
        <f t="shared" si="0"/>
        <v>3.5050218127705399</v>
      </c>
      <c r="R6" s="8">
        <f t="shared" si="0"/>
        <v>12.745666063229477</v>
      </c>
      <c r="S6" s="8">
        <f t="shared" si="6"/>
        <v>0.45022980883906677</v>
      </c>
      <c r="T6" s="8">
        <f t="shared" si="1"/>
        <v>0.70378095063957247</v>
      </c>
      <c r="U6" s="8">
        <f t="shared" si="1"/>
        <v>22.534637323278879</v>
      </c>
      <c r="V6" s="8">
        <f t="shared" si="1"/>
        <v>1083.5925363101342</v>
      </c>
      <c r="W6" s="8">
        <f t="shared" si="7"/>
        <v>0.1193108993423527</v>
      </c>
      <c r="X6" s="8">
        <f t="shared" si="8"/>
        <v>0.15441609651502722</v>
      </c>
      <c r="Y6" s="8">
        <f t="shared" si="8"/>
        <v>4.2892731050290811</v>
      </c>
      <c r="Z6" s="8">
        <f t="shared" si="8"/>
        <v>175.96913482852997</v>
      </c>
      <c r="AA6" s="8">
        <f t="shared" si="9"/>
        <v>1903.128155409868</v>
      </c>
      <c r="AB6" s="8">
        <f t="shared" si="9"/>
        <v>2471.1207925299805</v>
      </c>
      <c r="AC6" s="8">
        <f t="shared" si="2"/>
        <v>3650.1714123797478</v>
      </c>
      <c r="AD6" s="8">
        <f t="shared" si="2"/>
        <v>27099.246763593615</v>
      </c>
      <c r="AE6" s="8">
        <f t="shared" si="10"/>
        <v>5.4183640583308088E-2</v>
      </c>
      <c r="AF6" s="8">
        <f t="shared" si="11"/>
        <v>7.0354863113013894E-2</v>
      </c>
      <c r="AG6" s="8">
        <f t="shared" si="12"/>
        <v>0.10392341436052972</v>
      </c>
      <c r="AH6" s="8">
        <f t="shared" si="13"/>
        <v>0.77153808194314832</v>
      </c>
      <c r="AI6" s="8">
        <f>LN((AVERAGE(G20:G22))/G6)/1.02</f>
        <v>1.9388425276841235E-2</v>
      </c>
      <c r="AJ6" s="8">
        <f>LN((AVERAGE(H20:H22))/H6)/1.02</f>
        <v>0.17540382747205222</v>
      </c>
      <c r="AK6" s="8">
        <f>LN((AVERAGE(I20:I22))/I6)/1.02</f>
        <v>8.615899744689394E-2</v>
      </c>
      <c r="AL6" s="8">
        <f>LN((AVERAGE(J20:J22))/J6)/1.02</f>
        <v>1.5650505257519139E-3</v>
      </c>
      <c r="AM6" s="16">
        <f t="shared" ref="AM6:AM9" si="20">(AI6*AE6)+(AJ6*AF6)+(AG6*AK6)+(AH6*AL6)</f>
        <v>2.3552481011315757E-2</v>
      </c>
      <c r="AN6" s="10">
        <v>20</v>
      </c>
      <c r="AO6" s="50">
        <f t="shared" si="14"/>
        <v>0.67109025791943144</v>
      </c>
      <c r="AP6" s="50">
        <f t="shared" si="15"/>
        <v>0.32287516600265603</v>
      </c>
      <c r="AQ6" s="50">
        <f>LN((AVERAGE(AO20:AO22))/AO6)/1.02</f>
        <v>2.1131110709325957E-2</v>
      </c>
      <c r="AR6" s="50">
        <f>LN((AVERAGE(AP20:AP22))/AP6)/1.02</f>
        <v>0.15111731227028793</v>
      </c>
      <c r="AS6" s="8">
        <f t="shared" si="16"/>
        <v>0.4036926697516513</v>
      </c>
      <c r="AT6" s="8">
        <f t="shared" si="17"/>
        <v>0.59630733024834859</v>
      </c>
      <c r="AU6" s="50">
        <f t="shared" si="18"/>
        <v>9.8642835531266918E-2</v>
      </c>
      <c r="AV6" s="46">
        <f t="shared" si="19"/>
        <v>24172</v>
      </c>
      <c r="AW6" s="46">
        <f t="shared" si="3"/>
        <v>194500</v>
      </c>
      <c r="AX6" s="48">
        <f>LN((AVERAGE(AV20:AV22))/AV6)/1.02</f>
        <v>0.17540382747205222</v>
      </c>
      <c r="AY6" s="48">
        <f>LN((AVERAGE(AW20:AW22))/AW6)/1.02</f>
        <v>8.615899744689394E-2</v>
      </c>
      <c r="AZ6" s="48">
        <f t="shared" si="4"/>
        <v>0.12218648114128242</v>
      </c>
    </row>
    <row r="7" spans="1:52" x14ac:dyDescent="0.2">
      <c r="A7" s="5" t="s">
        <v>91</v>
      </c>
      <c r="B7" s="10">
        <v>30</v>
      </c>
      <c r="C7" s="5">
        <v>24319</v>
      </c>
      <c r="D7" s="5">
        <v>10333</v>
      </c>
      <c r="E7" s="5">
        <v>1872</v>
      </c>
      <c r="F7" s="5">
        <v>168</v>
      </c>
      <c r="G7" s="5">
        <v>15018</v>
      </c>
      <c r="H7" s="5">
        <v>34635</v>
      </c>
      <c r="I7" s="7">
        <v>196600</v>
      </c>
      <c r="J7" s="7">
        <v>294800</v>
      </c>
      <c r="K7" s="5">
        <v>0</v>
      </c>
      <c r="L7" s="5">
        <v>32457</v>
      </c>
      <c r="M7" s="7">
        <v>358300</v>
      </c>
      <c r="N7" s="7">
        <v>2417000</v>
      </c>
      <c r="O7" s="8">
        <f t="shared" si="5"/>
        <v>0.95108343119756134</v>
      </c>
      <c r="P7" s="8">
        <f t="shared" si="5"/>
        <v>1.0886883084397827</v>
      </c>
      <c r="Q7" s="8">
        <f t="shared" si="0"/>
        <v>2.4701340987234546</v>
      </c>
      <c r="R7" s="8">
        <f t="shared" si="0"/>
        <v>11.198210038538015</v>
      </c>
      <c r="S7" s="8">
        <f t="shared" si="6"/>
        <v>0.45022980883906677</v>
      </c>
      <c r="T7" s="8">
        <f t="shared" si="1"/>
        <v>0.67528806593735535</v>
      </c>
      <c r="U7" s="8">
        <f t="shared" si="1"/>
        <v>7.8875112260248272</v>
      </c>
      <c r="V7" s="8">
        <f t="shared" si="1"/>
        <v>734.89319322650795</v>
      </c>
      <c r="W7" s="8">
        <f t="shared" si="7"/>
        <v>0.1193108993423527</v>
      </c>
      <c r="X7" s="8">
        <f t="shared" si="8"/>
        <v>0.14841576078605784</v>
      </c>
      <c r="Y7" s="8">
        <f t="shared" si="8"/>
        <v>1.5673480602966343</v>
      </c>
      <c r="Z7" s="8">
        <f t="shared" si="8"/>
        <v>121.25761771608244</v>
      </c>
      <c r="AA7" s="8">
        <f t="shared" si="9"/>
        <v>2901.5217611066755</v>
      </c>
      <c r="AB7" s="8">
        <f t="shared" si="9"/>
        <v>1533.5800562023355</v>
      </c>
      <c r="AC7" s="8">
        <f t="shared" si="2"/>
        <v>2934.0755688752993</v>
      </c>
      <c r="AD7" s="8">
        <f t="shared" si="2"/>
        <v>20371.27977630185</v>
      </c>
      <c r="AE7" s="8">
        <f t="shared" si="10"/>
        <v>0.1045953116097325</v>
      </c>
      <c r="AF7" s="8">
        <f t="shared" si="11"/>
        <v>5.5283157275296063E-2</v>
      </c>
      <c r="AG7" s="8">
        <f t="shared" si="12"/>
        <v>0.10576882535458335</v>
      </c>
      <c r="AH7" s="8">
        <f t="shared" si="13"/>
        <v>0.73435270576038814</v>
      </c>
      <c r="AI7" s="8">
        <f>LN((AVERAGE(G23:G25))/G7)/1.02</f>
        <v>-0.11261353011767246</v>
      </c>
      <c r="AJ7" s="8">
        <f>LN((AVERAGE(H23:H25))/H7)/1.02</f>
        <v>9.8749418176962978E-2</v>
      </c>
      <c r="AK7" s="8">
        <f>LN((AVERAGE(I23:I25))/I7)/1.02</f>
        <v>0.16765792505138402</v>
      </c>
      <c r="AL7" s="8">
        <f>LN((AVERAGE(J23:J25))/J7)/1.02</f>
        <v>1.4400429727902449E-3</v>
      </c>
      <c r="AM7" s="16">
        <f t="shared" si="20"/>
        <v>1.2470813589342489E-2</v>
      </c>
      <c r="AN7" s="10">
        <v>30</v>
      </c>
      <c r="AO7" s="50">
        <f t="shared" si="14"/>
        <v>1.0671041685922913</v>
      </c>
      <c r="AP7" s="50">
        <f t="shared" si="15"/>
        <v>0.54870220485626575</v>
      </c>
      <c r="AQ7" s="50">
        <f>LN((AVERAGE(AO23:AO25))/AO7)/1.02</f>
        <v>-0.12619335156395495</v>
      </c>
      <c r="AR7" s="50">
        <f>LN((AVERAGE(AP23:AP25))/AP7)/1.02</f>
        <v>-3.4817777346817812E-2</v>
      </c>
      <c r="AS7" s="8">
        <f t="shared" si="16"/>
        <v>0.34326281721315222</v>
      </c>
      <c r="AT7" s="8">
        <f t="shared" si="17"/>
        <v>0.65673718278684778</v>
      </c>
      <c r="AU7" s="50">
        <f t="shared" si="18"/>
        <v>-6.6183614377061786E-2</v>
      </c>
      <c r="AV7" s="46">
        <f t="shared" si="19"/>
        <v>34635</v>
      </c>
      <c r="AW7" s="46">
        <f t="shared" si="3"/>
        <v>196600</v>
      </c>
      <c r="AX7" s="48">
        <f>LN((AVERAGE(AV23:AV25))/AV7)/1.02</f>
        <v>9.8749418176962978E-2</v>
      </c>
      <c r="AY7" s="48">
        <f>LN((AVERAGE(AW23:AW25))/AW7)/1.02</f>
        <v>0.16765792505138402</v>
      </c>
      <c r="AZ7" s="48">
        <f t="shared" si="4"/>
        <v>0.14400419685171839</v>
      </c>
    </row>
    <row r="8" spans="1:52" x14ac:dyDescent="0.2">
      <c r="A8" s="5" t="s">
        <v>92</v>
      </c>
      <c r="B8" s="10">
        <v>40</v>
      </c>
      <c r="C8" s="5">
        <v>20534</v>
      </c>
      <c r="D8" s="5">
        <v>6630</v>
      </c>
      <c r="E8" s="5">
        <v>989</v>
      </c>
      <c r="F8" s="5">
        <v>115</v>
      </c>
      <c r="G8" s="5">
        <v>20459</v>
      </c>
      <c r="H8" s="5">
        <v>52666</v>
      </c>
      <c r="I8" s="7">
        <v>269500</v>
      </c>
      <c r="J8" s="7">
        <v>296200</v>
      </c>
      <c r="K8" s="5">
        <v>0</v>
      </c>
      <c r="L8" s="5">
        <v>38396</v>
      </c>
      <c r="M8" s="7">
        <v>404300</v>
      </c>
      <c r="N8" s="7">
        <v>2124000</v>
      </c>
      <c r="O8" s="8">
        <f t="shared" si="5"/>
        <v>0.95108343119756134</v>
      </c>
      <c r="P8" s="8">
        <f t="shared" si="5"/>
        <v>1.113867325784009</v>
      </c>
      <c r="Q8" s="8">
        <f t="shared" si="0"/>
        <v>2.66515595389005</v>
      </c>
      <c r="R8" s="8">
        <f t="shared" si="0"/>
        <v>9.9560056132377444</v>
      </c>
      <c r="S8" s="8">
        <f t="shared" si="6"/>
        <v>0.45022980883906677</v>
      </c>
      <c r="T8" s="8">
        <f t="shared" si="1"/>
        <v>0.72323392784942375</v>
      </c>
      <c r="U8" s="8">
        <f t="shared" si="1"/>
        <v>9.9070939016464887</v>
      </c>
      <c r="V8" s="8">
        <f t="shared" si="1"/>
        <v>516.45655749433729</v>
      </c>
      <c r="W8" s="8">
        <f t="shared" si="7"/>
        <v>0.1193108993423527</v>
      </c>
      <c r="X8" s="8">
        <f t="shared" si="8"/>
        <v>0.15850696879353715</v>
      </c>
      <c r="Y8" s="8">
        <f t="shared" si="8"/>
        <v>1.9503496732423489</v>
      </c>
      <c r="Z8" s="8">
        <f t="shared" si="8"/>
        <v>86.456850435442391</v>
      </c>
      <c r="AA8" s="8">
        <f t="shared" si="9"/>
        <v>2449.9300070958702</v>
      </c>
      <c r="AB8" s="8">
        <f t="shared" si="9"/>
        <v>1050.9012031011514</v>
      </c>
      <c r="AC8" s="8">
        <f t="shared" si="2"/>
        <v>1928.895826836683</v>
      </c>
      <c r="AD8" s="8">
        <f t="shared" si="2"/>
        <v>9942.5378000758756</v>
      </c>
      <c r="AE8" s="8">
        <f t="shared" si="10"/>
        <v>0.15937339312432286</v>
      </c>
      <c r="AF8" s="8">
        <f t="shared" si="11"/>
        <v>6.8363459401519819E-2</v>
      </c>
      <c r="AG8" s="8">
        <f t="shared" si="12"/>
        <v>0.12547896144621523</v>
      </c>
      <c r="AH8" s="8">
        <f t="shared" si="13"/>
        <v>0.64678418602794208</v>
      </c>
      <c r="AI8" s="8">
        <f>LN((AVERAGE(G26:G28))/G8)/1.02</f>
        <v>-9.7848689132396277E-2</v>
      </c>
      <c r="AJ8" s="8">
        <f>LN((AVERAGE(H26:H28))/H8)/1.02</f>
        <v>3.6391573926632996E-2</v>
      </c>
      <c r="AK8" s="8">
        <f>LN((AVERAGE(I26:I28))/I8)/1.02</f>
        <v>-2.7929689549962291E-3</v>
      </c>
      <c r="AL8" s="8">
        <f>LN((AVERAGE(J26:J28))/J8)/1.02</f>
        <v>-2.119005362236117E-2</v>
      </c>
      <c r="AM8" s="16">
        <f t="shared" si="20"/>
        <v>-2.7162474140958029E-2</v>
      </c>
      <c r="AN8" s="10">
        <v>40</v>
      </c>
      <c r="AO8" s="50">
        <f t="shared" si="14"/>
        <v>1.3716532972184603</v>
      </c>
      <c r="AP8" s="50">
        <f t="shared" si="15"/>
        <v>0.66658421963888204</v>
      </c>
      <c r="AQ8" s="50">
        <f>LN((AVERAGE(AO26:AO28))/AO8)/1.02</f>
        <v>-0.13188427735409103</v>
      </c>
      <c r="AR8" s="50">
        <f>LN((AVERAGE(AP26:AP28))/AP8)/1.02</f>
        <v>-8.8707311923412524E-2</v>
      </c>
      <c r="AS8" s="8">
        <f t="shared" si="16"/>
        <v>0.35267543142798408</v>
      </c>
      <c r="AT8" s="8">
        <f t="shared" si="17"/>
        <v>0.64732456857201592</v>
      </c>
      <c r="AU8" s="50">
        <f t="shared" si="18"/>
        <v>-0.10393476683442822</v>
      </c>
      <c r="AV8" s="46">
        <f t="shared" si="19"/>
        <v>52666</v>
      </c>
      <c r="AW8" s="46">
        <f t="shared" si="3"/>
        <v>269500</v>
      </c>
      <c r="AX8" s="48">
        <f>LN((AVERAGE(AV26:AV28))/AV8)/1.02</f>
        <v>3.6391573926632996E-2</v>
      </c>
      <c r="AY8" s="48">
        <f>LN((AVERAGE(AW26:AW28))/AW8)/1.02</f>
        <v>-2.7929689549962291E-3</v>
      </c>
      <c r="AZ8" s="48">
        <f t="shared" si="4"/>
        <v>1.1026456611090701E-2</v>
      </c>
    </row>
    <row r="9" spans="1:52" x14ac:dyDescent="0.2">
      <c r="A9" s="5" t="s">
        <v>93</v>
      </c>
      <c r="B9" s="10">
        <v>50</v>
      </c>
      <c r="C9" s="5">
        <v>6997</v>
      </c>
      <c r="D9" s="5">
        <v>2479</v>
      </c>
      <c r="E9" s="5">
        <v>366</v>
      </c>
      <c r="F9" s="5">
        <v>66</v>
      </c>
      <c r="G9" s="5">
        <v>23192</v>
      </c>
      <c r="H9" s="5">
        <v>69899</v>
      </c>
      <c r="I9" s="7">
        <v>289100</v>
      </c>
      <c r="J9" s="7">
        <v>293900</v>
      </c>
      <c r="K9" s="5">
        <v>0</v>
      </c>
      <c r="L9" s="5">
        <v>51282</v>
      </c>
      <c r="M9" s="7">
        <v>500200</v>
      </c>
      <c r="N9" s="7">
        <v>2551000</v>
      </c>
      <c r="O9" s="8">
        <f t="shared" si="5"/>
        <v>0.95108343119756134</v>
      </c>
      <c r="P9" s="8">
        <f t="shared" si="5"/>
        <v>1.1684988828639384</v>
      </c>
      <c r="Q9" s="8">
        <f t="shared" si="0"/>
        <v>3.0717341258569304</v>
      </c>
      <c r="R9" s="8">
        <f t="shared" si="0"/>
        <v>11.7663171818494</v>
      </c>
      <c r="S9" s="8">
        <f t="shared" si="6"/>
        <v>0.45022980883906677</v>
      </c>
      <c r="T9" s="8">
        <f t="shared" si="1"/>
        <v>0.83495544699463409</v>
      </c>
      <c r="U9" s="8">
        <f t="shared" si="1"/>
        <v>15.168033022008212</v>
      </c>
      <c r="V9" s="8">
        <f t="shared" si="1"/>
        <v>852.51111858791342</v>
      </c>
      <c r="W9" s="8">
        <f t="shared" si="7"/>
        <v>0.1193108993423527</v>
      </c>
      <c r="X9" s="8">
        <f t="shared" si="8"/>
        <v>0.181917762962025</v>
      </c>
      <c r="Y9" s="8">
        <f t="shared" si="8"/>
        <v>2.9343449442671452</v>
      </c>
      <c r="Z9" s="8">
        <f t="shared" si="8"/>
        <v>139.81100247710305</v>
      </c>
      <c r="AA9" s="8">
        <f t="shared" si="9"/>
        <v>834.81836269844189</v>
      </c>
      <c r="AB9" s="8">
        <f t="shared" si="9"/>
        <v>450.97413438285997</v>
      </c>
      <c r="AC9" s="8">
        <f t="shared" si="2"/>
        <v>1073.9702496017751</v>
      </c>
      <c r="AD9" s="8">
        <f t="shared" si="2"/>
        <v>9227.5261634888011</v>
      </c>
      <c r="AE9" s="8">
        <f t="shared" si="10"/>
        <v>7.2046047109915259E-2</v>
      </c>
      <c r="AF9" s="8">
        <f t="shared" si="11"/>
        <v>3.8919728150298663E-2</v>
      </c>
      <c r="AG9" s="8">
        <f t="shared" si="12"/>
        <v>9.2685205135343812E-2</v>
      </c>
      <c r="AH9" s="8">
        <f t="shared" si="13"/>
        <v>0.79634901960444215</v>
      </c>
      <c r="AI9" s="8">
        <f>LN((AVERAGE(G29:G31))/G9)/1.02</f>
        <v>9.6888152288221018E-3</v>
      </c>
      <c r="AJ9" s="8">
        <f>LN((AVERAGE(H29:H31))/H9)/1.02</f>
        <v>5.0200111885703558E-2</v>
      </c>
      <c r="AK9" s="8">
        <f>LN((AVERAGE(I29:I31))/I9)/1.02</f>
        <v>-5.3069881447119119E-2</v>
      </c>
      <c r="AL9" s="8">
        <f>LN((AVERAGE(J29:J31))/J9)/1.02</f>
        <v>-1.2420816641945252E-2</v>
      </c>
      <c r="AM9" s="16">
        <f t="shared" si="20"/>
        <v>-1.2158282457813111E-2</v>
      </c>
      <c r="AN9" s="10">
        <v>50</v>
      </c>
      <c r="AO9" s="50">
        <f t="shared" si="14"/>
        <v>1.363031863031863</v>
      </c>
      <c r="AP9" s="50">
        <f t="shared" si="15"/>
        <v>0.57796881247500997</v>
      </c>
      <c r="AQ9" s="50">
        <f>LN((AVERAGE(AO29:AO31))/AO9)/1.02</f>
        <v>-2.8085668680494339E-2</v>
      </c>
      <c r="AR9" s="50">
        <f>LN((AVERAGE(AP29:AP31))/AP9)/1.02</f>
        <v>-6.2654735509546061E-2</v>
      </c>
      <c r="AS9" s="8">
        <f t="shared" si="16"/>
        <v>0.29573152904401517</v>
      </c>
      <c r="AT9" s="8">
        <f t="shared" si="17"/>
        <v>0.70426847095598477</v>
      </c>
      <c r="AU9" s="50">
        <f t="shared" si="18"/>
        <v>-5.2431572518565853E-2</v>
      </c>
      <c r="AV9" s="46">
        <f t="shared" si="19"/>
        <v>69899</v>
      </c>
      <c r="AW9" s="46">
        <f t="shared" si="3"/>
        <v>289100</v>
      </c>
      <c r="AX9" s="48">
        <f>LN((AVERAGE(AV29:AV31))/AV9)/1.02</f>
        <v>5.0200111885703558E-2</v>
      </c>
      <c r="AY9" s="48">
        <f>LN((AVERAGE(AW29:AW31))/AW9)/1.02</f>
        <v>-5.3069881447119119E-2</v>
      </c>
      <c r="AZ9" s="48">
        <f t="shared" si="4"/>
        <v>-2.2529688414438219E-2</v>
      </c>
    </row>
    <row r="10" spans="1:52" x14ac:dyDescent="0.2">
      <c r="A10" s="5" t="s">
        <v>94</v>
      </c>
      <c r="B10" s="10">
        <v>70</v>
      </c>
      <c r="C10" s="5">
        <v>4140</v>
      </c>
      <c r="D10" s="5">
        <v>1367</v>
      </c>
      <c r="E10" s="5">
        <v>186</v>
      </c>
      <c r="F10" s="5">
        <v>20</v>
      </c>
      <c r="G10" s="5">
        <v>20932</v>
      </c>
      <c r="H10" s="5">
        <v>75223</v>
      </c>
      <c r="I10" s="7">
        <v>292200</v>
      </c>
      <c r="J10" s="7">
        <v>294400</v>
      </c>
      <c r="K10" s="5">
        <v>0</v>
      </c>
      <c r="L10" s="5">
        <v>57374</v>
      </c>
      <c r="M10" s="7">
        <v>529700</v>
      </c>
      <c r="N10" s="7">
        <v>2202000</v>
      </c>
      <c r="O10" s="8">
        <f t="shared" ref="O10:O11" si="21">(224333+K10)/235871</f>
        <v>0.95108343119756134</v>
      </c>
      <c r="P10" s="8">
        <f t="shared" ref="P10:P11" si="22">(224333+L10)/235871</f>
        <v>1.1943265598568709</v>
      </c>
      <c r="Q10" s="8">
        <f t="shared" ref="Q10:Q11" si="23">(224333+M10)/235871</f>
        <v>3.1968024894963771</v>
      </c>
      <c r="R10" s="8">
        <f t="shared" ref="R10:R11" si="24">(224333+N10)/235871</f>
        <v>10.286694845911537</v>
      </c>
      <c r="S10" s="8">
        <f t="shared" ref="S10:S11" si="25">4/3*3.14*((O10/2)^3)</f>
        <v>0.45022980883906677</v>
      </c>
      <c r="T10" s="8">
        <f t="shared" ref="T10:T11" si="26">4/3*3.14*((P10/2)^3)</f>
        <v>0.89155403300228087</v>
      </c>
      <c r="U10" s="8">
        <f t="shared" ref="U10:U11" si="27">4/3*3.14*((Q10/2)^3)</f>
        <v>17.097232278438295</v>
      </c>
      <c r="V10" s="8">
        <f t="shared" ref="V10:V11" si="28">4/3*3.14*((R10/2)^3)</f>
        <v>569.64720104465675</v>
      </c>
      <c r="W10" s="8">
        <f t="shared" ref="W10:W11" si="29">(S10*265)/1000</f>
        <v>0.1193108993423527</v>
      </c>
      <c r="X10" s="8">
        <f t="shared" ref="X10:X11" si="30">(10^(-0.665+LOG(T10, 10)*0.959))</f>
        <v>0.19372765185678609</v>
      </c>
      <c r="Y10" s="8">
        <f t="shared" ref="Y10:Y11" si="31">(10^(-0.665+LOG(U10, 10)*0.959))</f>
        <v>3.2913635378001938</v>
      </c>
      <c r="Z10" s="8">
        <f t="shared" ref="Z10:Z11" si="32">(10^(-0.665+LOG(V10, 10)*0.959))</f>
        <v>94.978678603235608</v>
      </c>
      <c r="AA10" s="8">
        <f t="shared" ref="AA10:AA11" si="33">W10*C10</f>
        <v>493.94712327734015</v>
      </c>
      <c r="AB10" s="8">
        <f t="shared" ref="AB10:AB11" si="34">X10*D10</f>
        <v>264.8257000882266</v>
      </c>
      <c r="AC10" s="8">
        <f t="shared" ref="AC10:AC11" si="35">Y10*E10</f>
        <v>612.19361803083609</v>
      </c>
      <c r="AD10" s="8">
        <f t="shared" ref="AD10:AD11" si="36">Z10*F10</f>
        <v>1899.5735720647122</v>
      </c>
      <c r="AE10" s="8">
        <f t="shared" ref="AE10:AE11" si="37">AA10/(AA10+AB10+AC10+AD10)</f>
        <v>0.15102922491219137</v>
      </c>
      <c r="AF10" s="8">
        <f t="shared" ref="AF10:AF11" si="38">AB10/(AA10+AB10+AC10+AD10)</f>
        <v>8.097308059165724E-2</v>
      </c>
      <c r="AG10" s="8">
        <f t="shared" ref="AG10:AG11" si="39">AC10/(AA10+AB10+AC10+AD10)</f>
        <v>0.1871842617766874</v>
      </c>
      <c r="AH10" s="8">
        <f t="shared" ref="AH10:AH11" si="40">AD10/(AA10+AB10+AC10+AD10)</f>
        <v>0.58081343271946395</v>
      </c>
      <c r="AI10" s="8"/>
      <c r="AN10" s="10">
        <v>70</v>
      </c>
      <c r="AO10" s="50">
        <f t="shared" ref="AO10:AO11" si="41">H10/L10</f>
        <v>1.3110991041238191</v>
      </c>
      <c r="AP10" s="50">
        <f t="shared" ref="AP10:AP11" si="42">I10/M10</f>
        <v>0.55163299981121394</v>
      </c>
      <c r="AQ10" s="51"/>
      <c r="AR10" s="51"/>
      <c r="AS10" s="51"/>
      <c r="AT10" s="51"/>
      <c r="AU10" s="51"/>
      <c r="AV10" s="46">
        <f t="shared" ref="AV10:AV11" si="43">H10</f>
        <v>75223</v>
      </c>
      <c r="AW10" s="46">
        <f t="shared" ref="AW10:AW11" si="44">I10</f>
        <v>292200</v>
      </c>
    </row>
    <row r="11" spans="1:52" x14ac:dyDescent="0.2">
      <c r="A11" s="5" t="s">
        <v>95</v>
      </c>
      <c r="B11" s="10">
        <v>100</v>
      </c>
      <c r="C11" s="5">
        <v>2538</v>
      </c>
      <c r="D11" s="5">
        <v>962</v>
      </c>
      <c r="E11" s="5">
        <v>105</v>
      </c>
      <c r="F11" s="5">
        <v>13</v>
      </c>
      <c r="G11" s="5">
        <v>24677</v>
      </c>
      <c r="H11" s="5">
        <v>82728</v>
      </c>
      <c r="I11" s="7">
        <v>292500</v>
      </c>
      <c r="J11" s="7">
        <v>286400</v>
      </c>
      <c r="K11" s="5">
        <v>0</v>
      </c>
      <c r="L11" s="5">
        <v>59579</v>
      </c>
      <c r="M11" s="7">
        <v>424500</v>
      </c>
      <c r="N11" s="7">
        <v>1657000</v>
      </c>
      <c r="O11" s="8">
        <f t="shared" si="21"/>
        <v>0.95108343119756134</v>
      </c>
      <c r="P11" s="8">
        <f t="shared" si="22"/>
        <v>1.2036748900882261</v>
      </c>
      <c r="Q11" s="8">
        <f t="shared" si="23"/>
        <v>2.7507959859414681</v>
      </c>
      <c r="R11" s="8">
        <f t="shared" si="24"/>
        <v>7.9761098227420923</v>
      </c>
      <c r="S11" s="8">
        <f t="shared" si="25"/>
        <v>0.45022980883906677</v>
      </c>
      <c r="T11" s="8">
        <f t="shared" si="26"/>
        <v>0.91265366055935493</v>
      </c>
      <c r="U11" s="8">
        <f t="shared" si="27"/>
        <v>10.893151493052343</v>
      </c>
      <c r="V11" s="8">
        <f t="shared" si="28"/>
        <v>265.55334302164505</v>
      </c>
      <c r="W11" s="8">
        <f t="shared" si="29"/>
        <v>0.1193108993423527</v>
      </c>
      <c r="X11" s="8">
        <f t="shared" si="30"/>
        <v>0.19812234241980461</v>
      </c>
      <c r="Y11" s="8">
        <f t="shared" si="31"/>
        <v>2.1361426353452226</v>
      </c>
      <c r="Z11" s="8">
        <f t="shared" si="32"/>
        <v>45.683729397943516</v>
      </c>
      <c r="AA11" s="8">
        <f t="shared" si="33"/>
        <v>302.81106253089115</v>
      </c>
      <c r="AB11" s="8">
        <f t="shared" si="34"/>
        <v>190.59369340785204</v>
      </c>
      <c r="AC11" s="8">
        <f t="shared" si="35"/>
        <v>224.29497671124838</v>
      </c>
      <c r="AD11" s="8">
        <f t="shared" si="36"/>
        <v>593.88848217326574</v>
      </c>
      <c r="AE11" s="8">
        <f t="shared" si="37"/>
        <v>0.23087357686550758</v>
      </c>
      <c r="AF11" s="8">
        <f t="shared" si="38"/>
        <v>0.14531519211121874</v>
      </c>
      <c r="AG11" s="8">
        <f t="shared" si="39"/>
        <v>0.17101021050381518</v>
      </c>
      <c r="AH11" s="8">
        <f t="shared" si="40"/>
        <v>0.45280102051945859</v>
      </c>
      <c r="AI11" s="8"/>
      <c r="AN11" s="10">
        <v>100</v>
      </c>
      <c r="AO11" s="50">
        <f t="shared" si="41"/>
        <v>1.3885429429832659</v>
      </c>
      <c r="AP11" s="50">
        <f t="shared" si="42"/>
        <v>0.68904593639575973</v>
      </c>
      <c r="AQ11" s="51"/>
      <c r="AR11" s="51"/>
      <c r="AS11" s="51"/>
      <c r="AT11" s="51"/>
      <c r="AU11" s="51"/>
      <c r="AV11" s="46">
        <f t="shared" si="43"/>
        <v>82728</v>
      </c>
      <c r="AW11" s="46">
        <f t="shared" si="44"/>
        <v>292500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x14ac:dyDescent="0.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x14ac:dyDescent="0.2">
      <c r="A14" s="5" t="s">
        <v>96</v>
      </c>
      <c r="B14" s="10">
        <v>5</v>
      </c>
      <c r="C14" s="5">
        <v>1180</v>
      </c>
      <c r="D14" s="5">
        <v>5935</v>
      </c>
      <c r="E14" s="5">
        <v>208</v>
      </c>
      <c r="F14" s="5">
        <v>42</v>
      </c>
      <c r="G14" s="5">
        <v>8752</v>
      </c>
      <c r="H14" s="5">
        <v>34412</v>
      </c>
      <c r="I14" s="7">
        <v>213900</v>
      </c>
      <c r="J14" s="7">
        <v>296100</v>
      </c>
      <c r="K14" s="5">
        <v>28214</v>
      </c>
      <c r="L14" s="5">
        <v>71967</v>
      </c>
      <c r="M14" s="7">
        <v>795300</v>
      </c>
      <c r="N14" s="7">
        <v>2303000</v>
      </c>
      <c r="O14" s="8">
        <f t="shared" ref="O14:R19" si="45">(224333+K14)/235871</f>
        <v>1.0706996621034379</v>
      </c>
      <c r="P14" s="8">
        <f t="shared" si="45"/>
        <v>1.2561951236056996</v>
      </c>
      <c r="Q14" s="8">
        <f t="shared" si="45"/>
        <v>4.3228417228061105</v>
      </c>
      <c r="R14" s="8">
        <f t="shared" si="45"/>
        <v>10.714895006168627</v>
      </c>
      <c r="S14" s="8">
        <f t="shared" ref="S14:V19" si="46">4/3*3.14*((O14/2)^3)</f>
        <v>0.64236429693571151</v>
      </c>
      <c r="T14" s="8">
        <f t="shared" si="46"/>
        <v>1.0374082735724337</v>
      </c>
      <c r="U14" s="8">
        <f t="shared" si="46"/>
        <v>42.275271089808378</v>
      </c>
      <c r="V14" s="8">
        <f t="shared" si="46"/>
        <v>643.7869323748389</v>
      </c>
      <c r="W14" s="8">
        <f t="shared" ref="W14:W19" si="47">(S14*265)/1000</f>
        <v>0.17022653868796353</v>
      </c>
      <c r="X14" s="8">
        <f t="shared" ref="X14:Z19" si="48">(10^(-0.665+LOG(T14, 10)*0.959))</f>
        <v>0.22402463028833836</v>
      </c>
      <c r="Y14" s="8">
        <f t="shared" si="48"/>
        <v>7.8418198084858028</v>
      </c>
      <c r="Z14" s="8">
        <f t="shared" si="48"/>
        <v>106.80306808585902</v>
      </c>
      <c r="AA14" s="8">
        <f t="shared" ref="AA14:AA31" si="49">W14*C14</f>
        <v>200.86731565179696</v>
      </c>
      <c r="AB14" s="8">
        <f t="shared" ref="AB14:AB31" si="50">X14*D14</f>
        <v>1329.5861807612882</v>
      </c>
      <c r="AC14" s="8">
        <f t="shared" ref="AC14:AC31" si="51">Y14*E14</f>
        <v>1631.0985201650469</v>
      </c>
      <c r="AD14" s="8">
        <f t="shared" ref="AD14:AD31" si="52">Z14*F14</f>
        <v>4485.7288596060789</v>
      </c>
      <c r="AE14" s="8">
        <f t="shared" ref="AE14:AE31" si="53">AA14/(AA14+AB14+AC14+AD14)</f>
        <v>2.6266501636856888E-2</v>
      </c>
      <c r="AF14" s="8">
        <f t="shared" ref="AF14:AF31" si="54">AB14/(AA14+AB14+AC14+AD14)</f>
        <v>0.17386391349924055</v>
      </c>
      <c r="AG14" s="8">
        <f t="shared" ref="AG14:AG31" si="55">AC14/(AA14+AB14+AC14+AD14)</f>
        <v>0.21329130531150589</v>
      </c>
      <c r="AH14" s="8">
        <f t="shared" ref="AH14:AH31" si="56">AD14/(AA14+AB14+AC14+AD14)</f>
        <v>0.58657827955239661</v>
      </c>
      <c r="AI14" s="8"/>
      <c r="AN14" s="10">
        <v>5</v>
      </c>
      <c r="AO14" s="8">
        <f t="shared" ref="AO14:AO31" si="57">H14/L14</f>
        <v>0.47816360276237718</v>
      </c>
      <c r="AP14" s="8">
        <f t="shared" ref="AP14:AP31" si="58">I14/M14</f>
        <v>0.2689551112787627</v>
      </c>
      <c r="AV14" s="5">
        <f t="shared" ref="AV14:AW14" si="59">H14</f>
        <v>34412</v>
      </c>
      <c r="AW14" s="5">
        <f t="shared" si="59"/>
        <v>213900</v>
      </c>
    </row>
    <row r="15" spans="1:52" x14ac:dyDescent="0.2">
      <c r="A15" s="5" t="s">
        <v>97</v>
      </c>
      <c r="B15" s="10">
        <v>5</v>
      </c>
      <c r="C15" s="5">
        <v>3735</v>
      </c>
      <c r="D15" s="5">
        <v>22669</v>
      </c>
      <c r="E15" s="5">
        <v>685</v>
      </c>
      <c r="F15" s="5">
        <v>178</v>
      </c>
      <c r="G15" s="5">
        <v>8997</v>
      </c>
      <c r="H15" s="5">
        <v>34638</v>
      </c>
      <c r="I15" s="7">
        <v>215800</v>
      </c>
      <c r="J15" s="7">
        <v>296500</v>
      </c>
      <c r="K15" s="5">
        <v>21671</v>
      </c>
      <c r="L15" s="5">
        <v>71686</v>
      </c>
      <c r="M15" s="7">
        <v>784700</v>
      </c>
      <c r="N15" s="7">
        <v>2997000</v>
      </c>
      <c r="O15" s="8">
        <f t="shared" si="45"/>
        <v>1.0429599230087632</v>
      </c>
      <c r="P15" s="8">
        <f t="shared" si="45"/>
        <v>1.2550037944469647</v>
      </c>
      <c r="Q15" s="8">
        <f t="shared" si="45"/>
        <v>4.2779019040068516</v>
      </c>
      <c r="R15" s="8">
        <f t="shared" si="45"/>
        <v>13.657181255855955</v>
      </c>
      <c r="S15" s="8">
        <f t="shared" si="46"/>
        <v>0.59371942621444573</v>
      </c>
      <c r="T15" s="8">
        <f t="shared" si="46"/>
        <v>1.0344595524793663</v>
      </c>
      <c r="U15" s="8">
        <f t="shared" si="46"/>
        <v>40.970462115781913</v>
      </c>
      <c r="V15" s="8">
        <f t="shared" si="46"/>
        <v>1333.0965905084602</v>
      </c>
      <c r="W15" s="8">
        <f t="shared" si="47"/>
        <v>0.15733564794682811</v>
      </c>
      <c r="X15" s="8">
        <f t="shared" si="48"/>
        <v>0.22341393622834596</v>
      </c>
      <c r="Y15" s="8">
        <f t="shared" si="48"/>
        <v>7.6095601999497049</v>
      </c>
      <c r="Z15" s="8">
        <f t="shared" si="48"/>
        <v>214.65563380315376</v>
      </c>
      <c r="AA15" s="8">
        <f t="shared" si="49"/>
        <v>587.64864508140295</v>
      </c>
      <c r="AB15" s="8">
        <f t="shared" si="50"/>
        <v>5064.5705203603748</v>
      </c>
      <c r="AC15" s="8">
        <f t="shared" si="51"/>
        <v>5212.5487369655475</v>
      </c>
      <c r="AD15" s="8">
        <f t="shared" si="52"/>
        <v>38208.70281696137</v>
      </c>
      <c r="AE15" s="8">
        <f t="shared" si="53"/>
        <v>1.1974874335706305E-2</v>
      </c>
      <c r="AF15" s="8">
        <f t="shared" si="54"/>
        <v>0.10320383796211609</v>
      </c>
      <c r="AG15" s="8">
        <f t="shared" si="55"/>
        <v>0.10621928020485862</v>
      </c>
      <c r="AH15" s="8">
        <f t="shared" si="56"/>
        <v>0.77860200749731912</v>
      </c>
      <c r="AI15" s="8"/>
      <c r="AN15" s="10">
        <v>5</v>
      </c>
      <c r="AO15" s="8">
        <f t="shared" si="57"/>
        <v>0.48319058114555141</v>
      </c>
      <c r="AP15" s="8">
        <f t="shared" si="58"/>
        <v>0.27500955779278707</v>
      </c>
      <c r="AV15" s="5">
        <f t="shared" ref="AV15:AV31" si="60">H15</f>
        <v>34638</v>
      </c>
      <c r="AW15" s="5">
        <f t="shared" ref="AW15:AW31" si="61">I15</f>
        <v>215800</v>
      </c>
    </row>
    <row r="16" spans="1:52" x14ac:dyDescent="0.2">
      <c r="A16" s="5" t="s">
        <v>98</v>
      </c>
      <c r="B16" s="10">
        <v>5</v>
      </c>
      <c r="C16" s="5">
        <v>3720</v>
      </c>
      <c r="D16" s="5">
        <v>20770</v>
      </c>
      <c r="E16" s="5">
        <v>753</v>
      </c>
      <c r="F16" s="5">
        <v>168</v>
      </c>
      <c r="G16" s="5">
        <v>8388</v>
      </c>
      <c r="H16" s="5">
        <v>37189</v>
      </c>
      <c r="I16" s="7">
        <v>223200</v>
      </c>
      <c r="J16" s="7">
        <v>293900</v>
      </c>
      <c r="K16" s="5">
        <v>19454</v>
      </c>
      <c r="L16" s="5">
        <v>73443</v>
      </c>
      <c r="M16" s="7">
        <v>805600</v>
      </c>
      <c r="N16" s="7">
        <v>2686000</v>
      </c>
      <c r="O16" s="8">
        <f t="shared" si="45"/>
        <v>1.0335607175108428</v>
      </c>
      <c r="P16" s="8">
        <f t="shared" si="45"/>
        <v>1.2624527813932191</v>
      </c>
      <c r="Q16" s="8">
        <f t="shared" si="45"/>
        <v>4.3665096599412392</v>
      </c>
      <c r="R16" s="8">
        <f t="shared" si="45"/>
        <v>12.338663930707886</v>
      </c>
      <c r="S16" s="8">
        <f t="shared" si="46"/>
        <v>0.57781176707539639</v>
      </c>
      <c r="T16" s="8">
        <f t="shared" si="46"/>
        <v>1.0529889849553988</v>
      </c>
      <c r="U16" s="8">
        <f t="shared" si="46"/>
        <v>43.569409457291016</v>
      </c>
      <c r="V16" s="8">
        <f t="shared" si="46"/>
        <v>983.0662899935262</v>
      </c>
      <c r="W16" s="8">
        <f t="shared" si="47"/>
        <v>0.15312011827498004</v>
      </c>
      <c r="X16" s="8">
        <f t="shared" si="48"/>
        <v>0.22725029267055002</v>
      </c>
      <c r="Y16" s="8">
        <f t="shared" si="48"/>
        <v>8.0718898141519571</v>
      </c>
      <c r="Z16" s="8">
        <f t="shared" si="48"/>
        <v>160.28279578061188</v>
      </c>
      <c r="AA16" s="8">
        <f t="shared" si="49"/>
        <v>569.60683998292575</v>
      </c>
      <c r="AB16" s="8">
        <f t="shared" si="50"/>
        <v>4719.9885787673238</v>
      </c>
      <c r="AC16" s="8">
        <f t="shared" si="51"/>
        <v>6078.1330300564241</v>
      </c>
      <c r="AD16" s="8">
        <f t="shared" si="52"/>
        <v>26927.509691142797</v>
      </c>
      <c r="AE16" s="8">
        <f t="shared" si="53"/>
        <v>1.4874090556671946E-2</v>
      </c>
      <c r="AF16" s="8">
        <f t="shared" si="54"/>
        <v>0.12325262377317474</v>
      </c>
      <c r="AG16" s="8">
        <f t="shared" si="55"/>
        <v>0.15871772380273397</v>
      </c>
      <c r="AH16" s="8">
        <f t="shared" si="56"/>
        <v>0.70315556186741934</v>
      </c>
      <c r="AI16" s="8"/>
      <c r="AN16" s="10">
        <v>5</v>
      </c>
      <c r="AO16" s="8">
        <f t="shared" si="57"/>
        <v>0.50636548071293386</v>
      </c>
      <c r="AP16" s="8">
        <f t="shared" si="58"/>
        <v>0.27706057596822242</v>
      </c>
      <c r="AV16" s="5">
        <f t="shared" si="60"/>
        <v>37189</v>
      </c>
      <c r="AW16" s="5">
        <f t="shared" si="61"/>
        <v>223200</v>
      </c>
    </row>
    <row r="17" spans="1:49" x14ac:dyDescent="0.2">
      <c r="A17" s="5" t="s">
        <v>99</v>
      </c>
      <c r="B17" s="10">
        <v>12</v>
      </c>
      <c r="C17" s="5">
        <v>2132</v>
      </c>
      <c r="D17" s="5">
        <v>6356</v>
      </c>
      <c r="E17" s="5">
        <v>173</v>
      </c>
      <c r="F17" s="5">
        <v>35</v>
      </c>
      <c r="G17" s="5">
        <v>8795</v>
      </c>
      <c r="H17" s="5">
        <v>34577</v>
      </c>
      <c r="I17" s="7">
        <v>212300</v>
      </c>
      <c r="J17" s="7">
        <v>295300</v>
      </c>
      <c r="K17" s="5">
        <v>29298</v>
      </c>
      <c r="L17" s="5">
        <v>60992</v>
      </c>
      <c r="M17" s="7">
        <v>692200</v>
      </c>
      <c r="N17" s="7">
        <v>2198000</v>
      </c>
      <c r="O17" s="8">
        <f t="shared" si="45"/>
        <v>1.0752953945164943</v>
      </c>
      <c r="P17" s="8">
        <f t="shared" si="45"/>
        <v>1.2096654527262785</v>
      </c>
      <c r="Q17" s="8">
        <f t="shared" si="45"/>
        <v>3.8857383909001109</v>
      </c>
      <c r="R17" s="8">
        <f t="shared" si="45"/>
        <v>10.269736423723137</v>
      </c>
      <c r="S17" s="8">
        <f t="shared" si="46"/>
        <v>0.65067145536873172</v>
      </c>
      <c r="T17" s="8">
        <f t="shared" si="46"/>
        <v>0.92634813319010489</v>
      </c>
      <c r="U17" s="8">
        <f t="shared" si="46"/>
        <v>30.704290913499175</v>
      </c>
      <c r="V17" s="8">
        <f t="shared" si="46"/>
        <v>566.83451898125213</v>
      </c>
      <c r="W17" s="8">
        <f t="shared" si="47"/>
        <v>0.17242793567271392</v>
      </c>
      <c r="X17" s="8">
        <f t="shared" si="48"/>
        <v>0.20097243161966677</v>
      </c>
      <c r="Y17" s="8">
        <f t="shared" si="48"/>
        <v>5.7706390493889623</v>
      </c>
      <c r="Z17" s="8">
        <f t="shared" si="48"/>
        <v>94.528895186752663</v>
      </c>
      <c r="AA17" s="8">
        <f t="shared" si="49"/>
        <v>367.61635885422606</v>
      </c>
      <c r="AB17" s="8">
        <f t="shared" si="50"/>
        <v>1277.3807753746021</v>
      </c>
      <c r="AC17" s="8">
        <f t="shared" si="51"/>
        <v>998.32055554429053</v>
      </c>
      <c r="AD17" s="8">
        <f t="shared" si="52"/>
        <v>3308.5113315363433</v>
      </c>
      <c r="AE17" s="8">
        <f t="shared" si="53"/>
        <v>6.176527543685164E-2</v>
      </c>
      <c r="AF17" s="8">
        <f t="shared" si="54"/>
        <v>0.21461987076597261</v>
      </c>
      <c r="AG17" s="8">
        <f t="shared" si="55"/>
        <v>0.16773340631425765</v>
      </c>
      <c r="AH17" s="8">
        <f t="shared" si="56"/>
        <v>0.55588144748291801</v>
      </c>
      <c r="AI17" s="8"/>
      <c r="AN17" s="10">
        <v>12</v>
      </c>
      <c r="AO17" s="8">
        <f t="shared" si="57"/>
        <v>0.56691041448058765</v>
      </c>
      <c r="AP17" s="8">
        <f t="shared" si="58"/>
        <v>0.30670326495232592</v>
      </c>
      <c r="AV17" s="5">
        <f t="shared" si="60"/>
        <v>34577</v>
      </c>
      <c r="AW17" s="5">
        <f t="shared" si="61"/>
        <v>212300</v>
      </c>
    </row>
    <row r="18" spans="1:49" x14ac:dyDescent="0.2">
      <c r="A18" s="5" t="s">
        <v>100</v>
      </c>
      <c r="B18" s="10">
        <v>12</v>
      </c>
      <c r="C18" s="5">
        <v>7175</v>
      </c>
      <c r="D18" s="5">
        <v>19250</v>
      </c>
      <c r="E18" s="5">
        <v>606</v>
      </c>
      <c r="F18" s="5">
        <v>170</v>
      </c>
      <c r="G18" s="5">
        <v>9461</v>
      </c>
      <c r="H18" s="5">
        <v>34035</v>
      </c>
      <c r="I18" s="7">
        <v>212500</v>
      </c>
      <c r="J18" s="7">
        <v>294800</v>
      </c>
      <c r="K18" s="5">
        <v>15226</v>
      </c>
      <c r="L18" s="5">
        <v>59885</v>
      </c>
      <c r="M18" s="7">
        <v>599200</v>
      </c>
      <c r="N18" s="7">
        <v>2427000</v>
      </c>
      <c r="O18" s="8">
        <f t="shared" si="45"/>
        <v>1.0156356652577043</v>
      </c>
      <c r="P18" s="8">
        <f t="shared" si="45"/>
        <v>1.2049722093856388</v>
      </c>
      <c r="Q18" s="8">
        <f t="shared" si="45"/>
        <v>3.4914550750198203</v>
      </c>
      <c r="R18" s="8">
        <f t="shared" si="45"/>
        <v>11.240606094009014</v>
      </c>
      <c r="S18" s="8">
        <f t="shared" si="46"/>
        <v>0.54826715246099744</v>
      </c>
      <c r="T18" s="8">
        <f t="shared" si="46"/>
        <v>0.9156078131908616</v>
      </c>
      <c r="U18" s="8">
        <f t="shared" si="46"/>
        <v>22.273977291977673</v>
      </c>
      <c r="V18" s="8">
        <f t="shared" si="46"/>
        <v>743.27167847541705</v>
      </c>
      <c r="W18" s="8">
        <f t="shared" si="47"/>
        <v>0.14529079540216433</v>
      </c>
      <c r="X18" s="8">
        <f t="shared" si="48"/>
        <v>0.1987373071443426</v>
      </c>
      <c r="Y18" s="8">
        <f t="shared" si="48"/>
        <v>4.2416815864856021</v>
      </c>
      <c r="Z18" s="8">
        <f t="shared" si="48"/>
        <v>122.58308132239667</v>
      </c>
      <c r="AA18" s="8">
        <f t="shared" si="49"/>
        <v>1042.4614570105291</v>
      </c>
      <c r="AB18" s="8">
        <f t="shared" si="50"/>
        <v>3825.6931625285952</v>
      </c>
      <c r="AC18" s="8">
        <f t="shared" si="51"/>
        <v>2570.4590414102749</v>
      </c>
      <c r="AD18" s="8">
        <f t="shared" si="52"/>
        <v>20839.123824807433</v>
      </c>
      <c r="AE18" s="8">
        <f t="shared" si="53"/>
        <v>3.6865094229536745E-2</v>
      </c>
      <c r="AF18" s="8">
        <f t="shared" si="54"/>
        <v>0.13528993132691583</v>
      </c>
      <c r="AG18" s="8">
        <f t="shared" si="55"/>
        <v>9.0900449256415411E-2</v>
      </c>
      <c r="AH18" s="8">
        <f t="shared" si="56"/>
        <v>0.73694452518713205</v>
      </c>
      <c r="AI18" s="8"/>
      <c r="AN18" s="10">
        <v>12</v>
      </c>
      <c r="AO18" s="8">
        <f t="shared" si="57"/>
        <v>0.56833931702429652</v>
      </c>
      <c r="AP18" s="8">
        <f t="shared" si="58"/>
        <v>0.35463951935914551</v>
      </c>
      <c r="AV18" s="5">
        <f t="shared" si="60"/>
        <v>34035</v>
      </c>
      <c r="AW18" s="5">
        <f t="shared" si="61"/>
        <v>212500</v>
      </c>
    </row>
    <row r="19" spans="1:49" x14ac:dyDescent="0.2">
      <c r="A19" s="5" t="s">
        <v>101</v>
      </c>
      <c r="B19" s="10">
        <v>12</v>
      </c>
      <c r="C19" s="5">
        <v>8013</v>
      </c>
      <c r="D19" s="5">
        <v>19803</v>
      </c>
      <c r="E19" s="5">
        <v>748</v>
      </c>
      <c r="F19" s="5">
        <v>176</v>
      </c>
      <c r="G19" s="5">
        <v>8542</v>
      </c>
      <c r="H19" s="5">
        <v>33372</v>
      </c>
      <c r="I19" s="7">
        <v>222000</v>
      </c>
      <c r="J19" s="7">
        <v>293700</v>
      </c>
      <c r="K19" s="5">
        <v>17063</v>
      </c>
      <c r="L19" s="5">
        <v>66682</v>
      </c>
      <c r="M19" s="7">
        <v>715500</v>
      </c>
      <c r="N19" s="7">
        <v>2619000</v>
      </c>
      <c r="O19" s="8">
        <f t="shared" si="45"/>
        <v>1.0234238206477269</v>
      </c>
      <c r="P19" s="8">
        <f t="shared" si="45"/>
        <v>1.2337888082892767</v>
      </c>
      <c r="Q19" s="8">
        <f t="shared" si="45"/>
        <v>3.9845212001475381</v>
      </c>
      <c r="R19" s="8">
        <f t="shared" si="45"/>
        <v>12.054610359052194</v>
      </c>
      <c r="S19" s="8">
        <f t="shared" si="46"/>
        <v>0.56097687800552165</v>
      </c>
      <c r="T19" s="8">
        <f t="shared" si="46"/>
        <v>0.98288085779120082</v>
      </c>
      <c r="U19" s="8">
        <f t="shared" si="46"/>
        <v>33.106008585774973</v>
      </c>
      <c r="V19" s="8">
        <f t="shared" si="46"/>
        <v>916.72258157506974</v>
      </c>
      <c r="W19" s="8">
        <f t="shared" si="47"/>
        <v>0.14865887267146322</v>
      </c>
      <c r="X19" s="8">
        <f t="shared" si="48"/>
        <v>0.21272000818844936</v>
      </c>
      <c r="Y19" s="8">
        <f t="shared" si="48"/>
        <v>6.2028409247804523</v>
      </c>
      <c r="Z19" s="8">
        <f t="shared" si="48"/>
        <v>149.89466447007311</v>
      </c>
      <c r="AA19" s="8">
        <f t="shared" si="49"/>
        <v>1191.2035467164349</v>
      </c>
      <c r="AB19" s="8">
        <f t="shared" si="50"/>
        <v>4212.4943221558624</v>
      </c>
      <c r="AC19" s="8">
        <f t="shared" si="51"/>
        <v>4639.725011735778</v>
      </c>
      <c r="AD19" s="8">
        <f t="shared" si="52"/>
        <v>26381.460946732866</v>
      </c>
      <c r="AE19" s="8">
        <f t="shared" si="53"/>
        <v>3.2703015673650651E-2</v>
      </c>
      <c r="AF19" s="8">
        <f t="shared" si="54"/>
        <v>0.1156488059680211</v>
      </c>
      <c r="AG19" s="8">
        <f t="shared" si="55"/>
        <v>0.12737789456594359</v>
      </c>
      <c r="AH19" s="8">
        <f t="shared" si="56"/>
        <v>0.72427028379238467</v>
      </c>
      <c r="AI19" s="8"/>
      <c r="AN19" s="10">
        <v>12</v>
      </c>
      <c r="AO19" s="8">
        <f t="shared" si="57"/>
        <v>0.50046489307459285</v>
      </c>
      <c r="AP19" s="8">
        <f t="shared" si="58"/>
        <v>0.31027253668763105</v>
      </c>
      <c r="AV19" s="5">
        <f t="shared" si="60"/>
        <v>33372</v>
      </c>
      <c r="AW19" s="5">
        <f t="shared" si="61"/>
        <v>222000</v>
      </c>
    </row>
    <row r="20" spans="1:49" x14ac:dyDescent="0.2">
      <c r="A20" s="5" t="s">
        <v>102</v>
      </c>
      <c r="B20" s="10">
        <v>20</v>
      </c>
      <c r="C20" s="5">
        <v>7339</v>
      </c>
      <c r="D20" s="5">
        <v>7371</v>
      </c>
      <c r="E20" s="5">
        <v>328</v>
      </c>
      <c r="F20" s="5">
        <v>90</v>
      </c>
      <c r="G20" s="5">
        <v>9384</v>
      </c>
      <c r="H20" s="5">
        <v>28245</v>
      </c>
      <c r="I20" s="7">
        <v>217100</v>
      </c>
      <c r="J20" s="7">
        <v>288200</v>
      </c>
      <c r="K20" s="5">
        <v>22808</v>
      </c>
      <c r="L20" s="5">
        <v>40868</v>
      </c>
      <c r="M20" s="7">
        <v>560000</v>
      </c>
      <c r="N20" s="7">
        <v>2469000</v>
      </c>
      <c r="O20" s="8">
        <f t="shared" ref="O20:O31" si="62">(224333+K20)/235871</f>
        <v>1.0477803545158157</v>
      </c>
      <c r="P20" s="8">
        <f t="shared" ref="P20:P31" si="63">(224333+L20)/235871</f>
        <v>1.1243476306964399</v>
      </c>
      <c r="Q20" s="8">
        <f t="shared" ref="Q20:Q31" si="64">(224333+M20)/235871</f>
        <v>3.3252625375735043</v>
      </c>
      <c r="R20" s="8">
        <f t="shared" ref="R20:R31" si="65">(224333+N20)/235871</f>
        <v>11.418669526987209</v>
      </c>
      <c r="S20" s="8">
        <f t="shared" ref="S20:S31" si="66">4/3*3.14*((O20/2)^3)</f>
        <v>0.60198982629000131</v>
      </c>
      <c r="T20" s="8">
        <f t="shared" ref="T20:T31" si="67">4/3*3.14*((P20/2)^3)</f>
        <v>0.74384119210274491</v>
      </c>
      <c r="U20" s="8">
        <f t="shared" ref="U20:U31" si="68">4/3*3.14*((Q20/2)^3)</f>
        <v>19.242266113532523</v>
      </c>
      <c r="V20" s="8">
        <f t="shared" ref="V20:V31" si="69">4/3*3.14*((R20/2)^3)</f>
        <v>779.15687978733092</v>
      </c>
      <c r="W20" s="8">
        <f t="shared" ref="W20:W31" si="70">(S20*265)/1000</f>
        <v>0.15952730396685036</v>
      </c>
      <c r="X20" s="8">
        <f t="shared" ref="X20:X31" si="71">(10^(-0.665+LOG(T20, 10)*0.959))</f>
        <v>0.16283566632398744</v>
      </c>
      <c r="Y20" s="8">
        <f t="shared" ref="Y20:Y31" si="72">(10^(-0.665+LOG(U20, 10)*0.959))</f>
        <v>3.6863936695114488</v>
      </c>
      <c r="Z20" s="8">
        <f t="shared" ref="Z20:Z31" si="73">(10^(-0.665+LOG(V20, 10)*0.959))</f>
        <v>128.25322321217394</v>
      </c>
      <c r="AA20" s="8">
        <f t="shared" si="49"/>
        <v>1170.7708838127148</v>
      </c>
      <c r="AB20" s="8">
        <f t="shared" si="50"/>
        <v>1200.2616964741114</v>
      </c>
      <c r="AC20" s="8">
        <f t="shared" si="51"/>
        <v>1209.1371235997551</v>
      </c>
      <c r="AD20" s="8">
        <f t="shared" si="52"/>
        <v>11542.790089095653</v>
      </c>
      <c r="AE20" s="8">
        <f t="shared" si="53"/>
        <v>7.741678215371621E-2</v>
      </c>
      <c r="AF20" s="8">
        <f t="shared" si="54"/>
        <v>7.9366850993751195E-2</v>
      </c>
      <c r="AG20" s="8">
        <f t="shared" si="55"/>
        <v>7.9953735257621436E-2</v>
      </c>
      <c r="AH20" s="8">
        <f t="shared" si="56"/>
        <v>0.76326263159491126</v>
      </c>
      <c r="AN20" s="10">
        <v>20</v>
      </c>
      <c r="AO20" s="8">
        <f t="shared" si="57"/>
        <v>0.69112753254379955</v>
      </c>
      <c r="AP20" s="8">
        <f t="shared" si="58"/>
        <v>0.38767857142857143</v>
      </c>
      <c r="AV20" s="5">
        <f t="shared" si="60"/>
        <v>28245</v>
      </c>
      <c r="AW20" s="5">
        <f t="shared" si="61"/>
        <v>217100</v>
      </c>
    </row>
    <row r="21" spans="1:49" x14ac:dyDescent="0.2">
      <c r="A21" s="5" t="s">
        <v>103</v>
      </c>
      <c r="B21" s="10">
        <v>20</v>
      </c>
      <c r="C21" s="5">
        <v>20260</v>
      </c>
      <c r="D21" s="5">
        <v>21281</v>
      </c>
      <c r="E21" s="5">
        <v>1021</v>
      </c>
      <c r="F21" s="5">
        <v>151</v>
      </c>
      <c r="G21" s="5">
        <v>10161</v>
      </c>
      <c r="H21" s="5">
        <v>30092</v>
      </c>
      <c r="I21" s="7">
        <v>217400</v>
      </c>
      <c r="J21" s="7">
        <v>296000</v>
      </c>
      <c r="K21" s="5">
        <v>12084</v>
      </c>
      <c r="L21" s="5">
        <v>41635</v>
      </c>
      <c r="M21" s="7">
        <v>604800</v>
      </c>
      <c r="N21" s="7">
        <v>2697000</v>
      </c>
      <c r="O21" s="8">
        <f t="shared" si="62"/>
        <v>1.0023148246287166</v>
      </c>
      <c r="P21" s="8">
        <f t="shared" si="63"/>
        <v>1.1275994081510656</v>
      </c>
      <c r="Q21" s="8">
        <f t="shared" si="64"/>
        <v>3.5151968660835795</v>
      </c>
      <c r="R21" s="8">
        <f t="shared" si="65"/>
        <v>12.385299591725985</v>
      </c>
      <c r="S21" s="8">
        <f t="shared" si="66"/>
        <v>0.52697602720024017</v>
      </c>
      <c r="T21" s="8">
        <f t="shared" si="67"/>
        <v>0.75031376758428092</v>
      </c>
      <c r="U21" s="8">
        <f t="shared" si="68"/>
        <v>22.731461271668255</v>
      </c>
      <c r="V21" s="8">
        <f t="shared" si="69"/>
        <v>994.2553731459634</v>
      </c>
      <c r="W21" s="8">
        <f t="shared" si="70"/>
        <v>0.13964864720806364</v>
      </c>
      <c r="X21" s="8">
        <f t="shared" si="71"/>
        <v>0.16419425439651919</v>
      </c>
      <c r="Y21" s="8">
        <f t="shared" si="72"/>
        <v>4.3251944128013768</v>
      </c>
      <c r="Z21" s="8">
        <f t="shared" si="73"/>
        <v>162.03190233401429</v>
      </c>
      <c r="AA21" s="8">
        <f t="shared" si="49"/>
        <v>2829.2815924353695</v>
      </c>
      <c r="AB21" s="8">
        <f t="shared" si="50"/>
        <v>3494.2179278123249</v>
      </c>
      <c r="AC21" s="8">
        <f t="shared" si="51"/>
        <v>4416.0234954702055</v>
      </c>
      <c r="AD21" s="8">
        <f t="shared" si="52"/>
        <v>24466.817252436158</v>
      </c>
      <c r="AE21" s="8">
        <f t="shared" si="53"/>
        <v>8.0362842910843529E-2</v>
      </c>
      <c r="AF21" s="8">
        <f t="shared" si="54"/>
        <v>9.9249677790935409E-2</v>
      </c>
      <c r="AG21" s="8">
        <f t="shared" si="55"/>
        <v>0.12543261985866577</v>
      </c>
      <c r="AH21" s="8">
        <f t="shared" si="56"/>
        <v>0.69495485943955526</v>
      </c>
      <c r="AN21" s="10">
        <v>20</v>
      </c>
      <c r="AO21" s="8">
        <f t="shared" si="57"/>
        <v>0.72275729554461388</v>
      </c>
      <c r="AP21" s="8">
        <f t="shared" si="58"/>
        <v>0.35945767195767198</v>
      </c>
      <c r="AV21" s="5">
        <f t="shared" si="60"/>
        <v>30092</v>
      </c>
      <c r="AW21" s="5">
        <f t="shared" si="61"/>
        <v>217400</v>
      </c>
    </row>
    <row r="22" spans="1:49" x14ac:dyDescent="0.2">
      <c r="A22" s="5" t="s">
        <v>104</v>
      </c>
      <c r="B22" s="10">
        <v>20</v>
      </c>
      <c r="C22" s="5">
        <v>22431</v>
      </c>
      <c r="D22" s="5">
        <v>19667</v>
      </c>
      <c r="E22" s="5">
        <v>1097</v>
      </c>
      <c r="F22" s="5">
        <v>173</v>
      </c>
      <c r="G22" s="5">
        <v>9206</v>
      </c>
      <c r="H22" s="5">
        <v>28386</v>
      </c>
      <c r="I22" s="7">
        <v>202600</v>
      </c>
      <c r="J22" s="7">
        <v>293500</v>
      </c>
      <c r="K22" s="5">
        <v>8860</v>
      </c>
      <c r="L22" s="5">
        <v>44129</v>
      </c>
      <c r="M22" s="7">
        <v>529100</v>
      </c>
      <c r="N22" s="7">
        <v>2119000</v>
      </c>
      <c r="O22" s="8">
        <f t="shared" si="62"/>
        <v>0.98864633634486643</v>
      </c>
      <c r="P22" s="8">
        <f t="shared" si="63"/>
        <v>1.1381729843855328</v>
      </c>
      <c r="Q22" s="8">
        <f t="shared" si="64"/>
        <v>3.1942587261681172</v>
      </c>
      <c r="R22" s="8">
        <f t="shared" si="65"/>
        <v>9.9348075855022451</v>
      </c>
      <c r="S22" s="8">
        <f t="shared" si="66"/>
        <v>0.50570969738445415</v>
      </c>
      <c r="T22" s="8">
        <f t="shared" si="67"/>
        <v>0.77161953963254459</v>
      </c>
      <c r="U22" s="8">
        <f t="shared" si="68"/>
        <v>17.056450858707422</v>
      </c>
      <c r="V22" s="8">
        <f t="shared" si="69"/>
        <v>513.16470505590996</v>
      </c>
      <c r="W22" s="8">
        <f t="shared" si="70"/>
        <v>0.13401306980688032</v>
      </c>
      <c r="X22" s="8">
        <f t="shared" si="71"/>
        <v>0.16866294717605254</v>
      </c>
      <c r="Y22" s="8">
        <f t="shared" si="72"/>
        <v>3.2838342786930355</v>
      </c>
      <c r="Z22" s="8">
        <f t="shared" si="73"/>
        <v>85.928306066658351</v>
      </c>
      <c r="AA22" s="8">
        <f t="shared" si="49"/>
        <v>3006.0471688381326</v>
      </c>
      <c r="AB22" s="8">
        <f t="shared" si="50"/>
        <v>3317.0941821114252</v>
      </c>
      <c r="AC22" s="8">
        <f t="shared" si="51"/>
        <v>3602.3662037262598</v>
      </c>
      <c r="AD22" s="8">
        <f t="shared" si="52"/>
        <v>14865.596949531895</v>
      </c>
      <c r="AE22" s="8">
        <f t="shared" si="53"/>
        <v>0.12125507229126987</v>
      </c>
      <c r="AF22" s="8">
        <f t="shared" si="54"/>
        <v>0.13380179094273212</v>
      </c>
      <c r="AG22" s="8">
        <f t="shared" si="55"/>
        <v>0.14530882248972982</v>
      </c>
      <c r="AH22" s="8">
        <f t="shared" si="56"/>
        <v>0.59963431427626812</v>
      </c>
      <c r="AN22" s="10">
        <v>20</v>
      </c>
      <c r="AO22" s="8">
        <f t="shared" si="57"/>
        <v>0.64325047021233206</v>
      </c>
      <c r="AP22" s="8">
        <f t="shared" si="58"/>
        <v>0.3829143829143829</v>
      </c>
      <c r="AV22" s="5">
        <f t="shared" si="60"/>
        <v>28386</v>
      </c>
      <c r="AW22" s="5">
        <f t="shared" si="61"/>
        <v>202600</v>
      </c>
    </row>
    <row r="23" spans="1:49" x14ac:dyDescent="0.2">
      <c r="A23" s="5" t="s">
        <v>105</v>
      </c>
      <c r="B23" s="10">
        <v>30</v>
      </c>
      <c r="C23" s="5">
        <v>8890</v>
      </c>
      <c r="D23" s="5">
        <v>4047</v>
      </c>
      <c r="E23" s="5">
        <v>372</v>
      </c>
      <c r="F23" s="5">
        <v>50</v>
      </c>
      <c r="G23" s="5">
        <v>13012</v>
      </c>
      <c r="H23" s="5">
        <v>37402</v>
      </c>
      <c r="I23" s="7">
        <v>234900</v>
      </c>
      <c r="J23" s="7">
        <v>297600</v>
      </c>
      <c r="K23" s="5">
        <v>8239</v>
      </c>
      <c r="L23" s="5">
        <v>39523</v>
      </c>
      <c r="M23" s="7">
        <v>464100</v>
      </c>
      <c r="N23" s="7">
        <v>3002000</v>
      </c>
      <c r="O23" s="8">
        <f t="shared" si="62"/>
        <v>0.98601354130011742</v>
      </c>
      <c r="P23" s="8">
        <f t="shared" si="63"/>
        <v>1.1186453612355907</v>
      </c>
      <c r="Q23" s="8">
        <f t="shared" si="64"/>
        <v>2.9186843656066239</v>
      </c>
      <c r="R23" s="8">
        <f t="shared" si="65"/>
        <v>13.678379283591454</v>
      </c>
      <c r="S23" s="8">
        <f t="shared" si="66"/>
        <v>0.50168028632308348</v>
      </c>
      <c r="T23" s="8">
        <f t="shared" si="67"/>
        <v>0.73258104235788701</v>
      </c>
      <c r="U23" s="8">
        <f t="shared" si="68"/>
        <v>13.011872315857445</v>
      </c>
      <c r="V23" s="8">
        <f t="shared" si="69"/>
        <v>1339.3137380227386</v>
      </c>
      <c r="W23" s="8">
        <f t="shared" si="70"/>
        <v>0.13294527587561711</v>
      </c>
      <c r="X23" s="8">
        <f t="shared" si="71"/>
        <v>0.16047101261761151</v>
      </c>
      <c r="Y23" s="8">
        <f t="shared" si="72"/>
        <v>2.5330972383585957</v>
      </c>
      <c r="Z23" s="8">
        <f t="shared" si="73"/>
        <v>215.61558465184461</v>
      </c>
      <c r="AA23" s="8">
        <f t="shared" si="49"/>
        <v>1181.8835025342362</v>
      </c>
      <c r="AB23" s="8">
        <f t="shared" si="50"/>
        <v>649.42618806347377</v>
      </c>
      <c r="AC23" s="8">
        <f t="shared" si="51"/>
        <v>942.31217266939757</v>
      </c>
      <c r="AD23" s="8">
        <f t="shared" si="52"/>
        <v>10780.779232592231</v>
      </c>
      <c r="AE23" s="8">
        <f t="shared" si="53"/>
        <v>8.7195553250617869E-2</v>
      </c>
      <c r="AF23" s="8">
        <f t="shared" si="54"/>
        <v>4.7912569760228174E-2</v>
      </c>
      <c r="AG23" s="8">
        <f t="shared" si="55"/>
        <v>6.9520753149119915E-2</v>
      </c>
      <c r="AH23" s="8">
        <f t="shared" si="56"/>
        <v>0.79537112384003406</v>
      </c>
      <c r="AN23" s="10">
        <v>30</v>
      </c>
      <c r="AO23" s="8">
        <f t="shared" si="57"/>
        <v>0.94633504541659286</v>
      </c>
      <c r="AP23" s="8">
        <f t="shared" si="58"/>
        <v>0.50614091790562377</v>
      </c>
      <c r="AV23" s="5">
        <f t="shared" si="60"/>
        <v>37402</v>
      </c>
      <c r="AW23" s="5">
        <f t="shared" si="61"/>
        <v>234900</v>
      </c>
    </row>
    <row r="24" spans="1:49" x14ac:dyDescent="0.2">
      <c r="A24" s="5" t="s">
        <v>106</v>
      </c>
      <c r="B24" s="10">
        <v>30</v>
      </c>
      <c r="C24" s="5">
        <v>28417</v>
      </c>
      <c r="D24" s="5">
        <v>13231</v>
      </c>
      <c r="E24" s="5">
        <v>1311</v>
      </c>
      <c r="F24" s="5">
        <v>171</v>
      </c>
      <c r="G24" s="5">
        <v>14138</v>
      </c>
      <c r="H24" s="5">
        <v>37358</v>
      </c>
      <c r="I24" s="7">
        <v>233700</v>
      </c>
      <c r="J24" s="7">
        <v>294200</v>
      </c>
      <c r="K24" s="5">
        <v>6841</v>
      </c>
      <c r="L24" s="5">
        <v>36136</v>
      </c>
      <c r="M24" s="7">
        <v>440000</v>
      </c>
      <c r="N24" s="7">
        <v>2239000</v>
      </c>
      <c r="O24" s="8">
        <f t="shared" si="62"/>
        <v>0.98008657274527178</v>
      </c>
      <c r="P24" s="8">
        <f t="shared" si="63"/>
        <v>1.1042858172475634</v>
      </c>
      <c r="Q24" s="8">
        <f t="shared" si="64"/>
        <v>2.8165098719215163</v>
      </c>
      <c r="R24" s="8">
        <f t="shared" si="65"/>
        <v>10.443560251154233</v>
      </c>
      <c r="S24" s="8">
        <f t="shared" si="66"/>
        <v>0.49268769500792503</v>
      </c>
      <c r="T24" s="8">
        <f t="shared" si="67"/>
        <v>0.70473019682247828</v>
      </c>
      <c r="U24" s="8">
        <f t="shared" si="68"/>
        <v>11.69263064347007</v>
      </c>
      <c r="V24" s="8">
        <f t="shared" si="69"/>
        <v>596.10687074999123</v>
      </c>
      <c r="W24" s="8">
        <f t="shared" si="70"/>
        <v>0.13056223917710014</v>
      </c>
      <c r="X24" s="8">
        <f t="shared" si="71"/>
        <v>0.15461582523836126</v>
      </c>
      <c r="Y24" s="8">
        <f t="shared" si="72"/>
        <v>2.2862716420319238</v>
      </c>
      <c r="Z24" s="8">
        <f t="shared" si="73"/>
        <v>99.205520103869205</v>
      </c>
      <c r="AA24" s="8">
        <f t="shared" si="49"/>
        <v>3710.1871506956545</v>
      </c>
      <c r="AB24" s="8">
        <f t="shared" si="50"/>
        <v>2045.7219837287578</v>
      </c>
      <c r="AC24" s="8">
        <f t="shared" si="51"/>
        <v>2997.3021227038521</v>
      </c>
      <c r="AD24" s="8">
        <f t="shared" si="52"/>
        <v>16964.143937761633</v>
      </c>
      <c r="AE24" s="8">
        <f t="shared" si="53"/>
        <v>0.14426783479791414</v>
      </c>
      <c r="AF24" s="8">
        <f t="shared" si="54"/>
        <v>7.9546359578034992E-2</v>
      </c>
      <c r="AG24" s="8">
        <f t="shared" si="55"/>
        <v>0.11654783705361053</v>
      </c>
      <c r="AH24" s="8">
        <f t="shared" si="56"/>
        <v>0.65963796857044044</v>
      </c>
      <c r="AN24" s="10">
        <v>30</v>
      </c>
      <c r="AO24" s="8">
        <f t="shared" si="57"/>
        <v>1.0338166924950187</v>
      </c>
      <c r="AP24" s="8">
        <f t="shared" si="58"/>
        <v>0.53113636363636363</v>
      </c>
      <c r="AV24" s="5">
        <f t="shared" si="60"/>
        <v>37358</v>
      </c>
      <c r="AW24" s="5">
        <f t="shared" si="61"/>
        <v>233700</v>
      </c>
    </row>
    <row r="25" spans="1:49" x14ac:dyDescent="0.2">
      <c r="A25" s="5" t="s">
        <v>107</v>
      </c>
      <c r="B25" s="10">
        <v>30</v>
      </c>
      <c r="C25" s="5">
        <v>29835</v>
      </c>
      <c r="D25" s="5">
        <v>9917</v>
      </c>
      <c r="E25" s="5">
        <v>1297</v>
      </c>
      <c r="F25" s="5">
        <v>166</v>
      </c>
      <c r="G25" s="5">
        <v>13015</v>
      </c>
      <c r="H25" s="5">
        <v>40156</v>
      </c>
      <c r="I25" s="7">
        <v>231200</v>
      </c>
      <c r="J25" s="7">
        <v>293900</v>
      </c>
      <c r="K25" s="5">
        <v>6467</v>
      </c>
      <c r="L25" s="5">
        <v>48119</v>
      </c>
      <c r="M25" s="7">
        <v>419300</v>
      </c>
      <c r="N25" s="7">
        <v>2172000</v>
      </c>
      <c r="O25" s="8">
        <f t="shared" si="62"/>
        <v>0.97850096027065647</v>
      </c>
      <c r="P25" s="8">
        <f t="shared" si="63"/>
        <v>1.1550890105184615</v>
      </c>
      <c r="Q25" s="8">
        <f t="shared" si="64"/>
        <v>2.7287500370965487</v>
      </c>
      <c r="R25" s="8">
        <f t="shared" si="65"/>
        <v>10.15950667949854</v>
      </c>
      <c r="S25" s="8">
        <f t="shared" si="66"/>
        <v>0.49030030824579152</v>
      </c>
      <c r="T25" s="8">
        <f t="shared" si="67"/>
        <v>0.80653785096062791</v>
      </c>
      <c r="U25" s="8">
        <f t="shared" si="68"/>
        <v>10.633339043430396</v>
      </c>
      <c r="V25" s="8">
        <f t="shared" si="69"/>
        <v>548.77745120010331</v>
      </c>
      <c r="W25" s="8">
        <f t="shared" si="70"/>
        <v>0.12992958168513477</v>
      </c>
      <c r="X25" s="8">
        <f t="shared" si="71"/>
        <v>0.17597587723049329</v>
      </c>
      <c r="Y25" s="8">
        <f t="shared" si="72"/>
        <v>2.0872583419330484</v>
      </c>
      <c r="Z25" s="8">
        <f t="shared" si="73"/>
        <v>91.639141444036241</v>
      </c>
      <c r="AA25" s="8">
        <f t="shared" si="49"/>
        <v>3876.449069575996</v>
      </c>
      <c r="AB25" s="8">
        <f t="shared" si="50"/>
        <v>1745.1527744948021</v>
      </c>
      <c r="AC25" s="8">
        <f t="shared" si="51"/>
        <v>2707.1740694871637</v>
      </c>
      <c r="AD25" s="8">
        <f t="shared" si="52"/>
        <v>15212.097479710015</v>
      </c>
      <c r="AE25" s="8">
        <f t="shared" si="53"/>
        <v>0.16466887208545758</v>
      </c>
      <c r="AF25" s="8">
        <f t="shared" si="54"/>
        <v>7.4132881365135184E-2</v>
      </c>
      <c r="AG25" s="8">
        <f t="shared" si="55"/>
        <v>0.11499887978928339</v>
      </c>
      <c r="AH25" s="8">
        <f t="shared" si="56"/>
        <v>0.64619936676012391</v>
      </c>
      <c r="AN25" s="10">
        <v>30</v>
      </c>
      <c r="AO25" s="8">
        <f t="shared" si="57"/>
        <v>0.83451443296826622</v>
      </c>
      <c r="AP25" s="8">
        <f t="shared" si="58"/>
        <v>0.55139518244693542</v>
      </c>
      <c r="AV25" s="5">
        <f t="shared" si="60"/>
        <v>40156</v>
      </c>
      <c r="AW25" s="5">
        <f t="shared" si="61"/>
        <v>231200</v>
      </c>
    </row>
    <row r="26" spans="1:49" x14ac:dyDescent="0.2">
      <c r="A26" s="5" t="s">
        <v>108</v>
      </c>
      <c r="B26" s="10">
        <v>40</v>
      </c>
      <c r="C26" s="5">
        <v>7035</v>
      </c>
      <c r="D26" s="5">
        <v>2657</v>
      </c>
      <c r="E26" s="5">
        <v>325</v>
      </c>
      <c r="F26" s="5">
        <v>49</v>
      </c>
      <c r="G26" s="5">
        <v>17361</v>
      </c>
      <c r="H26" s="5">
        <v>54778</v>
      </c>
      <c r="I26" s="7">
        <v>268800</v>
      </c>
      <c r="J26" s="7">
        <v>288800</v>
      </c>
      <c r="K26" s="5">
        <v>15927</v>
      </c>
      <c r="L26" s="5">
        <v>46602</v>
      </c>
      <c r="M26" s="7">
        <v>475500</v>
      </c>
      <c r="N26" s="7">
        <v>1669000</v>
      </c>
      <c r="O26" s="8">
        <f t="shared" si="62"/>
        <v>1.0186076287462213</v>
      </c>
      <c r="P26" s="8">
        <f t="shared" si="63"/>
        <v>1.1486575289035108</v>
      </c>
      <c r="Q26" s="8">
        <f t="shared" si="64"/>
        <v>2.9670158688435628</v>
      </c>
      <c r="R26" s="8">
        <f t="shared" si="65"/>
        <v>8.0269850893072903</v>
      </c>
      <c r="S26" s="8">
        <f t="shared" si="66"/>
        <v>0.55309428502551383</v>
      </c>
      <c r="T26" s="8">
        <f t="shared" si="67"/>
        <v>0.79314042969156007</v>
      </c>
      <c r="U26" s="8">
        <f t="shared" si="68"/>
        <v>13.669039705045297</v>
      </c>
      <c r="V26" s="8">
        <f t="shared" si="69"/>
        <v>270.66728485374114</v>
      </c>
      <c r="W26" s="8">
        <f t="shared" si="70"/>
        <v>0.14656998553176118</v>
      </c>
      <c r="X26" s="8">
        <f t="shared" si="71"/>
        <v>0.17317162593828508</v>
      </c>
      <c r="Y26" s="8">
        <f t="shared" si="72"/>
        <v>2.6556616791960357</v>
      </c>
      <c r="Z26" s="8">
        <f t="shared" si="73"/>
        <v>46.527090988016582</v>
      </c>
      <c r="AA26" s="8">
        <f t="shared" si="49"/>
        <v>1031.1198482159398</v>
      </c>
      <c r="AB26" s="8">
        <f t="shared" si="50"/>
        <v>460.11701011802347</v>
      </c>
      <c r="AC26" s="8">
        <f t="shared" si="51"/>
        <v>863.09004573871164</v>
      </c>
      <c r="AD26" s="8">
        <f t="shared" si="52"/>
        <v>2279.8274584128126</v>
      </c>
      <c r="AE26" s="8">
        <f t="shared" si="53"/>
        <v>0.22250442422960373</v>
      </c>
      <c r="AF26" s="8">
        <f t="shared" si="54"/>
        <v>9.9288235593266647E-2</v>
      </c>
      <c r="AG26" s="8">
        <f t="shared" si="55"/>
        <v>0.18624542434874805</v>
      </c>
      <c r="AH26" s="8">
        <f t="shared" si="56"/>
        <v>0.49196191582838156</v>
      </c>
      <c r="AN26" s="10">
        <v>40</v>
      </c>
      <c r="AO26" s="8">
        <f t="shared" si="57"/>
        <v>1.1754431140294408</v>
      </c>
      <c r="AP26" s="8">
        <f t="shared" si="58"/>
        <v>0.56529968454258672</v>
      </c>
      <c r="AV26" s="5">
        <f t="shared" si="60"/>
        <v>54778</v>
      </c>
      <c r="AW26" s="5">
        <f t="shared" si="61"/>
        <v>268800</v>
      </c>
    </row>
    <row r="27" spans="1:49" x14ac:dyDescent="0.2">
      <c r="A27" s="5" t="s">
        <v>109</v>
      </c>
      <c r="B27" s="10">
        <v>40</v>
      </c>
      <c r="C27" s="5">
        <v>26840</v>
      </c>
      <c r="D27" s="5">
        <v>8476</v>
      </c>
      <c r="E27" s="5">
        <v>1014</v>
      </c>
      <c r="F27" s="5">
        <v>97</v>
      </c>
      <c r="G27" s="5">
        <v>19993</v>
      </c>
      <c r="H27" s="5">
        <v>54750</v>
      </c>
      <c r="I27" s="7">
        <v>267800</v>
      </c>
      <c r="J27" s="7">
        <v>290400</v>
      </c>
      <c r="K27" s="5">
        <v>6523</v>
      </c>
      <c r="L27" s="5">
        <v>41741</v>
      </c>
      <c r="M27" s="7">
        <v>388100</v>
      </c>
      <c r="N27" s="7">
        <v>1570000</v>
      </c>
      <c r="O27" s="8">
        <f t="shared" si="62"/>
        <v>0.97873837818129406</v>
      </c>
      <c r="P27" s="8">
        <f t="shared" si="63"/>
        <v>1.1280488063390581</v>
      </c>
      <c r="Q27" s="8">
        <f t="shared" si="64"/>
        <v>2.5964743440270319</v>
      </c>
      <c r="R27" s="8">
        <f t="shared" si="65"/>
        <v>7.6072641401444008</v>
      </c>
      <c r="S27" s="8">
        <f t="shared" si="66"/>
        <v>0.49065728588573904</v>
      </c>
      <c r="T27" s="8">
        <f t="shared" si="67"/>
        <v>0.7512112247343099</v>
      </c>
      <c r="U27" s="8">
        <f t="shared" si="68"/>
        <v>9.1607388920400528</v>
      </c>
      <c r="V27" s="8">
        <f t="shared" si="69"/>
        <v>230.39013863205477</v>
      </c>
      <c r="W27" s="8">
        <f t="shared" si="70"/>
        <v>0.13002418075972086</v>
      </c>
      <c r="X27" s="8">
        <f t="shared" si="71"/>
        <v>0.16438259186337517</v>
      </c>
      <c r="Y27" s="8">
        <f t="shared" si="72"/>
        <v>1.8092198915025099</v>
      </c>
      <c r="Z27" s="8">
        <f t="shared" si="73"/>
        <v>39.866018756477608</v>
      </c>
      <c r="AA27" s="8">
        <f t="shared" si="49"/>
        <v>3489.849011590908</v>
      </c>
      <c r="AB27" s="8">
        <f t="shared" si="50"/>
        <v>1393.306848633968</v>
      </c>
      <c r="AC27" s="8">
        <f t="shared" si="51"/>
        <v>1834.548969983545</v>
      </c>
      <c r="AD27" s="8">
        <f t="shared" si="52"/>
        <v>3867.003819378328</v>
      </c>
      <c r="AE27" s="8">
        <f t="shared" si="53"/>
        <v>0.32970666714828845</v>
      </c>
      <c r="AF27" s="8">
        <f t="shared" si="54"/>
        <v>0.1316339348356429</v>
      </c>
      <c r="AG27" s="8">
        <f t="shared" si="55"/>
        <v>0.17332068654106694</v>
      </c>
      <c r="AH27" s="8">
        <f t="shared" si="56"/>
        <v>0.36533871147500163</v>
      </c>
      <c r="AN27" s="10">
        <v>40</v>
      </c>
      <c r="AO27" s="8">
        <f t="shared" si="57"/>
        <v>1.3116599985625643</v>
      </c>
      <c r="AP27" s="8">
        <f t="shared" si="58"/>
        <v>0.69002834321051276</v>
      </c>
      <c r="AV27" s="5">
        <f t="shared" si="60"/>
        <v>54750</v>
      </c>
      <c r="AW27" s="5">
        <f t="shared" si="61"/>
        <v>267800</v>
      </c>
    </row>
    <row r="28" spans="1:49" x14ac:dyDescent="0.2">
      <c r="A28" s="5" t="s">
        <v>110</v>
      </c>
      <c r="B28" s="10">
        <v>40</v>
      </c>
      <c r="C28" s="5">
        <v>27934</v>
      </c>
      <c r="D28" s="5">
        <v>7558</v>
      </c>
      <c r="E28" s="5">
        <v>1032</v>
      </c>
      <c r="F28" s="5">
        <v>114</v>
      </c>
      <c r="G28" s="5">
        <v>18193</v>
      </c>
      <c r="H28" s="5">
        <v>54445</v>
      </c>
      <c r="I28" s="7">
        <v>269600</v>
      </c>
      <c r="J28" s="7">
        <v>290400</v>
      </c>
      <c r="K28" s="5">
        <v>4960</v>
      </c>
      <c r="L28" s="5">
        <v>49053</v>
      </c>
      <c r="M28" s="7">
        <v>471800</v>
      </c>
      <c r="N28" s="7">
        <v>2654000</v>
      </c>
      <c r="O28" s="8">
        <f t="shared" si="62"/>
        <v>0.97211187471117688</v>
      </c>
      <c r="P28" s="8">
        <f t="shared" si="63"/>
        <v>1.1590488020994527</v>
      </c>
      <c r="Q28" s="8">
        <f t="shared" si="64"/>
        <v>2.951329328319293</v>
      </c>
      <c r="R28" s="8">
        <f t="shared" si="65"/>
        <v>12.202996553200689</v>
      </c>
      <c r="S28" s="8">
        <f t="shared" si="66"/>
        <v>0.48075868919686016</v>
      </c>
      <c r="T28" s="8">
        <f t="shared" si="67"/>
        <v>0.81486106092184596</v>
      </c>
      <c r="U28" s="8">
        <f t="shared" si="68"/>
        <v>13.453380282077031</v>
      </c>
      <c r="V28" s="8">
        <f t="shared" si="69"/>
        <v>950.99418962692891</v>
      </c>
      <c r="W28" s="8">
        <f t="shared" si="70"/>
        <v>0.12740105263716794</v>
      </c>
      <c r="X28" s="8">
        <f t="shared" si="71"/>
        <v>0.17771706770944656</v>
      </c>
      <c r="Y28" s="8">
        <f t="shared" si="72"/>
        <v>2.6154675147259803</v>
      </c>
      <c r="Z28" s="8">
        <f t="shared" si="73"/>
        <v>155.26464372424516</v>
      </c>
      <c r="AA28" s="8">
        <f t="shared" si="49"/>
        <v>3558.8210043666495</v>
      </c>
      <c r="AB28" s="8">
        <f t="shared" si="50"/>
        <v>1343.1855977479972</v>
      </c>
      <c r="AC28" s="8">
        <f t="shared" si="51"/>
        <v>2699.1624751972117</v>
      </c>
      <c r="AD28" s="8">
        <f t="shared" si="52"/>
        <v>17700.169384563949</v>
      </c>
      <c r="AE28" s="8">
        <f t="shared" si="53"/>
        <v>0.14065742054433603</v>
      </c>
      <c r="AF28" s="8">
        <f t="shared" si="54"/>
        <v>5.3087531308745446E-2</v>
      </c>
      <c r="AG28" s="8">
        <f t="shared" si="55"/>
        <v>0.10668062004958055</v>
      </c>
      <c r="AH28" s="8">
        <f t="shared" si="56"/>
        <v>0.69957442809733805</v>
      </c>
      <c r="AN28" s="10">
        <v>40</v>
      </c>
      <c r="AO28" s="8">
        <f t="shared" si="57"/>
        <v>1.1099219211872873</v>
      </c>
      <c r="AP28" s="8">
        <f t="shared" si="58"/>
        <v>0.5714285714285714</v>
      </c>
      <c r="AV28" s="5">
        <f t="shared" si="60"/>
        <v>54445</v>
      </c>
      <c r="AW28" s="5">
        <f t="shared" si="61"/>
        <v>269600</v>
      </c>
    </row>
    <row r="29" spans="1:49" x14ac:dyDescent="0.2">
      <c r="A29" s="5" t="s">
        <v>111</v>
      </c>
      <c r="B29" s="10">
        <v>50</v>
      </c>
      <c r="C29" s="5">
        <v>2024</v>
      </c>
      <c r="D29" s="5">
        <v>945</v>
      </c>
      <c r="E29" s="5">
        <v>149</v>
      </c>
      <c r="F29" s="5">
        <v>21</v>
      </c>
      <c r="G29" s="5">
        <v>21470</v>
      </c>
      <c r="H29" s="5">
        <v>67906</v>
      </c>
      <c r="I29" s="7">
        <v>280400</v>
      </c>
      <c r="J29" s="7">
        <v>293700</v>
      </c>
      <c r="K29" s="5">
        <v>14812</v>
      </c>
      <c r="L29" s="5">
        <v>51662</v>
      </c>
      <c r="M29" s="7">
        <v>602600</v>
      </c>
      <c r="N29" s="7">
        <v>1331000</v>
      </c>
      <c r="O29" s="8">
        <f t="shared" si="62"/>
        <v>1.0138804685612051</v>
      </c>
      <c r="P29" s="8">
        <f t="shared" si="63"/>
        <v>1.1701099329718363</v>
      </c>
      <c r="Q29" s="8">
        <f t="shared" si="64"/>
        <v>3.5058697338799596</v>
      </c>
      <c r="R29" s="8">
        <f t="shared" si="65"/>
        <v>6.5939984143875252</v>
      </c>
      <c r="S29" s="8">
        <f t="shared" si="66"/>
        <v>0.54542955636177026</v>
      </c>
      <c r="T29" s="8">
        <f t="shared" si="67"/>
        <v>0.83841375717498656</v>
      </c>
      <c r="U29" s="8">
        <f t="shared" si="68"/>
        <v>22.550995752847182</v>
      </c>
      <c r="V29" s="8">
        <f t="shared" si="69"/>
        <v>150.04616947728914</v>
      </c>
      <c r="W29" s="8">
        <f t="shared" si="70"/>
        <v>0.14453883243586912</v>
      </c>
      <c r="X29" s="8">
        <f t="shared" si="71"/>
        <v>0.18264029570147139</v>
      </c>
      <c r="Y29" s="8">
        <f t="shared" si="72"/>
        <v>4.2922590849348783</v>
      </c>
      <c r="Z29" s="8">
        <f t="shared" si="73"/>
        <v>26.424068796269157</v>
      </c>
      <c r="AA29" s="8">
        <f t="shared" si="49"/>
        <v>292.54659685019908</v>
      </c>
      <c r="AB29" s="8">
        <f t="shared" si="50"/>
        <v>172.59507943789046</v>
      </c>
      <c r="AC29" s="8">
        <f t="shared" si="51"/>
        <v>639.54660365529685</v>
      </c>
      <c r="AD29" s="8">
        <f t="shared" si="52"/>
        <v>554.90544472165232</v>
      </c>
      <c r="AE29" s="8">
        <f t="shared" si="53"/>
        <v>0.17627603220134175</v>
      </c>
      <c r="AF29" s="8">
        <f t="shared" si="54"/>
        <v>0.10399839242144995</v>
      </c>
      <c r="AG29" s="8">
        <f t="shared" si="55"/>
        <v>0.38536335378369707</v>
      </c>
      <c r="AH29" s="8">
        <f t="shared" si="56"/>
        <v>0.3343622215935112</v>
      </c>
      <c r="AN29" s="10">
        <v>50</v>
      </c>
      <c r="AO29" s="8">
        <f t="shared" si="57"/>
        <v>1.3144283999845148</v>
      </c>
      <c r="AP29" s="8">
        <f t="shared" si="58"/>
        <v>0.46531695984069033</v>
      </c>
      <c r="AV29" s="5">
        <f t="shared" si="60"/>
        <v>67906</v>
      </c>
      <c r="AW29" s="5">
        <f t="shared" si="61"/>
        <v>280400</v>
      </c>
    </row>
    <row r="30" spans="1:49" x14ac:dyDescent="0.2">
      <c r="A30" s="5" t="s">
        <v>112</v>
      </c>
      <c r="B30" s="10">
        <v>50</v>
      </c>
      <c r="C30" s="5">
        <v>5883</v>
      </c>
      <c r="D30" s="5">
        <v>2617</v>
      </c>
      <c r="E30" s="5">
        <v>509</v>
      </c>
      <c r="F30" s="5">
        <v>60</v>
      </c>
      <c r="G30" s="5">
        <v>24349</v>
      </c>
      <c r="H30" s="5">
        <v>76215</v>
      </c>
      <c r="I30" s="7">
        <v>269100</v>
      </c>
      <c r="J30" s="7">
        <v>292900</v>
      </c>
      <c r="K30" s="5">
        <v>7916</v>
      </c>
      <c r="L30" s="5">
        <v>55582</v>
      </c>
      <c r="M30" s="7">
        <v>463700</v>
      </c>
      <c r="N30" s="7">
        <v>2603000</v>
      </c>
      <c r="O30" s="8">
        <f t="shared" si="62"/>
        <v>0.98464414870840422</v>
      </c>
      <c r="P30" s="8">
        <f t="shared" si="63"/>
        <v>1.186729186716468</v>
      </c>
      <c r="Q30" s="8">
        <f t="shared" si="64"/>
        <v>2.9169885233877841</v>
      </c>
      <c r="R30" s="8">
        <f t="shared" si="65"/>
        <v>11.986776670298596</v>
      </c>
      <c r="S30" s="8">
        <f t="shared" si="66"/>
        <v>0.49959296125049385</v>
      </c>
      <c r="T30" s="8">
        <f t="shared" si="67"/>
        <v>0.87464792189323759</v>
      </c>
      <c r="U30" s="8">
        <f t="shared" si="68"/>
        <v>12.989204639852012</v>
      </c>
      <c r="V30" s="8">
        <f t="shared" si="69"/>
        <v>901.33376270655094</v>
      </c>
      <c r="W30" s="8">
        <f t="shared" si="70"/>
        <v>0.13239213473138087</v>
      </c>
      <c r="X30" s="8">
        <f t="shared" si="71"/>
        <v>0.19020332496153769</v>
      </c>
      <c r="Y30" s="8">
        <f t="shared" si="72"/>
        <v>2.5288651649616147</v>
      </c>
      <c r="Z30" s="8">
        <f t="shared" si="73"/>
        <v>147.48074684703803</v>
      </c>
      <c r="AA30" s="8">
        <f t="shared" si="49"/>
        <v>778.86292862471362</v>
      </c>
      <c r="AB30" s="8">
        <f t="shared" si="50"/>
        <v>497.76210142434411</v>
      </c>
      <c r="AC30" s="8">
        <f t="shared" si="51"/>
        <v>1287.1923689654618</v>
      </c>
      <c r="AD30" s="8">
        <f t="shared" si="52"/>
        <v>8848.8448108222819</v>
      </c>
      <c r="AE30" s="8">
        <f t="shared" si="53"/>
        <v>6.8245507866989699E-2</v>
      </c>
      <c r="AF30" s="8">
        <f t="shared" si="54"/>
        <v>4.3614898283356969E-2</v>
      </c>
      <c r="AG30" s="8">
        <f t="shared" si="55"/>
        <v>0.11278633725407249</v>
      </c>
      <c r="AH30" s="8">
        <f t="shared" si="56"/>
        <v>0.77535325659558074</v>
      </c>
      <c r="AN30" s="10">
        <v>50</v>
      </c>
      <c r="AO30" s="8">
        <f t="shared" si="57"/>
        <v>1.3712173005649311</v>
      </c>
      <c r="AP30" s="8">
        <f t="shared" si="58"/>
        <v>0.5803321112788441</v>
      </c>
      <c r="AV30" s="5">
        <f t="shared" si="60"/>
        <v>76215</v>
      </c>
      <c r="AW30" s="5">
        <f t="shared" si="61"/>
        <v>269100</v>
      </c>
    </row>
    <row r="31" spans="1:49" x14ac:dyDescent="0.2">
      <c r="A31" s="5" t="s">
        <v>113</v>
      </c>
      <c r="B31" s="10">
        <v>50</v>
      </c>
      <c r="C31" s="5">
        <v>5877</v>
      </c>
      <c r="D31" s="5">
        <v>2494</v>
      </c>
      <c r="E31" s="5">
        <v>486</v>
      </c>
      <c r="F31" s="5">
        <v>50</v>
      </c>
      <c r="G31" s="5">
        <v>24448</v>
      </c>
      <c r="H31" s="5">
        <v>76593</v>
      </c>
      <c r="I31" s="7">
        <v>272100</v>
      </c>
      <c r="J31" s="7">
        <v>284000</v>
      </c>
      <c r="K31" s="5">
        <v>10212</v>
      </c>
      <c r="L31" s="5">
        <v>59468</v>
      </c>
      <c r="M31" s="7">
        <v>468400</v>
      </c>
      <c r="N31" s="7">
        <v>2567000</v>
      </c>
      <c r="O31" s="8">
        <f t="shared" si="62"/>
        <v>0.99437828304454556</v>
      </c>
      <c r="P31" s="8">
        <f t="shared" si="63"/>
        <v>1.2032042938724981</v>
      </c>
      <c r="Q31" s="8">
        <f t="shared" si="64"/>
        <v>2.9369146694591537</v>
      </c>
      <c r="R31" s="8">
        <f t="shared" si="65"/>
        <v>11.834150870602999</v>
      </c>
      <c r="S31" s="8">
        <f t="shared" si="66"/>
        <v>0.51455676254557037</v>
      </c>
      <c r="T31" s="8">
        <f t="shared" si="67"/>
        <v>0.91158362877318766</v>
      </c>
      <c r="U31" s="8">
        <f t="shared" si="68"/>
        <v>13.257217553642263</v>
      </c>
      <c r="V31" s="8">
        <f t="shared" si="69"/>
        <v>867.34065325684264</v>
      </c>
      <c r="W31" s="8">
        <f t="shared" si="70"/>
        <v>0.13635754207457615</v>
      </c>
      <c r="X31" s="8">
        <f t="shared" si="71"/>
        <v>0.19789957422656673</v>
      </c>
      <c r="Y31" s="8">
        <f t="shared" si="72"/>
        <v>2.5788841649687768</v>
      </c>
      <c r="Z31" s="8">
        <f t="shared" si="73"/>
        <v>142.14249194853025</v>
      </c>
      <c r="AA31" s="8">
        <f t="shared" si="49"/>
        <v>801.37327477228405</v>
      </c>
      <c r="AB31" s="8">
        <f t="shared" si="50"/>
        <v>493.56153812105742</v>
      </c>
      <c r="AC31" s="8">
        <f t="shared" si="51"/>
        <v>1253.3377041748256</v>
      </c>
      <c r="AD31" s="8">
        <f t="shared" si="52"/>
        <v>7107.1245974265121</v>
      </c>
      <c r="AE31" s="8">
        <f t="shared" si="53"/>
        <v>8.299744332309883E-2</v>
      </c>
      <c r="AF31" s="8">
        <f t="shared" si="54"/>
        <v>5.1117683951095394E-2</v>
      </c>
      <c r="AG31" s="8">
        <f t="shared" si="55"/>
        <v>0.12980695556201571</v>
      </c>
      <c r="AH31" s="8">
        <f t="shared" si="56"/>
        <v>0.73607791716379012</v>
      </c>
      <c r="AN31" s="10">
        <v>50</v>
      </c>
      <c r="AO31" s="8">
        <f t="shared" si="57"/>
        <v>1.2879700006726307</v>
      </c>
      <c r="AP31" s="8">
        <f t="shared" si="58"/>
        <v>0.58091374893253633</v>
      </c>
      <c r="AV31" s="5">
        <f t="shared" si="60"/>
        <v>76593</v>
      </c>
      <c r="AW31" s="5">
        <f t="shared" si="61"/>
        <v>272100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88</v>
      </c>
      <c r="B38" s="10">
        <v>5</v>
      </c>
      <c r="C38" s="6">
        <f>1-0.17-0.025</f>
        <v>0.80499999999999994</v>
      </c>
      <c r="D38" s="12">
        <f>H38/$C38</f>
        <v>3395.0310559006216</v>
      </c>
      <c r="E38" s="12">
        <f t="shared" ref="E38:G45" si="74">I38/$C38</f>
        <v>13093.167701863355</v>
      </c>
      <c r="F38" s="12">
        <f t="shared" si="74"/>
        <v>616.14906832298141</v>
      </c>
      <c r="G38" s="12">
        <f>K38/$C38</f>
        <v>252.17391304347828</v>
      </c>
      <c r="H38" s="5">
        <v>2733</v>
      </c>
      <c r="I38" s="5">
        <v>10540</v>
      </c>
      <c r="J38" s="5">
        <v>496</v>
      </c>
      <c r="K38" s="5">
        <v>203</v>
      </c>
      <c r="L38" s="26">
        <f t="shared" ref="L38:O45" si="75">W4*D38*1000/1000000</f>
        <v>0.7432676607430333</v>
      </c>
      <c r="M38" s="26">
        <f t="shared" si="75"/>
        <v>2.4656417538991868</v>
      </c>
      <c r="N38" s="26">
        <f t="shared" si="75"/>
        <v>3.7973572901437214</v>
      </c>
      <c r="O38" s="26">
        <f t="shared" si="75"/>
        <v>69.764638310460811</v>
      </c>
      <c r="P38" s="26">
        <f>SUM(L38:O38)</f>
        <v>76.770905015246754</v>
      </c>
      <c r="Q38" s="26">
        <f>SUM(L38:N38)</f>
        <v>7.0062667047859417</v>
      </c>
      <c r="R38" s="26">
        <f>(LN(L48/(L38*0.25)))/1.02</f>
        <v>0.41213040775258003</v>
      </c>
      <c r="S38" s="26">
        <f>(R38-R39)/(1-0.25)</f>
        <v>0.40890157274153777</v>
      </c>
      <c r="T38" s="26">
        <f>S38+R40</f>
        <v>0.48378437103815436</v>
      </c>
      <c r="V38" s="26">
        <f>(LN(L51/(L39*0.25)))/1.02</f>
        <v>0.82088496667825062</v>
      </c>
      <c r="W38" s="26">
        <f>(V38-V39)/(1-0.25)</f>
        <v>0.44966571384839438</v>
      </c>
      <c r="X38" s="26">
        <f>W38+V40</f>
        <v>1.0640655887677459</v>
      </c>
      <c r="Z38" s="26">
        <f>(LN(L54/(L40*0.25)))/1.02</f>
        <v>0.86859297136071667</v>
      </c>
      <c r="AA38" s="26">
        <f>(Z38-Z39)/(1-0.25)</f>
        <v>0.65873718020223127</v>
      </c>
      <c r="AB38" s="26">
        <f>AA38+Z40</f>
        <v>1.0926921268083445</v>
      </c>
    </row>
    <row r="39" spans="1:28" x14ac:dyDescent="0.2">
      <c r="A39" s="5" t="s">
        <v>89</v>
      </c>
      <c r="B39" s="10">
        <v>12</v>
      </c>
      <c r="C39" s="6">
        <f>1-0.32-0.025</f>
        <v>0.65499999999999992</v>
      </c>
      <c r="D39" s="12">
        <f t="shared" ref="D39:D45" si="76">H39/$C39</f>
        <v>7676.3358778625961</v>
      </c>
      <c r="E39" s="12">
        <f t="shared" si="74"/>
        <v>17699.236641221378</v>
      </c>
      <c r="F39" s="12">
        <f t="shared" si="74"/>
        <v>908.39694656488564</v>
      </c>
      <c r="G39" s="12">
        <f t="shared" si="74"/>
        <v>238.16793893129773</v>
      </c>
      <c r="H39" s="5">
        <v>5028</v>
      </c>
      <c r="I39" s="5">
        <v>11593</v>
      </c>
      <c r="J39" s="5">
        <v>595</v>
      </c>
      <c r="K39" s="5">
        <v>156</v>
      </c>
      <c r="L39" s="26">
        <f t="shared" si="75"/>
        <v>0.91587053724175482</v>
      </c>
      <c r="M39" s="26">
        <f t="shared" si="75"/>
        <v>3.2133230957542054</v>
      </c>
      <c r="N39" s="26">
        <f t="shared" si="75"/>
        <v>5.6501795098756302</v>
      </c>
      <c r="O39" s="26">
        <f t="shared" si="75"/>
        <v>58.675103267994906</v>
      </c>
      <c r="P39" s="26">
        <f t="shared" ref="P39:P45" si="77">SUM(L39:O39)</f>
        <v>68.454476410866505</v>
      </c>
      <c r="Q39" s="26">
        <f t="shared" ref="Q39:Q45" si="78">SUM(L39:N39)</f>
        <v>9.7793731428715915</v>
      </c>
      <c r="R39" s="26">
        <f>(LN(L49/L38))/1.02</f>
        <v>0.10545422819642671</v>
      </c>
      <c r="V39" s="26">
        <f>(LN(L52/L39))/1.02</f>
        <v>0.48363568129195483</v>
      </c>
      <c r="Z39" s="26">
        <f>(LN(L55/L40))/1.02</f>
        <v>0.37454008620904322</v>
      </c>
    </row>
    <row r="40" spans="1:28" x14ac:dyDescent="0.2">
      <c r="A40" s="5" t="s">
        <v>90</v>
      </c>
      <c r="B40" s="10">
        <v>20</v>
      </c>
      <c r="C40" s="6">
        <f>1-0.29-0.025</f>
        <v>0.68499999999999994</v>
      </c>
      <c r="D40" s="12">
        <f t="shared" si="76"/>
        <v>23286.131386861314</v>
      </c>
      <c r="E40" s="12">
        <f t="shared" si="74"/>
        <v>23362.043795620441</v>
      </c>
      <c r="F40" s="12">
        <f t="shared" si="74"/>
        <v>1242.3357664233579</v>
      </c>
      <c r="G40" s="12">
        <f t="shared" si="74"/>
        <v>224.81751824817519</v>
      </c>
      <c r="H40" s="5">
        <v>15951</v>
      </c>
      <c r="I40" s="5">
        <v>16003</v>
      </c>
      <c r="J40" s="5">
        <v>851</v>
      </c>
      <c r="K40" s="5">
        <v>154</v>
      </c>
      <c r="L40" s="26">
        <f t="shared" si="75"/>
        <v>2.7782892779706101</v>
      </c>
      <c r="M40" s="26">
        <f t="shared" si="75"/>
        <v>3.6074756095328193</v>
      </c>
      <c r="N40" s="26">
        <f t="shared" si="75"/>
        <v>5.3287173903353997</v>
      </c>
      <c r="O40" s="26">
        <f t="shared" si="75"/>
        <v>39.560944180428642</v>
      </c>
      <c r="P40" s="26">
        <f t="shared" si="77"/>
        <v>51.275426458267475</v>
      </c>
      <c r="Q40" s="26">
        <f t="shared" si="78"/>
        <v>11.71448227783883</v>
      </c>
      <c r="R40" s="26">
        <f>LN(L50/L38)/1.02</f>
        <v>7.4882798296616607E-2</v>
      </c>
      <c r="V40" s="26">
        <f>LN(L53/L39)/1.02</f>
        <v>0.61439987491935166</v>
      </c>
      <c r="Z40" s="26">
        <f>LN(L56/L40)/1.02</f>
        <v>0.43395494660611322</v>
      </c>
    </row>
    <row r="41" spans="1:28" x14ac:dyDescent="0.2">
      <c r="A41" s="5" t="s">
        <v>91</v>
      </c>
      <c r="B41" s="10">
        <v>30</v>
      </c>
      <c r="C41" s="6">
        <f>1-0.29-0.025</f>
        <v>0.68499999999999994</v>
      </c>
      <c r="D41" s="12">
        <f t="shared" si="76"/>
        <v>35502.189781021902</v>
      </c>
      <c r="E41" s="12">
        <f t="shared" si="74"/>
        <v>15084.671532846716</v>
      </c>
      <c r="F41" s="12">
        <f t="shared" si="74"/>
        <v>2732.8467153284673</v>
      </c>
      <c r="G41" s="12">
        <f t="shared" si="74"/>
        <v>245.25547445255478</v>
      </c>
      <c r="H41" s="5">
        <v>24319</v>
      </c>
      <c r="I41" s="5">
        <v>10333</v>
      </c>
      <c r="J41" s="5">
        <v>1872</v>
      </c>
      <c r="K41" s="5">
        <v>168</v>
      </c>
      <c r="L41" s="26">
        <f t="shared" si="75"/>
        <v>4.235798191396607</v>
      </c>
      <c r="M41" s="26">
        <f t="shared" si="75"/>
        <v>2.2388030017552349</v>
      </c>
      <c r="N41" s="26">
        <f t="shared" si="75"/>
        <v>4.2833219983581028</v>
      </c>
      <c r="O41" s="26">
        <f t="shared" si="75"/>
        <v>29.73909456394431</v>
      </c>
      <c r="P41" s="26">
        <f t="shared" si="77"/>
        <v>40.497017755454252</v>
      </c>
      <c r="Q41" s="26">
        <f t="shared" si="78"/>
        <v>10.757923191509946</v>
      </c>
      <c r="R41" s="5" t="s">
        <v>535</v>
      </c>
      <c r="V41" s="5" t="s">
        <v>535</v>
      </c>
      <c r="Z41" s="5" t="s">
        <v>535</v>
      </c>
    </row>
    <row r="42" spans="1:28" x14ac:dyDescent="0.2">
      <c r="A42" s="5" t="s">
        <v>92</v>
      </c>
      <c r="B42" s="10">
        <v>40</v>
      </c>
      <c r="C42" s="6">
        <f>1-0.23-0.025</f>
        <v>0.745</v>
      </c>
      <c r="D42" s="12">
        <f t="shared" si="76"/>
        <v>27562.416107382549</v>
      </c>
      <c r="E42" s="12">
        <f t="shared" si="74"/>
        <v>8899.3288590604025</v>
      </c>
      <c r="F42" s="12">
        <f t="shared" si="74"/>
        <v>1327.5167785234898</v>
      </c>
      <c r="G42" s="12">
        <f t="shared" si="74"/>
        <v>154.36241610738256</v>
      </c>
      <c r="H42" s="5">
        <v>20534</v>
      </c>
      <c r="I42" s="5">
        <v>6630</v>
      </c>
      <c r="J42" s="5">
        <v>989</v>
      </c>
      <c r="K42" s="5">
        <v>115</v>
      </c>
      <c r="L42" s="26">
        <f t="shared" si="75"/>
        <v>3.2884966538199603</v>
      </c>
      <c r="M42" s="26">
        <f t="shared" si="75"/>
        <v>1.4106056417465116</v>
      </c>
      <c r="N42" s="26">
        <f t="shared" si="75"/>
        <v>2.5891219152170244</v>
      </c>
      <c r="O42" s="26">
        <f t="shared" si="75"/>
        <v>13.345688322249499</v>
      </c>
      <c r="P42" s="26">
        <f t="shared" si="77"/>
        <v>20.633912533032994</v>
      </c>
      <c r="Q42" s="26">
        <f t="shared" si="78"/>
        <v>7.288224210783496</v>
      </c>
      <c r="R42" s="6" t="s">
        <v>539</v>
      </c>
      <c r="S42" s="6" t="s">
        <v>540</v>
      </c>
      <c r="T42" s="6" t="s">
        <v>541</v>
      </c>
      <c r="V42" s="6" t="s">
        <v>539</v>
      </c>
      <c r="W42" s="6" t="s">
        <v>540</v>
      </c>
      <c r="X42" s="6" t="s">
        <v>541</v>
      </c>
      <c r="Z42" s="6" t="s">
        <v>539</v>
      </c>
      <c r="AA42" s="6" t="s">
        <v>540</v>
      </c>
      <c r="AB42" s="6" t="s">
        <v>541</v>
      </c>
    </row>
    <row r="43" spans="1:28" x14ac:dyDescent="0.2">
      <c r="A43" s="5" t="s">
        <v>93</v>
      </c>
      <c r="B43" s="10">
        <v>50</v>
      </c>
      <c r="C43" s="6">
        <f>1-0.28-0.025</f>
        <v>0.69499999999999995</v>
      </c>
      <c r="D43" s="12">
        <f t="shared" si="76"/>
        <v>10067.625899280576</v>
      </c>
      <c r="E43" s="12">
        <f t="shared" si="74"/>
        <v>3566.906474820144</v>
      </c>
      <c r="F43" s="12">
        <f t="shared" si="74"/>
        <v>526.61870503597129</v>
      </c>
      <c r="G43" s="12">
        <f t="shared" si="74"/>
        <v>94.964028776978424</v>
      </c>
      <c r="H43" s="5">
        <v>6997</v>
      </c>
      <c r="I43" s="5">
        <v>2479</v>
      </c>
      <c r="J43" s="5">
        <v>366</v>
      </c>
      <c r="K43" s="5">
        <v>66</v>
      </c>
      <c r="L43" s="26">
        <f t="shared" si="75"/>
        <v>1.2011775002855278</v>
      </c>
      <c r="M43" s="26">
        <f t="shared" si="75"/>
        <v>0.64888364659404307</v>
      </c>
      <c r="N43" s="26">
        <f t="shared" si="75"/>
        <v>1.5452809346788132</v>
      </c>
      <c r="O43" s="26">
        <f t="shared" si="75"/>
        <v>13.277016062573814</v>
      </c>
      <c r="P43" s="26">
        <f t="shared" si="77"/>
        <v>16.672358144132197</v>
      </c>
      <c r="Q43" s="26">
        <f t="shared" si="78"/>
        <v>3.3953420815583844</v>
      </c>
      <c r="R43" s="26">
        <f>(LN(M48/(M38*0.25)))/1.02</f>
        <v>1.0894120603734956</v>
      </c>
      <c r="S43" s="26">
        <f>(R43-R44)/(1-0.25)</f>
        <v>6.3912120469961906E-2</v>
      </c>
      <c r="T43" s="26">
        <f>S43+R45</f>
        <v>1.0363087565178173</v>
      </c>
      <c r="V43" s="26">
        <f>(LN(M51/(M39*0.25)))/1.02</f>
        <v>0.81141556154917749</v>
      </c>
      <c r="W43" s="26">
        <f>(V43-V44)/(1-0.25)</f>
        <v>0.37825673662931553</v>
      </c>
      <c r="X43" s="26">
        <f>W43+V45</f>
        <v>1.0004064888431201</v>
      </c>
      <c r="Z43" s="26">
        <f>(LN(M54/(M40*0.25)))/1.02</f>
        <v>0.63693054642298141</v>
      </c>
      <c r="AA43" s="26">
        <f>(Z43-Z44)/(1-0.25)</f>
        <v>0.41532600359917371</v>
      </c>
      <c r="AB43" s="26">
        <f>AA43+Z45</f>
        <v>0.68976162726903767</v>
      </c>
    </row>
    <row r="44" spans="1:28" x14ac:dyDescent="0.2">
      <c r="A44" s="5" t="s">
        <v>94</v>
      </c>
      <c r="B44" s="10">
        <v>70</v>
      </c>
      <c r="C44" s="6">
        <f>1-0.24-0.025</f>
        <v>0.73499999999999999</v>
      </c>
      <c r="D44" s="12">
        <f t="shared" si="76"/>
        <v>5632.6530612244896</v>
      </c>
      <c r="E44" s="12">
        <f t="shared" si="74"/>
        <v>1859.8639455782313</v>
      </c>
      <c r="F44" s="12">
        <f t="shared" si="74"/>
        <v>253.06122448979593</v>
      </c>
      <c r="G44" s="12">
        <f t="shared" si="74"/>
        <v>27.210884353741498</v>
      </c>
      <c r="H44" s="5">
        <v>4140</v>
      </c>
      <c r="I44" s="5">
        <v>1367</v>
      </c>
      <c r="J44" s="5">
        <v>186</v>
      </c>
      <c r="K44" s="5">
        <v>20</v>
      </c>
      <c r="L44" s="26">
        <f t="shared" si="75"/>
        <v>0.67203690241814984</v>
      </c>
      <c r="M44" s="26">
        <f t="shared" si="75"/>
        <v>0.36030707494996816</v>
      </c>
      <c r="N44" s="26">
        <f t="shared" si="75"/>
        <v>0.83291648711678379</v>
      </c>
      <c r="O44" s="26">
        <f t="shared" si="75"/>
        <v>2.5844538395438263</v>
      </c>
      <c r="P44" s="26">
        <f t="shared" si="77"/>
        <v>4.4497143040287277</v>
      </c>
      <c r="Q44" s="26">
        <f t="shared" si="78"/>
        <v>1.8652604644849018</v>
      </c>
      <c r="R44" s="26">
        <f>(LN(M49/M38))/1.02</f>
        <v>1.0414779700210242</v>
      </c>
      <c r="V44" s="26">
        <f>(LN(M52/M39))/1.02</f>
        <v>0.52772300907719083</v>
      </c>
      <c r="Z44" s="26">
        <f>(LN(M55/M40))/1.02</f>
        <v>0.32543604372360113</v>
      </c>
    </row>
    <row r="45" spans="1:28" x14ac:dyDescent="0.2">
      <c r="A45" s="5" t="s">
        <v>95</v>
      </c>
      <c r="B45" s="10">
        <v>100</v>
      </c>
      <c r="C45" s="6">
        <f>1-0.265-0.025</f>
        <v>0.71</v>
      </c>
      <c r="D45" s="12">
        <f t="shared" si="76"/>
        <v>3574.6478873239439</v>
      </c>
      <c r="E45" s="12">
        <f t="shared" si="74"/>
        <v>1354.9295774647887</v>
      </c>
      <c r="F45" s="12">
        <f t="shared" si="74"/>
        <v>147.88732394366198</v>
      </c>
      <c r="G45" s="12">
        <f t="shared" si="74"/>
        <v>18.30985915492958</v>
      </c>
      <c r="H45" s="5">
        <v>2538</v>
      </c>
      <c r="I45" s="5">
        <v>962</v>
      </c>
      <c r="J45" s="5">
        <v>105</v>
      </c>
      <c r="K45" s="5">
        <v>13</v>
      </c>
      <c r="L45" s="26">
        <f t="shared" si="75"/>
        <v>0.42649445426886079</v>
      </c>
      <c r="M45" s="26">
        <f t="shared" si="75"/>
        <v>0.26844182170120012</v>
      </c>
      <c r="N45" s="26">
        <f t="shared" si="75"/>
        <v>0.31590841790316676</v>
      </c>
      <c r="O45" s="26">
        <f t="shared" si="75"/>
        <v>0.83646265094826155</v>
      </c>
      <c r="P45" s="26">
        <f t="shared" si="77"/>
        <v>1.8473073448214892</v>
      </c>
      <c r="Q45" s="26">
        <f t="shared" si="78"/>
        <v>1.0108446938732276</v>
      </c>
      <c r="R45" s="26">
        <f>LN(M50/M38)/1.02</f>
        <v>0.97239663604785542</v>
      </c>
      <c r="V45" s="26">
        <f>LN(M53/M39)/1.02</f>
        <v>0.62214975221380464</v>
      </c>
      <c r="Z45" s="26">
        <f>LN(M56/M40)/1.02</f>
        <v>0.27443562366986402</v>
      </c>
    </row>
    <row r="46" spans="1:28" x14ac:dyDescent="0.2">
      <c r="A46" s="30"/>
      <c r="B46" s="10"/>
      <c r="Q46" s="10"/>
    </row>
    <row r="47" spans="1:28" x14ac:dyDescent="0.2">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96</v>
      </c>
      <c r="B48" s="10">
        <v>5</v>
      </c>
      <c r="C48" s="6">
        <f>1-0.265-0.025</f>
        <v>0.71</v>
      </c>
      <c r="D48" s="12">
        <f t="shared" ref="D48:G65" si="79">H48/$C48</f>
        <v>1661.9718309859156</v>
      </c>
      <c r="E48" s="12">
        <f t="shared" si="79"/>
        <v>8359.1549295774657</v>
      </c>
      <c r="F48" s="12">
        <f t="shared" si="79"/>
        <v>292.95774647887328</v>
      </c>
      <c r="G48" s="12">
        <f>K48/$C48</f>
        <v>59.154929577464792</v>
      </c>
      <c r="H48" s="5">
        <v>1180</v>
      </c>
      <c r="I48" s="5">
        <v>5935</v>
      </c>
      <c r="J48" s="5">
        <v>208</v>
      </c>
      <c r="K48" s="5">
        <v>42</v>
      </c>
      <c r="L48" s="26">
        <f>W14*D48*1000/1000000</f>
        <v>0.28291171218562955</v>
      </c>
      <c r="M48" s="26">
        <f>X14*E48*1000/1000000</f>
        <v>1.8726565926215328</v>
      </c>
      <c r="N48" s="26">
        <f>Y14*F48*1000/1000000</f>
        <v>2.2973218593873903</v>
      </c>
      <c r="O48" s="26">
        <f>Z14*G48*1000/1000000</f>
        <v>6.317927971276168</v>
      </c>
      <c r="P48" s="26">
        <f>SUM(L48:O48)</f>
        <v>10.770818135470721</v>
      </c>
      <c r="Q48" s="26">
        <f>SUM(L48:N48)</f>
        <v>4.4528901641945531</v>
      </c>
      <c r="R48" s="26">
        <f>(LN(N48/(N38*0.25)))/1.02</f>
        <v>0.86640492334264829</v>
      </c>
      <c r="S48" s="26">
        <f>(R48-R49)/(1-0.25)</f>
        <v>0.29343679816575835</v>
      </c>
      <c r="T48" s="26">
        <f>S48+R50</f>
        <v>1.0903804408249804</v>
      </c>
      <c r="V48" s="26">
        <f>(LN(N51/(N39*0.25)))/1.02</f>
        <v>1.644080580458171E-2</v>
      </c>
      <c r="W48" s="26">
        <f>(V48-V49)/(1-0.25)</f>
        <v>0.57585491048931614</v>
      </c>
      <c r="X48" s="26">
        <f>W48+V50</f>
        <v>0.73939531918943868</v>
      </c>
      <c r="Z48" s="26">
        <f>(LN(N54/(N40*0.25)))/1.02</f>
        <v>0.26170020515174991</v>
      </c>
      <c r="AA48" s="26">
        <f>(Z48-Z49)/(1-0.25)</f>
        <v>0.11890420372815247</v>
      </c>
      <c r="AB48" s="26">
        <f>AA48+Z50</f>
        <v>9.1770647131785787E-2</v>
      </c>
    </row>
    <row r="49" spans="1:28" x14ac:dyDescent="0.2">
      <c r="A49" s="5" t="s">
        <v>97</v>
      </c>
      <c r="B49" s="10">
        <v>5</v>
      </c>
      <c r="C49" s="6">
        <f>1-0.265-0.025</f>
        <v>0.71</v>
      </c>
      <c r="D49" s="12">
        <f t="shared" si="79"/>
        <v>5260.5633802816901</v>
      </c>
      <c r="E49" s="12">
        <f t="shared" si="79"/>
        <v>31928.169014084509</v>
      </c>
      <c r="F49" s="12">
        <f t="shared" si="79"/>
        <v>964.78873239436621</v>
      </c>
      <c r="G49" s="12">
        <f t="shared" si="79"/>
        <v>250.7042253521127</v>
      </c>
      <c r="H49" s="5">
        <v>3735</v>
      </c>
      <c r="I49" s="5">
        <v>22669</v>
      </c>
      <c r="J49" s="5">
        <v>685</v>
      </c>
      <c r="K49" s="5">
        <v>178</v>
      </c>
      <c r="L49" s="26">
        <f t="shared" ref="L49:O49" si="80">W15*D49*1000/1000000</f>
        <v>0.82767414800197603</v>
      </c>
      <c r="M49" s="26">
        <f t="shared" si="80"/>
        <v>7.1331979160005279</v>
      </c>
      <c r="N49" s="26">
        <f t="shared" si="80"/>
        <v>7.3416179393880956</v>
      </c>
      <c r="O49" s="26">
        <f t="shared" si="80"/>
        <v>53.815074390086444</v>
      </c>
      <c r="P49" s="26">
        <f t="shared" ref="P49:P65" si="81">SUM(L49:O49)</f>
        <v>69.117564393477039</v>
      </c>
      <c r="Q49" s="26">
        <f t="shared" ref="Q49:Q65" si="82">SUM(L49:N49)</f>
        <v>15.302490003390599</v>
      </c>
      <c r="R49" s="26">
        <f>(LN(N49/N38))/1.02</f>
        <v>0.64632732471832954</v>
      </c>
      <c r="V49" s="26">
        <f>(LN(N52/N39))/1.02</f>
        <v>-0.41545037706240545</v>
      </c>
      <c r="Z49" s="26">
        <f>(LN(N55/N40))/1.02</f>
        <v>0.17252205235563556</v>
      </c>
    </row>
    <row r="50" spans="1:28" x14ac:dyDescent="0.2">
      <c r="A50" s="5" t="s">
        <v>98</v>
      </c>
      <c r="B50" s="10">
        <v>5</v>
      </c>
      <c r="C50" s="6">
        <f>1-0.265-0.025</f>
        <v>0.71</v>
      </c>
      <c r="D50" s="12">
        <f t="shared" si="79"/>
        <v>5239.4366197183099</v>
      </c>
      <c r="E50" s="12">
        <f t="shared" si="79"/>
        <v>29253.521126760566</v>
      </c>
      <c r="F50" s="12">
        <f t="shared" si="79"/>
        <v>1060.5633802816901</v>
      </c>
      <c r="G50" s="12">
        <f t="shared" si="79"/>
        <v>236.61971830985917</v>
      </c>
      <c r="H50" s="5">
        <v>3720</v>
      </c>
      <c r="I50" s="5">
        <v>20770</v>
      </c>
      <c r="J50" s="5">
        <v>753</v>
      </c>
      <c r="K50" s="5">
        <v>168</v>
      </c>
      <c r="L50" s="26">
        <f t="shared" ref="L50:O50" si="83">W16*D50*1000/1000000</f>
        <v>0.80226315490552924</v>
      </c>
      <c r="M50" s="26">
        <f t="shared" si="83"/>
        <v>6.647871237700457</v>
      </c>
      <c r="N50" s="26">
        <f t="shared" si="83"/>
        <v>8.5607507465583428</v>
      </c>
      <c r="O50" s="26">
        <f t="shared" si="83"/>
        <v>37.926069987525068</v>
      </c>
      <c r="P50" s="26">
        <f t="shared" si="81"/>
        <v>53.936955126689398</v>
      </c>
      <c r="Q50" s="26">
        <f t="shared" si="82"/>
        <v>16.01088513916433</v>
      </c>
      <c r="R50" s="26">
        <f>LN(N50/N38)/1.02</f>
        <v>0.79694364265922202</v>
      </c>
      <c r="V50" s="26">
        <f>LN(N53/N39)/1.02</f>
        <v>0.16354040870012257</v>
      </c>
      <c r="Z50" s="26">
        <f>LN(N56/N40)/1.02</f>
        <v>-2.7133556596366688E-2</v>
      </c>
    </row>
    <row r="51" spans="1:28" x14ac:dyDescent="0.2">
      <c r="A51" s="5" t="s">
        <v>99</v>
      </c>
      <c r="B51" s="10">
        <v>12</v>
      </c>
      <c r="C51" s="6">
        <f>1-0.28-0.025</f>
        <v>0.69499999999999995</v>
      </c>
      <c r="D51" s="12">
        <f t="shared" si="79"/>
        <v>3067.6258992805756</v>
      </c>
      <c r="E51" s="12">
        <f t="shared" si="79"/>
        <v>9145.3237410071943</v>
      </c>
      <c r="F51" s="12">
        <f t="shared" si="79"/>
        <v>248.92086330935254</v>
      </c>
      <c r="G51" s="12">
        <f t="shared" si="79"/>
        <v>50.359712230215834</v>
      </c>
      <c r="H51" s="5">
        <v>2132</v>
      </c>
      <c r="I51" s="5">
        <v>6356</v>
      </c>
      <c r="J51" s="5">
        <v>173</v>
      </c>
      <c r="K51" s="5">
        <v>35</v>
      </c>
      <c r="L51" s="26">
        <f t="shared" ref="L51:O51" si="84">W17*D51*1000/1000000</f>
        <v>0.52894440122910225</v>
      </c>
      <c r="M51" s="26">
        <f t="shared" si="84"/>
        <v>1.8379579501792835</v>
      </c>
      <c r="N51" s="26">
        <f t="shared" si="84"/>
        <v>1.436432454020562</v>
      </c>
      <c r="O51" s="26">
        <f t="shared" si="84"/>
        <v>4.7604479590450994</v>
      </c>
      <c r="P51" s="26">
        <f t="shared" si="81"/>
        <v>8.5637827644740465</v>
      </c>
      <c r="Q51" s="26">
        <f t="shared" si="82"/>
        <v>3.8033348054289475</v>
      </c>
    </row>
    <row r="52" spans="1:28" x14ac:dyDescent="0.2">
      <c r="A52" s="5" t="s">
        <v>100</v>
      </c>
      <c r="B52" s="10">
        <v>12</v>
      </c>
      <c r="C52" s="6">
        <f>1-0.28-0.025</f>
        <v>0.69499999999999995</v>
      </c>
      <c r="D52" s="12">
        <f t="shared" si="79"/>
        <v>10323.741007194245</v>
      </c>
      <c r="E52" s="12">
        <f t="shared" si="79"/>
        <v>27697.841726618706</v>
      </c>
      <c r="F52" s="12">
        <f t="shared" si="79"/>
        <v>871.94244604316555</v>
      </c>
      <c r="G52" s="12">
        <f t="shared" si="79"/>
        <v>244.60431654676262</v>
      </c>
      <c r="H52" s="5">
        <v>7175</v>
      </c>
      <c r="I52" s="5">
        <v>19250</v>
      </c>
      <c r="J52" s="5">
        <v>606</v>
      </c>
      <c r="K52" s="5">
        <v>170</v>
      </c>
      <c r="L52" s="26">
        <f t="shared" ref="L52:O52" si="85">W18*D52*1000/1000000</f>
        <v>1.499944542461193</v>
      </c>
      <c r="M52" s="26">
        <f t="shared" si="85"/>
        <v>5.5045944784584098</v>
      </c>
      <c r="N52" s="26">
        <f t="shared" si="85"/>
        <v>3.698502217856511</v>
      </c>
      <c r="O52" s="26">
        <f t="shared" si="85"/>
        <v>29.984350827061057</v>
      </c>
      <c r="P52" s="26">
        <f t="shared" si="81"/>
        <v>40.687392065837173</v>
      </c>
      <c r="Q52" s="26">
        <f t="shared" si="82"/>
        <v>10.703041238776114</v>
      </c>
      <c r="R52" s="6" t="s">
        <v>545</v>
      </c>
      <c r="S52" s="6" t="s">
        <v>546</v>
      </c>
      <c r="T52" s="6" t="s">
        <v>547</v>
      </c>
      <c r="V52" s="6" t="s">
        <v>545</v>
      </c>
      <c r="W52" s="6" t="s">
        <v>546</v>
      </c>
      <c r="X52" s="6" t="s">
        <v>547</v>
      </c>
      <c r="Z52" s="6" t="s">
        <v>545</v>
      </c>
      <c r="AA52" s="6" t="s">
        <v>546</v>
      </c>
      <c r="AB52" s="6" t="s">
        <v>547</v>
      </c>
    </row>
    <row r="53" spans="1:28" x14ac:dyDescent="0.2">
      <c r="A53" s="5" t="s">
        <v>101</v>
      </c>
      <c r="B53" s="10">
        <v>12</v>
      </c>
      <c r="C53" s="6">
        <f>1-0.28-0.025</f>
        <v>0.69499999999999995</v>
      </c>
      <c r="D53" s="12">
        <f t="shared" si="79"/>
        <v>11529.496402877699</v>
      </c>
      <c r="E53" s="12">
        <f t="shared" si="79"/>
        <v>28493.525179856118</v>
      </c>
      <c r="F53" s="12">
        <f t="shared" si="79"/>
        <v>1076.2589928057555</v>
      </c>
      <c r="G53" s="12">
        <f t="shared" si="79"/>
        <v>253.23741007194246</v>
      </c>
      <c r="H53" s="5">
        <v>8013</v>
      </c>
      <c r="I53" s="5">
        <v>19803</v>
      </c>
      <c r="J53" s="5">
        <v>748</v>
      </c>
      <c r="K53" s="5">
        <v>176</v>
      </c>
      <c r="L53" s="26">
        <f t="shared" ref="L53:O53" si="86">W19*D53*1000/1000000</f>
        <v>1.713961937721489</v>
      </c>
      <c r="M53" s="26">
        <f t="shared" si="86"/>
        <v>6.0611429095767821</v>
      </c>
      <c r="N53" s="26">
        <f t="shared" si="86"/>
        <v>6.675863326238531</v>
      </c>
      <c r="O53" s="26">
        <f t="shared" si="86"/>
        <v>37.958936614004131</v>
      </c>
      <c r="P53" s="26">
        <f t="shared" si="81"/>
        <v>52.409904787540931</v>
      </c>
      <c r="Q53" s="26">
        <f t="shared" si="82"/>
        <v>14.450968173536802</v>
      </c>
      <c r="R53" s="26">
        <f>(LN(O48/(O38*0.25)))/1.02</f>
        <v>-0.99553098436813359</v>
      </c>
      <c r="S53" s="26">
        <f>(R53-R54)/(1-0.25)</f>
        <v>-0.98806269041595707</v>
      </c>
      <c r="T53" s="26">
        <f>S53+R55</f>
        <v>-1.5856004637938421</v>
      </c>
      <c r="V53" s="26">
        <f>(LN(O51/(O39*0.25)))/1.02</f>
        <v>-1.1033131056442376</v>
      </c>
      <c r="W53" s="26">
        <f>(V53-V54)/(1-0.25)</f>
        <v>-0.59351565030699938</v>
      </c>
      <c r="X53" s="26">
        <f>W53+V55</f>
        <v>-1.0204867696362319</v>
      </c>
      <c r="Z53" s="26">
        <f>(LN(O54/(O40*0.25)))/1.02</f>
        <v>0.5081925768246609</v>
      </c>
      <c r="AA53" s="26">
        <f>(Z53-Z54)/(1-0.25)</f>
        <v>0.83011446640079845</v>
      </c>
      <c r="AB53" s="26">
        <f>AA53+Z55</f>
        <v>0.22722296993131774</v>
      </c>
    </row>
    <row r="54" spans="1:28" x14ac:dyDescent="0.2">
      <c r="A54" s="5" t="s">
        <v>102</v>
      </c>
      <c r="B54" s="10">
        <v>20</v>
      </c>
      <c r="C54" s="6">
        <f t="shared" ref="C54:C65" si="87">1-0.28-0.025</f>
        <v>0.69499999999999995</v>
      </c>
      <c r="D54" s="12">
        <f t="shared" si="79"/>
        <v>10559.712230215828</v>
      </c>
      <c r="E54" s="12">
        <f t="shared" si="79"/>
        <v>10605.755395683454</v>
      </c>
      <c r="F54" s="12">
        <f t="shared" si="79"/>
        <v>471.94244604316549</v>
      </c>
      <c r="G54" s="12">
        <f t="shared" si="79"/>
        <v>129.49640287769785</v>
      </c>
      <c r="H54" s="5">
        <v>7339</v>
      </c>
      <c r="I54" s="5">
        <v>7371</v>
      </c>
      <c r="J54" s="5">
        <v>328</v>
      </c>
      <c r="K54" s="5">
        <v>90</v>
      </c>
      <c r="L54" s="26">
        <f t="shared" ref="L54:O54" si="88">W20*D54*1000/1000000</f>
        <v>1.6845624227521077</v>
      </c>
      <c r="M54" s="26">
        <f t="shared" si="88"/>
        <v>1.7269952467253404</v>
      </c>
      <c r="N54" s="26">
        <f t="shared" si="88"/>
        <v>1.7397656454672736</v>
      </c>
      <c r="O54" s="26">
        <f t="shared" si="88"/>
        <v>16.608331063446986</v>
      </c>
      <c r="P54" s="26">
        <f t="shared" si="81"/>
        <v>21.759654378391708</v>
      </c>
      <c r="Q54" s="26">
        <f t="shared" si="82"/>
        <v>5.1513233149447215</v>
      </c>
      <c r="R54" s="26">
        <f>(LN(O49/O38))/1.02</f>
        <v>-0.25448396655616579</v>
      </c>
      <c r="V54" s="26">
        <f>(LN(O52/O39))/1.02</f>
        <v>-0.65817636791398804</v>
      </c>
      <c r="Z54" s="26">
        <f>(LN(O55/O40))/1.02</f>
        <v>-0.11439327297593789</v>
      </c>
    </row>
    <row r="55" spans="1:28" x14ac:dyDescent="0.2">
      <c r="A55" s="5" t="s">
        <v>103</v>
      </c>
      <c r="B55" s="10">
        <v>20</v>
      </c>
      <c r="C55" s="6">
        <f t="shared" si="87"/>
        <v>0.69499999999999995</v>
      </c>
      <c r="D55" s="12">
        <f t="shared" si="79"/>
        <v>29151.079136690649</v>
      </c>
      <c r="E55" s="12">
        <f t="shared" si="79"/>
        <v>30620.143884892088</v>
      </c>
      <c r="F55" s="12">
        <f t="shared" si="79"/>
        <v>1469.064748201439</v>
      </c>
      <c r="G55" s="12">
        <f t="shared" si="79"/>
        <v>217.26618705035972</v>
      </c>
      <c r="H55" s="5">
        <v>20260</v>
      </c>
      <c r="I55" s="5">
        <v>21281</v>
      </c>
      <c r="J55" s="5">
        <v>1021</v>
      </c>
      <c r="K55" s="5">
        <v>151</v>
      </c>
      <c r="L55" s="26">
        <f t="shared" ref="L55:O55" si="89">W21*D55*1000/1000000</f>
        <v>4.0709087660940568</v>
      </c>
      <c r="M55" s="26">
        <f t="shared" si="89"/>
        <v>5.0276516946939926</v>
      </c>
      <c r="N55" s="26">
        <f t="shared" si="89"/>
        <v>6.3539906409643256</v>
      </c>
      <c r="O55" s="26">
        <f t="shared" si="89"/>
        <v>35.204053600627567</v>
      </c>
      <c r="P55" s="26">
        <f t="shared" si="81"/>
        <v>50.656604702379944</v>
      </c>
      <c r="Q55" s="26">
        <f t="shared" si="82"/>
        <v>15.452551101752377</v>
      </c>
      <c r="R55" s="26">
        <f>LN(O50/O38)/1.02</f>
        <v>-0.59753777337788505</v>
      </c>
      <c r="V55" s="26">
        <f>LN(O53/O39)/1.02</f>
        <v>-0.42697111932923254</v>
      </c>
      <c r="Z55" s="26">
        <f>LN(O56/O40)/1.02</f>
        <v>-0.6028914964694807</v>
      </c>
    </row>
    <row r="56" spans="1:28" x14ac:dyDescent="0.2">
      <c r="A56" s="5" t="s">
        <v>104</v>
      </c>
      <c r="B56" s="10">
        <v>20</v>
      </c>
      <c r="C56" s="6">
        <f t="shared" si="87"/>
        <v>0.69499999999999995</v>
      </c>
      <c r="D56" s="12">
        <f t="shared" si="79"/>
        <v>32274.820143884896</v>
      </c>
      <c r="E56" s="12">
        <f t="shared" si="79"/>
        <v>28297.841726618706</v>
      </c>
      <c r="F56" s="12">
        <f t="shared" si="79"/>
        <v>1578.4172661870505</v>
      </c>
      <c r="G56" s="12">
        <f t="shared" si="79"/>
        <v>248.92086330935254</v>
      </c>
      <c r="H56" s="5">
        <v>22431</v>
      </c>
      <c r="I56" s="5">
        <v>19667</v>
      </c>
      <c r="J56" s="5">
        <v>1097</v>
      </c>
      <c r="K56" s="5">
        <v>173</v>
      </c>
      <c r="L56" s="26">
        <f t="shared" ref="L56:O56" si="90">W22*D56*1000/1000000</f>
        <v>4.3252477249469541</v>
      </c>
      <c r="M56" s="26">
        <f t="shared" si="90"/>
        <v>4.7727973843329865</v>
      </c>
      <c r="N56" s="26">
        <f t="shared" si="90"/>
        <v>5.1832607247859865</v>
      </c>
      <c r="O56" s="26">
        <f t="shared" si="90"/>
        <v>21.389348128822871</v>
      </c>
      <c r="P56" s="26">
        <f t="shared" si="81"/>
        <v>35.6706539628888</v>
      </c>
      <c r="Q56" s="26">
        <f t="shared" si="82"/>
        <v>14.281305834065927</v>
      </c>
    </row>
    <row r="57" spans="1:28" x14ac:dyDescent="0.2">
      <c r="A57" s="5" t="s">
        <v>105</v>
      </c>
      <c r="B57" s="10">
        <v>30</v>
      </c>
      <c r="C57" s="6">
        <f t="shared" si="87"/>
        <v>0.69499999999999995</v>
      </c>
      <c r="D57" s="12">
        <f t="shared" si="79"/>
        <v>12791.366906474821</v>
      </c>
      <c r="E57" s="12">
        <f t="shared" si="79"/>
        <v>5823.0215827338134</v>
      </c>
      <c r="F57" s="12">
        <f t="shared" si="79"/>
        <v>535.25179856115108</v>
      </c>
      <c r="G57" s="12">
        <f t="shared" si="79"/>
        <v>71.942446043165475</v>
      </c>
      <c r="H57" s="5">
        <v>8890</v>
      </c>
      <c r="I57" s="5">
        <v>4047</v>
      </c>
      <c r="J57" s="5">
        <v>372</v>
      </c>
      <c r="K57" s="5">
        <v>50</v>
      </c>
      <c r="L57" s="26">
        <f t="shared" ref="L57:O57" si="91">W23*D57*1000/1000000</f>
        <v>1.7005518022075341</v>
      </c>
      <c r="M57" s="26">
        <f t="shared" si="91"/>
        <v>0.93442616987550198</v>
      </c>
      <c r="N57" s="26">
        <f t="shared" si="91"/>
        <v>1.3558448527617231</v>
      </c>
      <c r="O57" s="26">
        <f t="shared" si="91"/>
        <v>15.511912564880909</v>
      </c>
      <c r="P57" s="26">
        <f t="shared" si="81"/>
        <v>19.502735389725668</v>
      </c>
      <c r="Q57" s="26">
        <f t="shared" si="82"/>
        <v>3.9908228248447593</v>
      </c>
      <c r="R57" s="4"/>
      <c r="S57" s="4"/>
      <c r="T57" s="4"/>
      <c r="V57" s="4"/>
      <c r="W57" s="4"/>
      <c r="X57" s="4"/>
      <c r="Z57" s="4"/>
      <c r="AA57" s="4"/>
      <c r="AB57" s="4"/>
    </row>
    <row r="58" spans="1:28" x14ac:dyDescent="0.2">
      <c r="A58" s="5" t="s">
        <v>106</v>
      </c>
      <c r="B58" s="10">
        <v>30</v>
      </c>
      <c r="C58" s="6">
        <f t="shared" si="87"/>
        <v>0.69499999999999995</v>
      </c>
      <c r="D58" s="12">
        <f t="shared" si="79"/>
        <v>40887.769784172662</v>
      </c>
      <c r="E58" s="12">
        <f t="shared" si="79"/>
        <v>19037.410071942446</v>
      </c>
      <c r="F58" s="12">
        <f t="shared" si="79"/>
        <v>1886.3309352517988</v>
      </c>
      <c r="G58" s="12">
        <f t="shared" si="79"/>
        <v>246.04316546762593</v>
      </c>
      <c r="H58" s="5">
        <v>28417</v>
      </c>
      <c r="I58" s="5">
        <v>13231</v>
      </c>
      <c r="J58" s="5">
        <v>1311</v>
      </c>
      <c r="K58" s="5">
        <v>171</v>
      </c>
      <c r="L58" s="26">
        <f t="shared" ref="L58:O58" si="92">W24*D58*1000/1000000</f>
        <v>5.3383987779793589</v>
      </c>
      <c r="M58" s="26">
        <f t="shared" si="92"/>
        <v>2.9434848686744717</v>
      </c>
      <c r="N58" s="26">
        <f t="shared" si="92"/>
        <v>4.3126649247537445</v>
      </c>
      <c r="O58" s="26">
        <f t="shared" si="92"/>
        <v>24.408840198218183</v>
      </c>
      <c r="P58" s="26">
        <f t="shared" si="81"/>
        <v>37.003388769625758</v>
      </c>
      <c r="Q58" s="26">
        <f t="shared" si="82"/>
        <v>12.594548571407575</v>
      </c>
      <c r="R58" s="6" t="s">
        <v>548</v>
      </c>
      <c r="S58" s="6" t="s">
        <v>549</v>
      </c>
      <c r="T58" s="6" t="s">
        <v>550</v>
      </c>
      <c r="V58" s="6" t="s">
        <v>548</v>
      </c>
      <c r="W58" s="6" t="s">
        <v>549</v>
      </c>
      <c r="X58" s="6" t="s">
        <v>550</v>
      </c>
      <c r="Z58" s="6" t="s">
        <v>548</v>
      </c>
      <c r="AA58" s="6" t="s">
        <v>549</v>
      </c>
      <c r="AB58" s="6" t="s">
        <v>550</v>
      </c>
    </row>
    <row r="59" spans="1:28" x14ac:dyDescent="0.2">
      <c r="A59" s="5" t="s">
        <v>107</v>
      </c>
      <c r="B59" s="10">
        <v>30</v>
      </c>
      <c r="C59" s="6">
        <f t="shared" si="87"/>
        <v>0.69499999999999995</v>
      </c>
      <c r="D59" s="12">
        <f t="shared" si="79"/>
        <v>42928.057553956838</v>
      </c>
      <c r="E59" s="12">
        <f t="shared" si="79"/>
        <v>14269.064748201439</v>
      </c>
      <c r="F59" s="12">
        <f t="shared" si="79"/>
        <v>1866.1870503597124</v>
      </c>
      <c r="G59" s="12">
        <f t="shared" si="79"/>
        <v>238.84892086330936</v>
      </c>
      <c r="H59" s="5">
        <v>29835</v>
      </c>
      <c r="I59" s="5">
        <v>9917</v>
      </c>
      <c r="J59" s="5">
        <v>1297</v>
      </c>
      <c r="K59" s="5">
        <v>166</v>
      </c>
      <c r="L59" s="26">
        <f t="shared" ref="L59:O59" si="93">W25*D59*1000/1000000</f>
        <v>5.5776245605410013</v>
      </c>
      <c r="M59" s="26">
        <f t="shared" si="93"/>
        <v>2.5110111863234561</v>
      </c>
      <c r="N59" s="26">
        <f t="shared" si="93"/>
        <v>3.8952144884707396</v>
      </c>
      <c r="O59" s="26">
        <f t="shared" si="93"/>
        <v>21.887910042748228</v>
      </c>
      <c r="P59" s="26">
        <f t="shared" si="81"/>
        <v>33.871760278083428</v>
      </c>
      <c r="Q59" s="26">
        <f t="shared" si="82"/>
        <v>11.983850235335197</v>
      </c>
      <c r="R59" s="26">
        <f>(LN(Q48/(Q38*0.25)))/1.02</f>
        <v>0.91474777399567797</v>
      </c>
      <c r="S59" s="26">
        <f>(R59-R60)/(1-0.25)</f>
        <v>0.19847341320759235</v>
      </c>
      <c r="T59" s="26">
        <f>S59+R61</f>
        <v>1.008732060285358</v>
      </c>
      <c r="V59" s="26">
        <f>(LN(Q51/(Q39*0.25)))/1.02</f>
        <v>0.43323258549818777</v>
      </c>
      <c r="W59" s="26">
        <f>(V59-V60)/(1-0.25)</f>
        <v>0.45966626715554776</v>
      </c>
      <c r="X59" s="26">
        <f>W59+V61</f>
        <v>0.84249570614689706</v>
      </c>
      <c r="Z59" s="26">
        <f>(LN(Q54/(Q40*0.25)))/1.02</f>
        <v>0.55364913653230052</v>
      </c>
      <c r="AA59" s="26">
        <f>(Z59-Z60)/(1-0.25)</f>
        <v>0.37617501644329693</v>
      </c>
      <c r="AB59" s="26">
        <f>AA59+Z61</f>
        <v>0.57041572213891689</v>
      </c>
    </row>
    <row r="60" spans="1:28" x14ac:dyDescent="0.2">
      <c r="A60" s="5" t="s">
        <v>108</v>
      </c>
      <c r="B60" s="10">
        <v>40</v>
      </c>
      <c r="C60" s="6">
        <f t="shared" si="87"/>
        <v>0.69499999999999995</v>
      </c>
      <c r="D60" s="12">
        <f t="shared" si="79"/>
        <v>10122.302158273382</v>
      </c>
      <c r="E60" s="12">
        <f t="shared" si="79"/>
        <v>3823.0215827338134</v>
      </c>
      <c r="F60" s="12">
        <f t="shared" si="79"/>
        <v>467.6258992805756</v>
      </c>
      <c r="G60" s="12">
        <f t="shared" si="79"/>
        <v>70.503597122302168</v>
      </c>
      <c r="H60" s="5">
        <v>7035</v>
      </c>
      <c r="I60" s="5">
        <v>2657</v>
      </c>
      <c r="J60" s="5">
        <v>325</v>
      </c>
      <c r="K60" s="5">
        <v>49</v>
      </c>
      <c r="L60" s="26">
        <f t="shared" ref="L60:O60" si="94">W26*D60*1000/1000000</f>
        <v>1.4836256808862445</v>
      </c>
      <c r="M60" s="26">
        <f t="shared" si="94"/>
        <v>0.66203886347917063</v>
      </c>
      <c r="N60" s="26">
        <f t="shared" si="94"/>
        <v>1.2418561809190094</v>
      </c>
      <c r="O60" s="26">
        <f t="shared" si="94"/>
        <v>3.2803272782918169</v>
      </c>
      <c r="P60" s="26">
        <f t="shared" si="81"/>
        <v>6.6678480035762409</v>
      </c>
      <c r="Q60" s="26">
        <f t="shared" si="82"/>
        <v>3.3875207252844244</v>
      </c>
      <c r="R60" s="26">
        <f>(LN(Q49/Q38))/1.02</f>
        <v>0.76589271408998372</v>
      </c>
      <c r="S60" s="10"/>
      <c r="T60" s="10"/>
      <c r="V60" s="26">
        <f>(LN(Q52/Q39))/1.02</f>
        <v>8.8482885131526953E-2</v>
      </c>
      <c r="W60" s="10"/>
      <c r="X60" s="10"/>
      <c r="Z60" s="26">
        <f>(LN(Q55/Q40))/1.02</f>
        <v>0.27151787419982781</v>
      </c>
      <c r="AA60" s="10"/>
      <c r="AB60" s="10"/>
    </row>
    <row r="61" spans="1:28" x14ac:dyDescent="0.2">
      <c r="A61" s="5" t="s">
        <v>109</v>
      </c>
      <c r="B61" s="10">
        <v>40</v>
      </c>
      <c r="C61" s="6">
        <f t="shared" si="87"/>
        <v>0.69499999999999995</v>
      </c>
      <c r="D61" s="12">
        <f t="shared" si="79"/>
        <v>38618.705035971223</v>
      </c>
      <c r="E61" s="12">
        <f t="shared" si="79"/>
        <v>12195.683453237411</v>
      </c>
      <c r="F61" s="12">
        <f t="shared" si="79"/>
        <v>1458.9928057553957</v>
      </c>
      <c r="G61" s="12">
        <f t="shared" si="79"/>
        <v>139.56834532374103</v>
      </c>
      <c r="H61" s="5">
        <v>26840</v>
      </c>
      <c r="I61" s="5">
        <v>8476</v>
      </c>
      <c r="J61" s="5">
        <v>1014</v>
      </c>
      <c r="K61" s="5">
        <v>97</v>
      </c>
      <c r="L61" s="26">
        <f t="shared" ref="L61:O61" si="95">W27*D61*1000/1000000</f>
        <v>5.0213654843034652</v>
      </c>
      <c r="M61" s="26">
        <f t="shared" si="95"/>
        <v>2.004758055588443</v>
      </c>
      <c r="N61" s="26">
        <f t="shared" si="95"/>
        <v>2.6396388057317193</v>
      </c>
      <c r="O61" s="26">
        <f t="shared" si="95"/>
        <v>5.5640342724868033</v>
      </c>
      <c r="P61" s="26">
        <f t="shared" si="81"/>
        <v>15.229796618110431</v>
      </c>
      <c r="Q61" s="26">
        <f t="shared" si="82"/>
        <v>9.6657623456236266</v>
      </c>
      <c r="R61" s="26">
        <f>LN(Q50/Q38)/1.02</f>
        <v>0.81025864707776563</v>
      </c>
      <c r="S61" s="10"/>
      <c r="T61" s="10"/>
      <c r="V61" s="26">
        <f>LN(Q53/Q39)/1.02</f>
        <v>0.3828294389913493</v>
      </c>
      <c r="W61" s="10"/>
      <c r="X61" s="10"/>
      <c r="Z61" s="26">
        <f>LN(Q56/Q40)/1.02</f>
        <v>0.19424070569561996</v>
      </c>
      <c r="AA61" s="10"/>
      <c r="AB61" s="10"/>
    </row>
    <row r="62" spans="1:28" x14ac:dyDescent="0.2">
      <c r="A62" s="5" t="s">
        <v>110</v>
      </c>
      <c r="B62" s="10">
        <v>40</v>
      </c>
      <c r="C62" s="6">
        <f t="shared" si="87"/>
        <v>0.69499999999999995</v>
      </c>
      <c r="D62" s="12">
        <f t="shared" si="79"/>
        <v>40192.80575539569</v>
      </c>
      <c r="E62" s="12">
        <f t="shared" si="79"/>
        <v>10874.820143884894</v>
      </c>
      <c r="F62" s="12">
        <f t="shared" si="79"/>
        <v>1484.8920863309354</v>
      </c>
      <c r="G62" s="12">
        <f t="shared" si="79"/>
        <v>164.02877697841728</v>
      </c>
      <c r="H62" s="5">
        <v>27934</v>
      </c>
      <c r="I62" s="5">
        <v>7558</v>
      </c>
      <c r="J62" s="5">
        <v>1032</v>
      </c>
      <c r="K62" s="5">
        <v>114</v>
      </c>
      <c r="L62" s="26">
        <f t="shared" ref="L62:O62" si="96">W28*D62*1000/1000000</f>
        <v>5.1206057616786333</v>
      </c>
      <c r="M62" s="26">
        <f t="shared" si="96"/>
        <v>1.932641147838845</v>
      </c>
      <c r="N62" s="26">
        <f t="shared" si="96"/>
        <v>3.8836870146722471</v>
      </c>
      <c r="O62" s="26">
        <f t="shared" si="96"/>
        <v>25.467869618077629</v>
      </c>
      <c r="P62" s="26">
        <f t="shared" si="81"/>
        <v>36.404803542267352</v>
      </c>
      <c r="Q62" s="26">
        <f t="shared" si="82"/>
        <v>10.936933924189725</v>
      </c>
    </row>
    <row r="63" spans="1:28" x14ac:dyDescent="0.2">
      <c r="A63" s="5" t="s">
        <v>111</v>
      </c>
      <c r="B63" s="10">
        <v>50</v>
      </c>
      <c r="C63" s="6">
        <f t="shared" si="87"/>
        <v>0.69499999999999995</v>
      </c>
      <c r="D63" s="12">
        <f t="shared" si="79"/>
        <v>2912.2302158273383</v>
      </c>
      <c r="E63" s="12">
        <f t="shared" si="79"/>
        <v>1359.7122302158275</v>
      </c>
      <c r="F63" s="12">
        <f t="shared" si="79"/>
        <v>214.3884892086331</v>
      </c>
      <c r="G63" s="12">
        <f t="shared" si="79"/>
        <v>30.215827338129497</v>
      </c>
      <c r="H63" s="5">
        <v>2024</v>
      </c>
      <c r="I63" s="5">
        <v>945</v>
      </c>
      <c r="J63" s="5">
        <v>149</v>
      </c>
      <c r="K63" s="5">
        <v>21</v>
      </c>
      <c r="L63" s="26">
        <f t="shared" ref="L63:O63" si="97">W29*D63*1000/1000000</f>
        <v>0.4209303551801426</v>
      </c>
      <c r="M63" s="26">
        <f t="shared" si="97"/>
        <v>0.24833824379552585</v>
      </c>
      <c r="N63" s="26">
        <f t="shared" si="97"/>
        <v>0.92021094051121866</v>
      </c>
      <c r="O63" s="26">
        <f t="shared" si="97"/>
        <v>0.79842510031892422</v>
      </c>
      <c r="P63" s="26">
        <f t="shared" si="81"/>
        <v>2.3879046398058112</v>
      </c>
      <c r="Q63" s="26">
        <f t="shared" si="82"/>
        <v>1.589479539486887</v>
      </c>
    </row>
    <row r="64" spans="1:28" x14ac:dyDescent="0.2">
      <c r="A64" s="5" t="s">
        <v>112</v>
      </c>
      <c r="B64" s="10">
        <v>50</v>
      </c>
      <c r="C64" s="6">
        <f t="shared" si="87"/>
        <v>0.69499999999999995</v>
      </c>
      <c r="D64" s="12">
        <f t="shared" si="79"/>
        <v>8464.7482014388497</v>
      </c>
      <c r="E64" s="12">
        <f t="shared" si="79"/>
        <v>3765.4676258992808</v>
      </c>
      <c r="F64" s="12">
        <f t="shared" si="79"/>
        <v>732.37410071942452</v>
      </c>
      <c r="G64" s="12">
        <f t="shared" si="79"/>
        <v>86.330935251798564</v>
      </c>
      <c r="H64" s="5">
        <v>5883</v>
      </c>
      <c r="I64" s="5">
        <v>2617</v>
      </c>
      <c r="J64" s="5">
        <v>509</v>
      </c>
      <c r="K64" s="5">
        <v>60</v>
      </c>
      <c r="L64" s="26">
        <f t="shared" ref="L64:O64" si="98">W30*D64*1000/1000000</f>
        <v>1.1206660843521061</v>
      </c>
      <c r="M64" s="26">
        <f t="shared" si="98"/>
        <v>0.71620446248107072</v>
      </c>
      <c r="N64" s="26">
        <f t="shared" si="98"/>
        <v>1.8520753510294417</v>
      </c>
      <c r="O64" s="26">
        <f t="shared" si="98"/>
        <v>12.732150806938536</v>
      </c>
      <c r="P64" s="26">
        <f t="shared" si="81"/>
        <v>16.421096704801155</v>
      </c>
      <c r="Q64" s="26">
        <f t="shared" si="82"/>
        <v>3.6889458978626184</v>
      </c>
      <c r="R64" s="6" t="s">
        <v>555</v>
      </c>
      <c r="S64" s="6" t="s">
        <v>555</v>
      </c>
      <c r="T64" s="6" t="s">
        <v>555</v>
      </c>
      <c r="V64" s="6" t="s">
        <v>556</v>
      </c>
      <c r="W64" s="6" t="s">
        <v>556</v>
      </c>
      <c r="X64" s="6" t="s">
        <v>556</v>
      </c>
      <c r="Z64" s="6" t="s">
        <v>558</v>
      </c>
      <c r="AA64" s="6" t="s">
        <v>557</v>
      </c>
      <c r="AB64" s="6" t="s">
        <v>557</v>
      </c>
    </row>
    <row r="65" spans="1:28" x14ac:dyDescent="0.2">
      <c r="A65" s="5" t="s">
        <v>113</v>
      </c>
      <c r="B65" s="10">
        <v>50</v>
      </c>
      <c r="C65" s="6">
        <f t="shared" si="87"/>
        <v>0.69499999999999995</v>
      </c>
      <c r="D65" s="12">
        <f t="shared" si="79"/>
        <v>8456.1151079136689</v>
      </c>
      <c r="E65" s="12">
        <f t="shared" si="79"/>
        <v>3588.4892086330938</v>
      </c>
      <c r="F65" s="12">
        <f t="shared" si="79"/>
        <v>699.28057553956842</v>
      </c>
      <c r="G65" s="12">
        <f t="shared" si="79"/>
        <v>71.942446043165475</v>
      </c>
      <c r="H65" s="5">
        <v>5877</v>
      </c>
      <c r="I65" s="5">
        <v>2494</v>
      </c>
      <c r="J65" s="5">
        <v>486</v>
      </c>
      <c r="K65" s="5">
        <v>50</v>
      </c>
      <c r="L65" s="26">
        <f>W31*D65*1000/1000000</f>
        <v>1.1530550716147969</v>
      </c>
      <c r="M65" s="26">
        <f t="shared" ref="M65:O65" si="99">X31*E65*1000/1000000</f>
        <v>0.71016048650511865</v>
      </c>
      <c r="N65" s="26">
        <f t="shared" si="99"/>
        <v>1.8033636031292455</v>
      </c>
      <c r="O65" s="26">
        <f t="shared" si="99"/>
        <v>10.22607855744822</v>
      </c>
      <c r="P65" s="26">
        <f t="shared" si="81"/>
        <v>13.892657718697382</v>
      </c>
      <c r="Q65" s="26">
        <f t="shared" si="82"/>
        <v>3.6665791612491612</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0.46438761152666858</v>
      </c>
      <c r="S66" s="26">
        <f>(R66-R67)/(1-0.25)</f>
        <v>0.31675999392456139</v>
      </c>
      <c r="T66" s="26">
        <f>S66+R68</f>
        <v>0.58655528261823253</v>
      </c>
      <c r="V66" s="26">
        <f>(LN(L60/(L42*0.25)))/1.02</f>
        <v>0.57877717767616188</v>
      </c>
      <c r="W66" s="26">
        <f>(V66-V67)/(1-0.25)</f>
        <v>0.21840696981330229</v>
      </c>
      <c r="X66" s="26">
        <f>W66+V68</f>
        <v>0.6525660175211816</v>
      </c>
      <c r="Z66" s="26">
        <f>(LN(L63/(L43*0.25)))/1.02</f>
        <v>0.33108249910728016</v>
      </c>
      <c r="AA66" s="26">
        <f>(Z66-Z67)/(1-0.25)</f>
        <v>0.53213496510620673</v>
      </c>
      <c r="AB66" s="26">
        <f>AA66+Z68</f>
        <v>0.49204935528784388</v>
      </c>
    </row>
    <row r="67" spans="1:28" x14ac:dyDescent="0.2">
      <c r="M67" s="12"/>
      <c r="N67" s="12"/>
      <c r="R67" s="26">
        <f>(LN(L58/L41))/$B$1</f>
        <v>0.22681761608324755</v>
      </c>
      <c r="V67" s="26">
        <f>(LN(L61/L42))/1.02</f>
        <v>0.41497195031618517</v>
      </c>
      <c r="Z67" s="26">
        <f>(LN(L64/L43))/1.02</f>
        <v>-6.8018724722374843E-2</v>
      </c>
    </row>
    <row r="68" spans="1:28" x14ac:dyDescent="0.2">
      <c r="M68" s="12"/>
      <c r="N68" s="12"/>
      <c r="R68" s="26">
        <f>LN(L59/L41)/$B$1</f>
        <v>0.26979528869367109</v>
      </c>
      <c r="V68" s="26">
        <f>LN(L62/L42)/1.02</f>
        <v>0.43415904770787928</v>
      </c>
      <c r="Z68" s="26">
        <f>LN(L65/L43)/1.02</f>
        <v>-4.0085609818362872E-2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0.5024807373940523</v>
      </c>
      <c r="S71" s="26">
        <f>(R71-R72)/(1-0.25)</f>
        <v>0.31225815958213077</v>
      </c>
      <c r="T71" s="26">
        <f>S71+R73</f>
        <v>0.42475245984828414</v>
      </c>
      <c r="V71" s="26">
        <f>(LN(M60/(M42*0.25)))/1.02</f>
        <v>0.61749431097337049</v>
      </c>
      <c r="W71" s="26">
        <f>(V71-V72)/(1-0.25)</f>
        <v>0.36384308439961849</v>
      </c>
      <c r="X71" s="26">
        <f>W71+V73</f>
        <v>0.67253758682777665</v>
      </c>
      <c r="Z71" s="26">
        <f>(LN(M63/(M43*0.25)))/1.02</f>
        <v>0.41748298503404568</v>
      </c>
      <c r="AA71" s="26">
        <f>(Z71-Z72)/(1-0.25)</f>
        <v>0.42760833462635217</v>
      </c>
      <c r="AB71" s="26">
        <f>AA71+Z73</f>
        <v>0.51607653291022448</v>
      </c>
    </row>
    <row r="72" spans="1:28" x14ac:dyDescent="0.2">
      <c r="M72" s="12"/>
      <c r="N72" s="12"/>
      <c r="R72" s="26">
        <f>(LN(M58/M41))/$B$1</f>
        <v>0.26828711770745423</v>
      </c>
      <c r="V72" s="26">
        <f>(LN(M61/M42))/1.02</f>
        <v>0.34461199767365663</v>
      </c>
      <c r="Z72" s="26">
        <f>(LN(M64/M43))/1.02</f>
        <v>9.6776734064281555E-2</v>
      </c>
    </row>
    <row r="73" spans="1:28" x14ac:dyDescent="0.2">
      <c r="M73" s="12"/>
      <c r="N73" s="12"/>
      <c r="R73" s="26">
        <f>LN(M59/M41)/$B$1</f>
        <v>0.1124943002661534</v>
      </c>
      <c r="V73" s="26">
        <f>LN(M62/M42)/1.02</f>
        <v>0.30869450242815816</v>
      </c>
      <c r="Z73" s="26">
        <f>LN(M65/M43)/1.02</f>
        <v>8.8468198283872354E-2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0.23136299250274275</v>
      </c>
      <c r="S76" s="26">
        <f>(R76-R77)/(1-0.25)</f>
        <v>0.29955961265009245</v>
      </c>
      <c r="T76" s="26">
        <f>S76+R78</f>
        <v>0.2064418372363358</v>
      </c>
      <c r="V76" s="26">
        <f>(LN(N60/(N42*0.25)))/1.02</f>
        <v>0.63880661981404507</v>
      </c>
      <c r="W76" s="26">
        <f>(V76-V77)/(1-0.25)</f>
        <v>0.82648294088549923</v>
      </c>
      <c r="X76" s="26">
        <f>W76+V78</f>
        <v>1.2239987983184115</v>
      </c>
      <c r="Z76" s="26">
        <f>(LN(N63/(N43*0.25)))/1.02</f>
        <v>0.85091792205930972</v>
      </c>
      <c r="AA76" s="26">
        <f>(Z76-Z77)/(1-0.25)</f>
        <v>0.89782377433532412</v>
      </c>
      <c r="AB76" s="26">
        <f>AA76+Z78</f>
        <v>1.0492432458599756</v>
      </c>
    </row>
    <row r="77" spans="1:28" x14ac:dyDescent="0.2">
      <c r="M77" s="12"/>
      <c r="N77" s="12"/>
      <c r="R77" s="26">
        <f>(LN(N58/N41))/$B$1</f>
        <v>6.6932830151734011E-3</v>
      </c>
      <c r="V77" s="26">
        <f>(LN(N61/N42))/1.02</f>
        <v>1.894441414992061E-2</v>
      </c>
      <c r="Z77" s="26">
        <f>(LN(N64/N43))/1.02</f>
        <v>0.17755009130781663</v>
      </c>
    </row>
    <row r="78" spans="1:28" x14ac:dyDescent="0.2">
      <c r="M78" s="12"/>
      <c r="N78" s="12"/>
      <c r="R78" s="26">
        <f>LN(N59/N41)/$B$1</f>
        <v>-9.3117775413756668E-2</v>
      </c>
      <c r="V78" s="26">
        <f>LN(N62/N42)/1.02</f>
        <v>0.39751585743291235</v>
      </c>
      <c r="Z78" s="26">
        <f>LN(N65/N43)/1.02</f>
        <v>0.1514194715246516</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0.7210197518855338</v>
      </c>
      <c r="S81" s="26">
        <f>(R81-R82)/(1-0.25)</f>
        <v>1.2195519902534608</v>
      </c>
      <c r="T81" s="26">
        <f>S81+R83</f>
        <v>0.91903428048200886</v>
      </c>
      <c r="V81" s="26">
        <f>(LN(O60/(O42*0.25)))/1.02</f>
        <v>-1.6623335351097137E-2</v>
      </c>
      <c r="W81" s="26">
        <f>(V81-V82)/(1-0.25)</f>
        <v>1.1214563722590081</v>
      </c>
      <c r="X81" s="26">
        <f>W81+V83</f>
        <v>1.755009590040699</v>
      </c>
      <c r="Z81" s="26">
        <f>(LN(O63/(O43*0.25)))/1.02</f>
        <v>-1.396915862550443</v>
      </c>
      <c r="AA81" s="26">
        <f>(Z81-Z82)/(1-0.25)</f>
        <v>-1.8077779204585489</v>
      </c>
      <c r="AB81" s="26">
        <f>AA81+Z83</f>
        <v>-2.0637516910080391</v>
      </c>
    </row>
    <row r="82" spans="13:28" x14ac:dyDescent="0.2">
      <c r="M82" s="12"/>
      <c r="N82" s="12"/>
      <c r="R82" s="26">
        <f>(LN(O58/O41))/$B$1</f>
        <v>-0.19364424080456175</v>
      </c>
      <c r="V82" s="26">
        <f>(LN(O61/O42))/1.02</f>
        <v>-0.85771561454535328</v>
      </c>
      <c r="Z82" s="26">
        <f>(LN(O64/O43))/1.02</f>
        <v>-4.1082422206531313E-2</v>
      </c>
    </row>
    <row r="83" spans="13:28" x14ac:dyDescent="0.2">
      <c r="M83" s="12"/>
      <c r="N83" s="12"/>
      <c r="R83" s="26">
        <f>LN(O59/O41)/$B$1</f>
        <v>-0.30051770977145198</v>
      </c>
      <c r="V83" s="26">
        <f>LN(O62/O42)/1.02</f>
        <v>0.63355321778169094</v>
      </c>
      <c r="Z83" s="26">
        <f>LN(O65/O43)/1.02</f>
        <v>-0.25597377054949005</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0.38691104741519561</v>
      </c>
      <c r="S87" s="26">
        <f>(R87-R88)/(1-0.25)</f>
        <v>0.30984016372977868</v>
      </c>
      <c r="T87" s="26">
        <f>S87+R89</f>
        <v>0.41564154165362621</v>
      </c>
      <c r="V87" s="26">
        <f>(LN(Q60/(Q42*0.25)))/$B$1</f>
        <v>0.60797327608838858</v>
      </c>
      <c r="W87" s="26">
        <f>(V87-V88)/(1-0.25)</f>
        <v>0.44157212938904339</v>
      </c>
      <c r="X87" s="26">
        <f>W87+V89</f>
        <v>0.83949915976133316</v>
      </c>
      <c r="Z87" s="26">
        <f>(LN(Q63/(Q43*0.25)))/1.02</f>
        <v>0.61499654291749539</v>
      </c>
      <c r="AA87" s="26">
        <f>(Z87-Z88)/(1-0.25)</f>
        <v>0.71158200967837315</v>
      </c>
      <c r="AB87" s="26">
        <f>AA87+Z89</f>
        <v>0.78692965908703472</v>
      </c>
    </row>
    <row r="88" spans="13:28" x14ac:dyDescent="0.2">
      <c r="M88" s="12"/>
      <c r="N88" s="12"/>
      <c r="R88" s="26">
        <f>(LN(Q58/Q41))/$B$1</f>
        <v>0.15453092461786161</v>
      </c>
      <c r="S88" s="10"/>
      <c r="T88" s="10"/>
      <c r="V88" s="26">
        <f>(LN(Q61/Q42))/$B$1</f>
        <v>0.27679417904660603</v>
      </c>
      <c r="W88" s="10"/>
      <c r="X88" s="10"/>
      <c r="Z88" s="26">
        <f>(LN(Q64/Q43))/1.02</f>
        <v>8.1310035658715488E-2</v>
      </c>
      <c r="AA88" s="10"/>
      <c r="AB88" s="10"/>
    </row>
    <row r="89" spans="13:28" x14ac:dyDescent="0.2">
      <c r="M89" s="12"/>
      <c r="N89" s="12"/>
      <c r="R89" s="26">
        <f>LN(Q59/Q41)/$B$1</f>
        <v>0.10580137792384754</v>
      </c>
      <c r="S89" s="10"/>
      <c r="T89" s="10"/>
      <c r="V89" s="26">
        <f>LN(Q62/Q42)/$B$1</f>
        <v>0.39792703037228977</v>
      </c>
      <c r="W89" s="10"/>
      <c r="X89" s="10"/>
      <c r="Z89" s="26">
        <f>LN(Q65/Q43)/1.02</f>
        <v>7.5347649408661607E-2</v>
      </c>
      <c r="AA89" s="10"/>
      <c r="AB89"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89"/>
  <sheetViews>
    <sheetView topLeftCell="I1" workbookViewId="0">
      <selection activeCell="H11" sqref="H11"/>
    </sheetView>
  </sheetViews>
  <sheetFormatPr baseColWidth="10" defaultRowHeight="16" x14ac:dyDescent="0.2"/>
  <cols>
    <col min="1" max="1" width="23.1640625" style="5" customWidth="1"/>
    <col min="2"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586</v>
      </c>
      <c r="B1" s="32">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9" t="s">
        <v>604</v>
      </c>
      <c r="AP2" s="49"/>
      <c r="AQ2" s="49"/>
      <c r="AR2" s="49"/>
      <c r="AS2" s="4" t="s">
        <v>593</v>
      </c>
      <c r="AU2" s="49"/>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116</v>
      </c>
      <c r="B4" s="10">
        <v>5</v>
      </c>
      <c r="C4" s="5">
        <v>4651</v>
      </c>
      <c r="D4" s="5">
        <v>19290</v>
      </c>
      <c r="E4" s="5">
        <v>630</v>
      </c>
      <c r="F4" s="5">
        <v>225</v>
      </c>
      <c r="G4" s="5">
        <v>7508</v>
      </c>
      <c r="H4" s="5">
        <v>20660</v>
      </c>
      <c r="I4" s="7">
        <v>167200</v>
      </c>
      <c r="J4" s="7">
        <v>290200</v>
      </c>
      <c r="K4" s="5">
        <v>17579</v>
      </c>
      <c r="L4" s="5">
        <v>49404</v>
      </c>
      <c r="M4" s="7">
        <v>565200</v>
      </c>
      <c r="N4" s="7">
        <v>3746000</v>
      </c>
      <c r="O4" s="8">
        <f>(224333+K4)/235871</f>
        <v>1.0256114571100305</v>
      </c>
      <c r="P4" s="8">
        <f>(224333+L4)/235871</f>
        <v>1.1605369036464848</v>
      </c>
      <c r="Q4" s="8">
        <f t="shared" ref="Q4:R9" si="0">(224333+M4)/235871</f>
        <v>3.3473084864184237</v>
      </c>
      <c r="R4" s="8">
        <f t="shared" si="0"/>
        <v>16.832645810633778</v>
      </c>
      <c r="S4" s="8">
        <f>4/3*3.14*((O4/2)^3)</f>
        <v>0.56458194924054517</v>
      </c>
      <c r="T4" s="8">
        <f t="shared" ref="T4:V9" si="1">4/3*3.14*((P4/2)^3)</f>
        <v>0.81800369008517315</v>
      </c>
      <c r="U4" s="8">
        <f t="shared" si="1"/>
        <v>19.627528355035484</v>
      </c>
      <c r="V4" s="8">
        <f>4/3*3.14*((R4/2)^3)</f>
        <v>2495.9481155437402</v>
      </c>
      <c r="W4" s="8">
        <f>(S4*265)/1000</f>
        <v>0.14961421654874449</v>
      </c>
      <c r="X4" s="8">
        <f>(10^(-0.665+LOG(T4, 10)*0.959))</f>
        <v>0.17837430625525699</v>
      </c>
      <c r="Y4" s="8">
        <f>(10^(-0.665+LOG(U4, 10)*0.959))</f>
        <v>3.75714644574074</v>
      </c>
      <c r="Z4" s="8">
        <f>(10^(-0.665+LOG(V4, 10)*0.959))</f>
        <v>391.69578262295141</v>
      </c>
      <c r="AA4" s="8">
        <f>W4*C4</f>
        <v>695.85572116821061</v>
      </c>
      <c r="AB4" s="8">
        <f>X4*D4</f>
        <v>3440.8403676639073</v>
      </c>
      <c r="AC4" s="8">
        <f t="shared" ref="AC4:AD9" si="2">Y4*E4</f>
        <v>2367.002260816666</v>
      </c>
      <c r="AD4" s="8">
        <f>Z4*F4</f>
        <v>88131.551090164066</v>
      </c>
      <c r="AE4" s="8">
        <f>AA4/(AA4+AB4+AC4+AD4)</f>
        <v>7.3530288691294517E-3</v>
      </c>
      <c r="AF4" s="8">
        <f>AB4/(AA4+AB4+AC4+AD4)</f>
        <v>3.6358971821089249E-2</v>
      </c>
      <c r="AG4" s="8">
        <f>AC4/(AA4+AB4+AC4+AD4)</f>
        <v>2.5011845742764778E-2</v>
      </c>
      <c r="AH4" s="8">
        <f>AD4/(AA4+AB4+AC4+AD4)</f>
        <v>0.93127615356701654</v>
      </c>
      <c r="AI4" s="8">
        <f>LN((AVERAGE(G14:G16))/G4)/1.125</f>
        <v>4.4676025762971555E-2</v>
      </c>
      <c r="AJ4" s="8">
        <f>LN((AVERAGE(H14:H16))/H4)/1.125</f>
        <v>0.29576117754854031</v>
      </c>
      <c r="AK4" s="8">
        <f>LN((AVERAGE(I14:I16))/I4)/1.125</f>
        <v>0.2175629682900132</v>
      </c>
      <c r="AL4" s="8">
        <f>LN((AVERAGE(J14:J16))/J4)/1.125</f>
        <v>1.1664710352465855E-2</v>
      </c>
      <c r="AM4" s="15">
        <f>(AI4*AE4)+(AJ4*AF4)+(AG4*AK4)+(AH4*AL4)</f>
        <v>2.7386794419178247E-2</v>
      </c>
      <c r="AN4" s="10">
        <v>5</v>
      </c>
      <c r="AO4" s="50">
        <f>H4/L4</f>
        <v>0.41818476236741964</v>
      </c>
      <c r="AP4" s="50">
        <f>I4/M4</f>
        <v>0.29582448690728946</v>
      </c>
      <c r="AQ4" s="50">
        <f>LN((AVERAGE(AO14:AO16))/AO4)/1.125</f>
        <v>0.11248996765773514</v>
      </c>
      <c r="AR4" s="50">
        <f>LN((AVERAGE(AP14:AP16))/AP4)/1.125</f>
        <v>-2.8670712044735806E-2</v>
      </c>
      <c r="AS4" s="8">
        <f>AB4/(AB4+AC4)</f>
        <v>0.59244724552119743</v>
      </c>
      <c r="AT4" s="8">
        <f>AC4/(AC4+AB4)</f>
        <v>0.40755275447880246</v>
      </c>
      <c r="AU4" s="50">
        <f>(AQ4*AS4)+(AR4*AT4)</f>
        <v>5.495954382089311E-2</v>
      </c>
      <c r="AV4" s="46">
        <f>H4</f>
        <v>20660</v>
      </c>
      <c r="AW4" s="46">
        <f t="shared" ref="AW4:AW11" si="3">I4</f>
        <v>167200</v>
      </c>
      <c r="AX4" s="48">
        <f>LN((AVERAGE(AV14:AV16))/AV4)/1.125</f>
        <v>0.29576117754854031</v>
      </c>
      <c r="AY4" s="48">
        <f>LN((AVERAGE(AW14:AW16))/AW4)/1.125</f>
        <v>0.2175629682900132</v>
      </c>
      <c r="AZ4" s="48">
        <f t="shared" ref="AZ4:AZ9" si="4">(AX4*AS4)+(AY4*AT4)</f>
        <v>0.26389128196991779</v>
      </c>
    </row>
    <row r="5" spans="1:52" x14ac:dyDescent="0.2">
      <c r="A5" s="5" t="s">
        <v>117</v>
      </c>
      <c r="B5" s="10">
        <v>12</v>
      </c>
      <c r="C5" s="5">
        <v>4522</v>
      </c>
      <c r="D5" s="5">
        <v>21400</v>
      </c>
      <c r="E5" s="5">
        <v>646</v>
      </c>
      <c r="F5" s="5">
        <v>213</v>
      </c>
      <c r="G5" s="5">
        <v>7572</v>
      </c>
      <c r="H5" s="5">
        <v>21533</v>
      </c>
      <c r="I5" s="7">
        <v>185700</v>
      </c>
      <c r="J5" s="7">
        <v>295500</v>
      </c>
      <c r="K5" s="5">
        <v>41358</v>
      </c>
      <c r="L5" s="5">
        <v>50311</v>
      </c>
      <c r="M5" s="7">
        <v>673600</v>
      </c>
      <c r="N5" s="7">
        <v>3493000</v>
      </c>
      <c r="O5" s="8">
        <f t="shared" ref="O5:P9" si="5">(224333+K5)/235871</f>
        <v>1.126425037414519</v>
      </c>
      <c r="P5" s="8">
        <f t="shared" si="5"/>
        <v>1.1643822258777043</v>
      </c>
      <c r="Q5" s="8">
        <f t="shared" si="0"/>
        <v>3.8068817277240528</v>
      </c>
      <c r="R5" s="8">
        <f t="shared" si="0"/>
        <v>15.760025607217505</v>
      </c>
      <c r="S5" s="8">
        <f t="shared" ref="S5:S9" si="6">4/3*3.14*((O5/2)^3)</f>
        <v>0.74797190091927279</v>
      </c>
      <c r="T5" s="8">
        <f t="shared" si="1"/>
        <v>0.82616178018897102</v>
      </c>
      <c r="U5" s="8">
        <f t="shared" si="1"/>
        <v>28.872643648991442</v>
      </c>
      <c r="V5" s="8">
        <f t="shared" si="1"/>
        <v>2048.5621963965441</v>
      </c>
      <c r="W5" s="8">
        <f t="shared" ref="W5:W9" si="7">(S5*265)/1000</f>
        <v>0.1982125537436073</v>
      </c>
      <c r="X5" s="8">
        <f t="shared" ref="X5:Z9" si="8">(10^(-0.665+LOG(T5, 10)*0.959))</f>
        <v>0.18007997874247106</v>
      </c>
      <c r="Y5" s="8">
        <f t="shared" si="8"/>
        <v>5.4400964825297491</v>
      </c>
      <c r="Z5" s="8">
        <f t="shared" si="8"/>
        <v>324.1005281741393</v>
      </c>
      <c r="AA5" s="8">
        <f t="shared" ref="AA5:AB9" si="9">W5*C5</f>
        <v>896.31716802859216</v>
      </c>
      <c r="AB5" s="8">
        <f t="shared" si="9"/>
        <v>3853.7115450888805</v>
      </c>
      <c r="AC5" s="8">
        <f t="shared" si="2"/>
        <v>3514.3023277142179</v>
      </c>
      <c r="AD5" s="8">
        <f t="shared" si="2"/>
        <v>69033.412501091676</v>
      </c>
      <c r="AE5" s="8">
        <f t="shared" ref="AE5:AE9" si="10">AA5/(AA5+AB5+AC5+AD5)</f>
        <v>1.1595644671599807E-2</v>
      </c>
      <c r="AF5" s="8">
        <f t="shared" ref="AF5:AF9" si="11">AB5/(AA5+AB5+AC5+AD5)</f>
        <v>4.9855420980028653E-2</v>
      </c>
      <c r="AG5" s="8">
        <f t="shared" ref="AG5:AG9" si="12">AC5/(AA5+AB5+AC5+AD5)</f>
        <v>4.5464487922706222E-2</v>
      </c>
      <c r="AH5" s="8">
        <f t="shared" ref="AH5:AH9" si="13">AD5/(AA5+AB5+AC5+AD5)</f>
        <v>0.89308444642566531</v>
      </c>
      <c r="AI5" s="8">
        <f>LN((AVERAGE(G17:G19))/G5)/1.125</f>
        <v>0.1226526024461192</v>
      </c>
      <c r="AJ5" s="8">
        <f>LN((AVERAGE(H17:H19))/H5)/1.125</f>
        <v>0.38695101550780475</v>
      </c>
      <c r="AK5" s="8">
        <f>LN((AVERAGE(I17:I19))/I5)/1.125</f>
        <v>0.12455882798525462</v>
      </c>
      <c r="AL5" s="8">
        <f>LN((AVERAGE(J17:J19))/J5)/1.125</f>
        <v>2.7031614006923737E-3</v>
      </c>
      <c r="AM5" s="15">
        <f>(AI5*AE5)+(AJ5*AF5)+(AG5*AK5)+(AH5*AL5)</f>
        <v>2.8790996506542016E-2</v>
      </c>
      <c r="AN5" s="10">
        <v>12</v>
      </c>
      <c r="AO5" s="50">
        <f t="shared" ref="AO5:AO11" si="14">H5/L5</f>
        <v>0.42799785335214963</v>
      </c>
      <c r="AP5" s="50">
        <f t="shared" ref="AP5:AP11" si="15">I5/M5</f>
        <v>0.27568289786223277</v>
      </c>
      <c r="AQ5" s="50">
        <f>LN((AVERAGE(AO17:AO19))/AO5)/1.125</f>
        <v>0.27206820869802639</v>
      </c>
      <c r="AR5" s="50">
        <f>LN((AVERAGE(AP17:AP19))/AP5)/1.125</f>
        <v>9.0483360357323406E-2</v>
      </c>
      <c r="AS5" s="8">
        <f t="shared" ref="AS5:AS9" si="16">AB5/(AB5+AC5)</f>
        <v>0.5230326125353465</v>
      </c>
      <c r="AT5" s="8">
        <f t="shared" ref="AT5:AT9" si="17">AC5/(AC5+AB5)</f>
        <v>0.47696738746465356</v>
      </c>
      <c r="AU5" s="50">
        <f t="shared" ref="AU5:AU9" si="18">(AQ5*AS5)+(AR5*AT5)</f>
        <v>0.18545815798179596</v>
      </c>
      <c r="AV5" s="46">
        <f t="shared" ref="AV5:AV11" si="19">H5</f>
        <v>21533</v>
      </c>
      <c r="AW5" s="46">
        <f t="shared" si="3"/>
        <v>185700</v>
      </c>
      <c r="AX5" s="48">
        <f>LN((AVERAGE(AV17:AV19))/AV5)/1.125</f>
        <v>0.38695101550780475</v>
      </c>
      <c r="AY5" s="48">
        <f>LN((AVERAGE(AW17:AW19))/AW5)/1.125</f>
        <v>0.12455882798525462</v>
      </c>
      <c r="AZ5" s="48">
        <f t="shared" si="4"/>
        <v>0.26179849933403854</v>
      </c>
    </row>
    <row r="6" spans="1:52" x14ac:dyDescent="0.2">
      <c r="A6" s="5" t="s">
        <v>118</v>
      </c>
      <c r="B6" s="10">
        <v>20</v>
      </c>
      <c r="C6" s="5">
        <v>6981</v>
      </c>
      <c r="D6" s="5">
        <v>20915</v>
      </c>
      <c r="E6" s="5">
        <v>683</v>
      </c>
      <c r="F6" s="5">
        <v>177</v>
      </c>
      <c r="G6" s="5">
        <v>7589</v>
      </c>
      <c r="H6" s="5">
        <v>20949</v>
      </c>
      <c r="I6" s="7">
        <v>177300</v>
      </c>
      <c r="J6" s="7">
        <v>295500</v>
      </c>
      <c r="K6" s="5">
        <v>40992</v>
      </c>
      <c r="L6" s="5">
        <v>46514</v>
      </c>
      <c r="M6" s="7">
        <v>609900</v>
      </c>
      <c r="N6" s="7">
        <v>3182000</v>
      </c>
      <c r="O6" s="8">
        <f t="shared" si="5"/>
        <v>1.1248733417842804</v>
      </c>
      <c r="P6" s="8">
        <f t="shared" si="5"/>
        <v>1.1482844436153661</v>
      </c>
      <c r="Q6" s="8">
        <f t="shared" si="0"/>
        <v>3.5368188543737888</v>
      </c>
      <c r="R6" s="8">
        <f t="shared" si="0"/>
        <v>14.441508282069437</v>
      </c>
      <c r="S6" s="8">
        <f t="shared" si="6"/>
        <v>0.74488507325095143</v>
      </c>
      <c r="T6" s="8">
        <f t="shared" si="1"/>
        <v>0.79236784190855114</v>
      </c>
      <c r="U6" s="8">
        <f t="shared" si="1"/>
        <v>23.153510580440706</v>
      </c>
      <c r="V6" s="8">
        <f t="shared" si="1"/>
        <v>1576.217186668126</v>
      </c>
      <c r="W6" s="8">
        <f t="shared" si="7"/>
        <v>0.19739454441150212</v>
      </c>
      <c r="X6" s="8">
        <f t="shared" si="8"/>
        <v>0.17300985453043072</v>
      </c>
      <c r="Y6" s="8">
        <f t="shared" si="8"/>
        <v>4.4021775849294622</v>
      </c>
      <c r="Z6" s="8">
        <f t="shared" si="8"/>
        <v>252.06572752706165</v>
      </c>
      <c r="AA6" s="8">
        <f t="shared" si="9"/>
        <v>1378.0113145366963</v>
      </c>
      <c r="AB6" s="8">
        <f t="shared" si="9"/>
        <v>3618.5011075039583</v>
      </c>
      <c r="AC6" s="8">
        <f t="shared" si="2"/>
        <v>3006.6872905068226</v>
      </c>
      <c r="AD6" s="8">
        <f t="shared" si="2"/>
        <v>44615.633772289912</v>
      </c>
      <c r="AE6" s="8">
        <f t="shared" si="10"/>
        <v>2.6188556896339848E-2</v>
      </c>
      <c r="AF6" s="8">
        <f t="shared" si="11"/>
        <v>6.8768174204140484E-2</v>
      </c>
      <c r="AG6" s="8">
        <f t="shared" si="12"/>
        <v>5.7140895975453875E-2</v>
      </c>
      <c r="AH6" s="8">
        <f t="shared" si="13"/>
        <v>0.84790237292406567</v>
      </c>
      <c r="AI6" s="8">
        <f>LN((AVERAGE(G20:G22))/G6)/1.125</f>
        <v>0.19054613859912853</v>
      </c>
      <c r="AJ6" s="8">
        <f>LN((AVERAGE(H20:H22))/H6)/1.125</f>
        <v>0.38047216901934244</v>
      </c>
      <c r="AK6" s="8">
        <f>LN((AVERAGE(I20:I22))/I6)/1.125</f>
        <v>0.10871627404163949</v>
      </c>
      <c r="AL6" s="8">
        <f>LN((AVERAGE(J20:J22))/J6)/1.125</f>
        <v>-1.8643742325777993E-2</v>
      </c>
      <c r="AM6" s="15">
        <f t="shared" ref="AM6:AM9" si="20">(AI6*AE6)+(AJ6*AF6)+(AG6*AK6)+(AH6*AL6)</f>
        <v>2.1558576738670718E-2</v>
      </c>
      <c r="AN6" s="10">
        <v>20</v>
      </c>
      <c r="AO6" s="50">
        <f t="shared" si="14"/>
        <v>0.45038053059293975</v>
      </c>
      <c r="AP6" s="50">
        <f t="shared" si="15"/>
        <v>0.29070339399901624</v>
      </c>
      <c r="AQ6" s="50">
        <f>LN((AVERAGE(AO20:AO22))/AO6)/1.125</f>
        <v>0.3405127142435167</v>
      </c>
      <c r="AR6" s="50">
        <f>LN((AVERAGE(AP20:AP22))/AP6)/1.125</f>
        <v>0.23038178638050041</v>
      </c>
      <c r="AS6" s="8">
        <f t="shared" si="16"/>
        <v>0.54617331464723573</v>
      </c>
      <c r="AT6" s="8">
        <f t="shared" si="17"/>
        <v>0.45382668535276416</v>
      </c>
      <c r="AU6" s="50">
        <f t="shared" si="18"/>
        <v>0.29053236029661961</v>
      </c>
      <c r="AV6" s="46">
        <f t="shared" si="19"/>
        <v>20949</v>
      </c>
      <c r="AW6" s="46">
        <f t="shared" si="3"/>
        <v>177300</v>
      </c>
      <c r="AX6" s="48">
        <f>LN((AVERAGE(AV20:AV22))/AV6)/1.125</f>
        <v>0.38047216901934244</v>
      </c>
      <c r="AY6" s="48">
        <f>LN((AVERAGE(AW20:AW22))/AW6)/1.125</f>
        <v>0.10871627404163949</v>
      </c>
      <c r="AZ6" s="48">
        <f t="shared" si="4"/>
        <v>0.25714209197653759</v>
      </c>
    </row>
    <row r="7" spans="1:52" x14ac:dyDescent="0.2">
      <c r="A7" s="5" t="s">
        <v>119</v>
      </c>
      <c r="B7" s="10">
        <v>30</v>
      </c>
      <c r="C7" s="5">
        <v>98198</v>
      </c>
      <c r="D7" s="5">
        <v>38607</v>
      </c>
      <c r="E7" s="5">
        <v>1911</v>
      </c>
      <c r="F7" s="5">
        <v>266</v>
      </c>
      <c r="G7" s="5">
        <v>10083</v>
      </c>
      <c r="H7" s="5">
        <v>20092</v>
      </c>
      <c r="I7" s="7">
        <v>180300</v>
      </c>
      <c r="J7" s="7">
        <v>289700</v>
      </c>
      <c r="K7" s="5">
        <v>4604</v>
      </c>
      <c r="L7" s="5">
        <v>19989</v>
      </c>
      <c r="M7" s="7">
        <v>391200</v>
      </c>
      <c r="N7" s="7">
        <v>2695000</v>
      </c>
      <c r="O7" s="8">
        <f t="shared" si="5"/>
        <v>0.97060257513640935</v>
      </c>
      <c r="P7" s="8">
        <f t="shared" si="5"/>
        <v>1.0358289064785413</v>
      </c>
      <c r="Q7" s="8">
        <f t="shared" si="0"/>
        <v>2.6096171212230415</v>
      </c>
      <c r="R7" s="8">
        <f t="shared" si="0"/>
        <v>12.376820380631786</v>
      </c>
      <c r="S7" s="8">
        <f t="shared" si="6"/>
        <v>0.47852288823292483</v>
      </c>
      <c r="T7" s="8">
        <f t="shared" si="1"/>
        <v>0.5816242122160552</v>
      </c>
      <c r="U7" s="8">
        <f t="shared" si="1"/>
        <v>9.3005531033067665</v>
      </c>
      <c r="V7" s="8">
        <f t="shared" si="1"/>
        <v>992.2147125795924</v>
      </c>
      <c r="W7" s="8">
        <f t="shared" si="7"/>
        <v>0.12680856538172508</v>
      </c>
      <c r="X7" s="8">
        <f t="shared" si="8"/>
        <v>0.12861515212277355</v>
      </c>
      <c r="Y7" s="8">
        <f t="shared" si="8"/>
        <v>1.8356924298139088</v>
      </c>
      <c r="Z7" s="8">
        <f t="shared" si="8"/>
        <v>161.71296140910337</v>
      </c>
      <c r="AA7" s="8">
        <f t="shared" si="9"/>
        <v>12452.34750335464</v>
      </c>
      <c r="AB7" s="8">
        <f t="shared" si="9"/>
        <v>4965.445178003919</v>
      </c>
      <c r="AC7" s="8">
        <f t="shared" si="2"/>
        <v>3508.0082333743799</v>
      </c>
      <c r="AD7" s="8">
        <f t="shared" si="2"/>
        <v>43015.647734821498</v>
      </c>
      <c r="AE7" s="8">
        <f t="shared" si="10"/>
        <v>0.19474609609804971</v>
      </c>
      <c r="AF7" s="8">
        <f t="shared" si="11"/>
        <v>7.7656125766217207E-2</v>
      </c>
      <c r="AG7" s="8">
        <f t="shared" si="12"/>
        <v>5.4862820712755694E-2</v>
      </c>
      <c r="AH7" s="8">
        <f t="shared" si="13"/>
        <v>0.67273495742297729</v>
      </c>
      <c r="AI7" s="8">
        <f>LN((AVERAGE(G23:G25))/G7)/1.125</f>
        <v>5.0186897017431537E-2</v>
      </c>
      <c r="AJ7" s="8">
        <f>LN((AVERAGE(H23:H25))/H7)/1.125</f>
        <v>7.5751806200625868E-2</v>
      </c>
      <c r="AK7" s="8">
        <f>LN((AVERAGE(I23:I25))/I7)/1.125</f>
        <v>9.2321679216076383E-2</v>
      </c>
      <c r="AL7" s="8">
        <f>LN((AVERAGE(J23:J25))/J7)/1.125</f>
        <v>-1.1840358335001612E-2</v>
      </c>
      <c r="AM7" s="15">
        <f t="shared" si="20"/>
        <v>1.2755898833115601E-2</v>
      </c>
      <c r="AN7" s="10">
        <v>30</v>
      </c>
      <c r="AO7" s="50">
        <f t="shared" si="14"/>
        <v>1.0051528340587323</v>
      </c>
      <c r="AP7" s="50">
        <f t="shared" si="15"/>
        <v>0.46088957055214724</v>
      </c>
      <c r="AQ7" s="50">
        <f>LN((AVERAGE(AO23:AO25))/AO7)/1.125</f>
        <v>-2.6496810261582668E-2</v>
      </c>
      <c r="AR7" s="50">
        <f>LN((AVERAGE(AP23:AP25))/AP7)/1.125</f>
        <v>0.14771835233112476</v>
      </c>
      <c r="AS7" s="8">
        <f t="shared" si="16"/>
        <v>0.58600017453760156</v>
      </c>
      <c r="AT7" s="8">
        <f t="shared" si="17"/>
        <v>0.41399982546239839</v>
      </c>
      <c r="AU7" s="50">
        <f t="shared" si="18"/>
        <v>4.5628236644701572E-2</v>
      </c>
      <c r="AV7" s="46">
        <f t="shared" si="19"/>
        <v>20092</v>
      </c>
      <c r="AW7" s="46">
        <f t="shared" si="3"/>
        <v>180300</v>
      </c>
      <c r="AX7" s="48">
        <f>LN((AVERAGE(AV23:AV25))/AV7)/1.125</f>
        <v>7.5751806200625868E-2</v>
      </c>
      <c r="AY7" s="48">
        <f>LN((AVERAGE(AW23:AW25))/AW7)/1.125</f>
        <v>9.2321679216076383E-2</v>
      </c>
      <c r="AZ7" s="48">
        <f t="shared" si="4"/>
        <v>8.261173073695649E-2</v>
      </c>
    </row>
    <row r="8" spans="1:52" x14ac:dyDescent="0.2">
      <c r="A8" s="5" t="s">
        <v>120</v>
      </c>
      <c r="B8" s="10">
        <v>40</v>
      </c>
      <c r="C8" s="5">
        <v>20987</v>
      </c>
      <c r="D8" s="5">
        <v>11003</v>
      </c>
      <c r="E8" s="5">
        <v>1163</v>
      </c>
      <c r="F8" s="5">
        <v>167</v>
      </c>
      <c r="G8" s="5">
        <v>17028</v>
      </c>
      <c r="H8" s="5">
        <v>41927</v>
      </c>
      <c r="I8" s="7">
        <v>250100</v>
      </c>
      <c r="J8" s="7">
        <v>293100</v>
      </c>
      <c r="K8" s="5">
        <v>9982</v>
      </c>
      <c r="L8" s="5">
        <v>32791</v>
      </c>
      <c r="M8" s="7">
        <v>400500</v>
      </c>
      <c r="N8" s="7">
        <v>2240000</v>
      </c>
      <c r="O8" s="8">
        <f t="shared" si="5"/>
        <v>0.99340317376871257</v>
      </c>
      <c r="P8" s="8">
        <f t="shared" si="5"/>
        <v>1.0901043366925141</v>
      </c>
      <c r="Q8" s="8">
        <f t="shared" si="0"/>
        <v>2.6490454528110705</v>
      </c>
      <c r="R8" s="8">
        <f t="shared" si="0"/>
        <v>10.447799856701332</v>
      </c>
      <c r="S8" s="8">
        <f t="shared" si="6"/>
        <v>0.51304448935355074</v>
      </c>
      <c r="T8" s="8">
        <f t="shared" si="1"/>
        <v>0.67792648296965852</v>
      </c>
      <c r="U8" s="8">
        <f t="shared" si="1"/>
        <v>9.728516680774959</v>
      </c>
      <c r="V8" s="8">
        <f t="shared" si="1"/>
        <v>596.83314149230534</v>
      </c>
      <c r="W8" s="8">
        <f t="shared" si="7"/>
        <v>0.13595678967869093</v>
      </c>
      <c r="X8" s="8">
        <f t="shared" si="8"/>
        <v>0.14897181643571239</v>
      </c>
      <c r="Y8" s="8">
        <f t="shared" si="8"/>
        <v>1.91662309112525</v>
      </c>
      <c r="Z8" s="8">
        <f t="shared" si="8"/>
        <v>99.321429334827116</v>
      </c>
      <c r="AA8" s="8">
        <f t="shared" si="9"/>
        <v>2853.3251449866866</v>
      </c>
      <c r="AB8" s="8">
        <f t="shared" si="9"/>
        <v>1639.1368962421434</v>
      </c>
      <c r="AC8" s="8">
        <f t="shared" si="2"/>
        <v>2229.0326549786655</v>
      </c>
      <c r="AD8" s="8">
        <f t="shared" si="2"/>
        <v>16586.67869891613</v>
      </c>
      <c r="AE8" s="8">
        <f t="shared" si="10"/>
        <v>0.12241736392709519</v>
      </c>
      <c r="AF8" s="8">
        <f t="shared" si="11"/>
        <v>7.0324553900267123E-2</v>
      </c>
      <c r="AG8" s="8">
        <f t="shared" si="12"/>
        <v>9.5633090469672263E-2</v>
      </c>
      <c r="AH8" s="8">
        <f t="shared" si="13"/>
        <v>0.71162499170296556</v>
      </c>
      <c r="AI8" s="8">
        <f>LN((AVERAGE(G26:G28))/G8)/1.125</f>
        <v>5.0318855757763258E-3</v>
      </c>
      <c r="AJ8" s="8">
        <f>LN((AVERAGE(H26:H28))/H8)/1.125</f>
        <v>0.13823650456364664</v>
      </c>
      <c r="AK8" s="8">
        <f>LN((AVERAGE(I26:I28))/I8)/1.125</f>
        <v>3.1768112528485493E-2</v>
      </c>
      <c r="AL8" s="8">
        <f>LN((AVERAGE(J26:J28))/J8)/1.125</f>
        <v>-1.3855740589536284E-2</v>
      </c>
      <c r="AM8" s="15">
        <f t="shared" si="20"/>
        <v>3.5154021813601829E-3</v>
      </c>
      <c r="AN8" s="10">
        <v>40</v>
      </c>
      <c r="AO8" s="50">
        <f t="shared" si="14"/>
        <v>1.278613034064225</v>
      </c>
      <c r="AP8" s="50">
        <f t="shared" si="15"/>
        <v>0.62446941323345817</v>
      </c>
      <c r="AQ8" s="50">
        <f>LN((AVERAGE(AO26:AO28))/AO8)/1.125</f>
        <v>-2.5354720823575608E-2</v>
      </c>
      <c r="AR8" s="50">
        <f>LN((AVERAGE(AP26:AP28))/AP8)/1.125</f>
        <v>6.9677169316320925E-2</v>
      </c>
      <c r="AS8" s="8">
        <f t="shared" si="16"/>
        <v>0.42375001264482465</v>
      </c>
      <c r="AT8" s="8">
        <f t="shared" si="17"/>
        <v>0.57624998735517541</v>
      </c>
      <c r="AU8" s="50">
        <f t="shared" si="18"/>
        <v>2.9407404667878188E-2</v>
      </c>
      <c r="AV8" s="46">
        <f t="shared" si="19"/>
        <v>41927</v>
      </c>
      <c r="AW8" s="46">
        <f t="shared" si="3"/>
        <v>250100</v>
      </c>
      <c r="AX8" s="48">
        <f>LN((AVERAGE(AV26:AV28))/AV8)/1.125</f>
        <v>0.13823650456364664</v>
      </c>
      <c r="AY8" s="48">
        <f>LN((AVERAGE(AW26:AW28))/AW8)/1.125</f>
        <v>3.1768112528485493E-2</v>
      </c>
      <c r="AZ8" s="48">
        <f t="shared" si="4"/>
        <v>7.6884094999659175E-2</v>
      </c>
    </row>
    <row r="9" spans="1:52" x14ac:dyDescent="0.2">
      <c r="A9" s="5" t="s">
        <v>121</v>
      </c>
      <c r="B9" s="10">
        <v>50</v>
      </c>
      <c r="C9" s="5">
        <v>20623</v>
      </c>
      <c r="D9" s="5">
        <v>8505</v>
      </c>
      <c r="E9" s="5">
        <v>703</v>
      </c>
      <c r="F9" s="5">
        <v>85</v>
      </c>
      <c r="G9" s="5">
        <v>21278</v>
      </c>
      <c r="H9" s="5">
        <v>54413</v>
      </c>
      <c r="I9" s="7">
        <v>268100</v>
      </c>
      <c r="J9" s="7">
        <v>292000</v>
      </c>
      <c r="K9" s="5">
        <v>6403</v>
      </c>
      <c r="L9" s="5">
        <v>37707</v>
      </c>
      <c r="M9" s="7">
        <v>373400</v>
      </c>
      <c r="N9" s="7">
        <v>1940000</v>
      </c>
      <c r="O9" s="8">
        <f t="shared" si="5"/>
        <v>0.97822962551564208</v>
      </c>
      <c r="P9" s="8">
        <f t="shared" si="5"/>
        <v>1.1109462375620571</v>
      </c>
      <c r="Q9" s="8">
        <f t="shared" si="0"/>
        <v>2.5341521424846634</v>
      </c>
      <c r="R9" s="8">
        <f t="shared" si="0"/>
        <v>9.1759181925713627</v>
      </c>
      <c r="S9" s="8">
        <f t="shared" si="6"/>
        <v>0.48989254586465736</v>
      </c>
      <c r="T9" s="8">
        <f t="shared" si="1"/>
        <v>0.71755884989821195</v>
      </c>
      <c r="U9" s="8">
        <f t="shared" si="1"/>
        <v>8.5168000756037614</v>
      </c>
      <c r="V9" s="8">
        <f t="shared" si="1"/>
        <v>404.32164975281887</v>
      </c>
      <c r="W9" s="8">
        <f t="shared" si="7"/>
        <v>0.12982152465413421</v>
      </c>
      <c r="X9" s="8">
        <f t="shared" si="8"/>
        <v>0.1573139973341813</v>
      </c>
      <c r="Y9" s="8">
        <f t="shared" si="8"/>
        <v>1.6870778290496489</v>
      </c>
      <c r="Z9" s="8">
        <f t="shared" si="8"/>
        <v>68.367734631606865</v>
      </c>
      <c r="AA9" s="8">
        <f t="shared" si="9"/>
        <v>2677.3093029422098</v>
      </c>
      <c r="AB9" s="8">
        <f t="shared" si="9"/>
        <v>1337.9555473272119</v>
      </c>
      <c r="AC9" s="8">
        <f t="shared" si="2"/>
        <v>1186.0157138219031</v>
      </c>
      <c r="AD9" s="8">
        <f t="shared" si="2"/>
        <v>5811.2574436865834</v>
      </c>
      <c r="AE9" s="8">
        <f t="shared" si="10"/>
        <v>0.24311464814480427</v>
      </c>
      <c r="AF9" s="8">
        <f t="shared" si="11"/>
        <v>0.12149384150885509</v>
      </c>
      <c r="AG9" s="8">
        <f t="shared" si="12"/>
        <v>0.10769685543734304</v>
      </c>
      <c r="AH9" s="8">
        <f t="shared" si="13"/>
        <v>0.52769465490899758</v>
      </c>
      <c r="AI9" s="8">
        <f>LN((AVERAGE(G29:G31))/G9)/1.125</f>
        <v>3.7745473612983908E-2</v>
      </c>
      <c r="AJ9" s="8">
        <f>LN((AVERAGE(H29:H31))/H9)/1.125</f>
        <v>0.11312702718152273</v>
      </c>
      <c r="AK9" s="8">
        <f>LN((AVERAGE(I29:I31))/I9)/1.125</f>
        <v>-2.4347071441283672E-3</v>
      </c>
      <c r="AL9" s="8">
        <f>LN((AVERAGE(J29:J31))/J9)/1.125</f>
        <v>-1.1438066321238068E-2</v>
      </c>
      <c r="AM9" s="15">
        <f t="shared" si="20"/>
        <v>1.6622697883694033E-2</v>
      </c>
      <c r="AN9" s="10">
        <v>50</v>
      </c>
      <c r="AO9" s="50">
        <f t="shared" si="14"/>
        <v>1.4430477099742753</v>
      </c>
      <c r="AP9" s="50">
        <f t="shared" si="15"/>
        <v>0.71799678628816288</v>
      </c>
      <c r="AQ9" s="50">
        <f>LN((AVERAGE(AO29:AO31))/AO9)/1.125</f>
        <v>-1.2215581042182023E-2</v>
      </c>
      <c r="AR9" s="50">
        <f>LN((AVERAGE(AP29:AP31))/AP9)/1.125</f>
        <v>6.0533842977873946E-2</v>
      </c>
      <c r="AS9" s="8">
        <f t="shared" si="16"/>
        <v>0.53009935886435833</v>
      </c>
      <c r="AT9" s="8">
        <f t="shared" si="17"/>
        <v>0.46990064113564162</v>
      </c>
      <c r="AU9" s="50">
        <f t="shared" si="18"/>
        <v>2.1969419947090923E-2</v>
      </c>
      <c r="AV9" s="46">
        <f t="shared" si="19"/>
        <v>54413</v>
      </c>
      <c r="AW9" s="46">
        <f t="shared" si="3"/>
        <v>268100</v>
      </c>
      <c r="AX9" s="48">
        <f>LN((AVERAGE(AV29:AV31))/AV9)/1.125</f>
        <v>0.11312702718152273</v>
      </c>
      <c r="AY9" s="48">
        <f>LN((AVERAGE(AW29:AW31))/AW9)/1.125</f>
        <v>-2.4347071441283672E-3</v>
      </c>
      <c r="AZ9" s="48">
        <f t="shared" si="4"/>
        <v>5.8824494131152594E-2</v>
      </c>
    </row>
    <row r="10" spans="1:52" x14ac:dyDescent="0.2">
      <c r="A10" s="5" t="s">
        <v>122</v>
      </c>
      <c r="B10" s="10">
        <v>70</v>
      </c>
      <c r="C10" s="5">
        <v>7950</v>
      </c>
      <c r="D10" s="5">
        <v>3248</v>
      </c>
      <c r="E10" s="5">
        <v>312</v>
      </c>
      <c r="F10" s="5">
        <v>23</v>
      </c>
      <c r="G10" s="5">
        <v>25841</v>
      </c>
      <c r="H10" s="5">
        <v>76268</v>
      </c>
      <c r="I10" s="7">
        <v>283900</v>
      </c>
      <c r="J10" s="7">
        <v>286600</v>
      </c>
      <c r="K10" s="5">
        <v>9450</v>
      </c>
      <c r="L10" s="5">
        <v>50485</v>
      </c>
      <c r="M10" s="7">
        <v>333700</v>
      </c>
      <c r="N10" s="7">
        <v>1431000</v>
      </c>
      <c r="O10" s="8">
        <f t="shared" ref="O10:O11" si="21">(224333+K10)/235871</f>
        <v>0.99114770361765536</v>
      </c>
      <c r="P10" s="8">
        <f t="shared" ref="P10:P11" si="22">(224333+L10)/235871</f>
        <v>1.1651199172428996</v>
      </c>
      <c r="Q10" s="8">
        <f t="shared" ref="Q10:Q11" si="23">(224333+M10)/235871</f>
        <v>2.3658398022647971</v>
      </c>
      <c r="R10" s="8">
        <f t="shared" ref="R10:R11" si="24">(224333+N10)/235871</f>
        <v>7.0179589690975153</v>
      </c>
      <c r="S10" s="8">
        <f t="shared" ref="S10:S11" si="25">4/3*3.14*((O10/2)^3)</f>
        <v>0.50955789512739069</v>
      </c>
      <c r="T10" s="8">
        <f t="shared" ref="T10:T11" si="26">4/3*3.14*((P10/2)^3)</f>
        <v>0.82773301323383164</v>
      </c>
      <c r="U10" s="8">
        <f t="shared" ref="U10:U11" si="27">4/3*3.14*((Q10/2)^3)</f>
        <v>6.9300185898334199</v>
      </c>
      <c r="V10" s="8">
        <f t="shared" ref="V10:V11" si="28">4/3*3.14*((R10/2)^3)</f>
        <v>180.8884644022969</v>
      </c>
      <c r="W10" s="8">
        <f t="shared" ref="W10:W11" si="29">(S10*265)/1000</f>
        <v>0.13503284220875852</v>
      </c>
      <c r="X10" s="8">
        <f t="shared" ref="X10:X11" si="30">(10^(-0.665+LOG(T10, 10)*0.959))</f>
        <v>0.18040840859171439</v>
      </c>
      <c r="Y10" s="8">
        <f t="shared" ref="Y10:Y11" si="31">(10^(-0.665+LOG(U10, 10)*0.959))</f>
        <v>1.3844086023692193</v>
      </c>
      <c r="Z10" s="8">
        <f t="shared" ref="Z10:Z11" si="32">(10^(-0.665+LOG(V10, 10)*0.959))</f>
        <v>31.612367802850752</v>
      </c>
      <c r="AA10" s="8">
        <f t="shared" ref="AA10:AA11" si="33">W10*C10</f>
        <v>1073.5110955596303</v>
      </c>
      <c r="AB10" s="8">
        <f t="shared" ref="AB10:AB11" si="34">X10*D10</f>
        <v>585.96651110588834</v>
      </c>
      <c r="AC10" s="8">
        <f t="shared" ref="AC10:AC11" si="35">Y10*E10</f>
        <v>431.93548393919639</v>
      </c>
      <c r="AD10" s="8">
        <f t="shared" ref="AD10:AD11" si="36">Z10*F10</f>
        <v>727.08445946556731</v>
      </c>
      <c r="AE10" s="8">
        <f t="shared" ref="AE10:AE11" si="37">AA10/(AA10+AB10+AC10+AD10)</f>
        <v>0.38088062043298965</v>
      </c>
      <c r="AF10" s="8">
        <f t="shared" ref="AF10:AF11" si="38">AB10/(AA10+AB10+AC10+AD10)</f>
        <v>0.20790030883343386</v>
      </c>
      <c r="AG10" s="8">
        <f t="shared" ref="AG10:AG11" si="39">AC10/(AA10+AB10+AC10+AD10)</f>
        <v>0.15325026056113678</v>
      </c>
      <c r="AH10" s="8">
        <f t="shared" ref="AH10:AH11" si="40">AD10/(AA10+AB10+AC10+AD10)</f>
        <v>0.25796881017243983</v>
      </c>
      <c r="AI10" s="8"/>
      <c r="AN10" s="10">
        <v>70</v>
      </c>
      <c r="AO10" s="50">
        <f t="shared" si="14"/>
        <v>1.5107061503416856</v>
      </c>
      <c r="AP10" s="50">
        <f t="shared" si="15"/>
        <v>0.8507641594246329</v>
      </c>
      <c r="AQ10" s="51"/>
      <c r="AR10" s="51"/>
      <c r="AU10" s="51"/>
      <c r="AV10" s="46">
        <f t="shared" si="19"/>
        <v>76268</v>
      </c>
      <c r="AW10" s="46">
        <f t="shared" si="3"/>
        <v>283900</v>
      </c>
    </row>
    <row r="11" spans="1:52" x14ac:dyDescent="0.2">
      <c r="A11" s="5" t="s">
        <v>123</v>
      </c>
      <c r="B11" s="10">
        <v>100</v>
      </c>
      <c r="C11" s="5">
        <v>2917</v>
      </c>
      <c r="D11" s="5">
        <v>1223</v>
      </c>
      <c r="E11" s="5">
        <v>124</v>
      </c>
      <c r="F11" s="5">
        <v>25</v>
      </c>
      <c r="G11" s="5">
        <v>23812</v>
      </c>
      <c r="H11" s="5">
        <v>73626</v>
      </c>
      <c r="I11" s="7">
        <v>280100</v>
      </c>
      <c r="J11" s="7">
        <v>288300</v>
      </c>
      <c r="K11" s="5">
        <v>11690</v>
      </c>
      <c r="L11" s="5">
        <v>54547</v>
      </c>
      <c r="M11" s="7">
        <v>370400</v>
      </c>
      <c r="N11" s="7">
        <v>5291000</v>
      </c>
      <c r="O11" s="8">
        <f t="shared" si="21"/>
        <v>1.0006444200431592</v>
      </c>
      <c r="P11" s="8">
        <f t="shared" si="22"/>
        <v>1.1823411949752196</v>
      </c>
      <c r="Q11" s="8">
        <f t="shared" si="23"/>
        <v>2.5214333258433634</v>
      </c>
      <c r="R11" s="8">
        <f t="shared" si="24"/>
        <v>23.382836380903122</v>
      </c>
      <c r="S11" s="8">
        <f t="shared" si="25"/>
        <v>0.52434572492633558</v>
      </c>
      <c r="T11" s="8">
        <f t="shared" si="26"/>
        <v>0.86498158592596086</v>
      </c>
      <c r="U11" s="8">
        <f t="shared" si="27"/>
        <v>8.3892060917841302</v>
      </c>
      <c r="V11" s="8">
        <f t="shared" si="28"/>
        <v>6690.6755452966145</v>
      </c>
      <c r="W11" s="8">
        <f t="shared" si="29"/>
        <v>0.13895161710547893</v>
      </c>
      <c r="X11" s="8">
        <f t="shared" si="30"/>
        <v>0.18818698345323351</v>
      </c>
      <c r="Y11" s="8">
        <f t="shared" si="31"/>
        <v>1.6628317493455673</v>
      </c>
      <c r="Z11" s="8">
        <f t="shared" si="32"/>
        <v>1008.3834311737219</v>
      </c>
      <c r="AA11" s="8">
        <f t="shared" si="33"/>
        <v>405.32186709668201</v>
      </c>
      <c r="AB11" s="8">
        <f t="shared" si="34"/>
        <v>230.15268076330457</v>
      </c>
      <c r="AC11" s="8">
        <f t="shared" si="35"/>
        <v>206.19113691885036</v>
      </c>
      <c r="AD11" s="8">
        <f t="shared" si="36"/>
        <v>25209.585779343048</v>
      </c>
      <c r="AE11" s="8">
        <f t="shared" si="37"/>
        <v>1.5558633244736686E-2</v>
      </c>
      <c r="AF11" s="8">
        <f t="shared" si="38"/>
        <v>8.8346113076476877E-3</v>
      </c>
      <c r="AG11" s="8">
        <f t="shared" si="39"/>
        <v>7.9148265565214572E-3</v>
      </c>
      <c r="AH11" s="8">
        <f t="shared" si="40"/>
        <v>0.96769192889109423</v>
      </c>
      <c r="AI11" s="8"/>
      <c r="AN11" s="10">
        <v>100</v>
      </c>
      <c r="AO11" s="50">
        <f t="shared" si="14"/>
        <v>1.3497717564669001</v>
      </c>
      <c r="AP11" s="50">
        <f t="shared" si="15"/>
        <v>0.75620950323974079</v>
      </c>
      <c r="AQ11" s="51"/>
      <c r="AR11" s="51"/>
      <c r="AU11" s="51"/>
      <c r="AV11" s="46">
        <f t="shared" si="19"/>
        <v>73626</v>
      </c>
      <c r="AW11" s="46">
        <f t="shared" si="3"/>
        <v>280100</v>
      </c>
    </row>
    <row r="13" spans="1:52" x14ac:dyDescent="0.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x14ac:dyDescent="0.2">
      <c r="A14" s="5" t="s">
        <v>124</v>
      </c>
      <c r="B14" s="10">
        <v>5</v>
      </c>
      <c r="C14" s="5">
        <v>1880</v>
      </c>
      <c r="D14" s="5">
        <v>9491</v>
      </c>
      <c r="E14" s="5">
        <v>284</v>
      </c>
      <c r="F14" s="5">
        <v>75</v>
      </c>
      <c r="G14" s="5">
        <v>7691</v>
      </c>
      <c r="H14" s="5">
        <v>27807</v>
      </c>
      <c r="I14" s="7">
        <v>216900</v>
      </c>
      <c r="J14" s="7">
        <v>296300</v>
      </c>
      <c r="K14" s="5">
        <v>47067</v>
      </c>
      <c r="L14" s="5">
        <v>59789</v>
      </c>
      <c r="M14" s="7">
        <v>744700</v>
      </c>
      <c r="N14" s="7">
        <v>3088000</v>
      </c>
      <c r="O14" s="8">
        <f t="shared" ref="O14:R19" si="41">(224333+K14)/235871</f>
        <v>1.1506289454829122</v>
      </c>
      <c r="P14" s="8">
        <f t="shared" si="41"/>
        <v>1.2045652072531172</v>
      </c>
      <c r="Q14" s="8">
        <f t="shared" si="41"/>
        <v>4.1083176821228555</v>
      </c>
      <c r="R14" s="8">
        <f t="shared" si="41"/>
        <v>14.042985360642046</v>
      </c>
      <c r="S14" s="8">
        <f t="shared" ref="S14:V19" si="42">4/3*3.14*((O14/2)^3)</f>
        <v>0.79723119289934785</v>
      </c>
      <c r="T14" s="8">
        <f t="shared" si="42"/>
        <v>0.91468033501480961</v>
      </c>
      <c r="U14" s="8">
        <f t="shared" si="42"/>
        <v>36.288620075451824</v>
      </c>
      <c r="V14" s="8">
        <f t="shared" si="42"/>
        <v>1449.2947767618427</v>
      </c>
      <c r="W14" s="8">
        <f t="shared" ref="W14:W31" si="43">(S14*265)/1000</f>
        <v>0.21126626611832716</v>
      </c>
      <c r="X14" s="8">
        <f t="shared" ref="X14:Z29" si="44">(10^(-0.665+LOG(T14, 10)*0.959))</f>
        <v>0.1985442431714553</v>
      </c>
      <c r="Y14" s="8">
        <f t="shared" si="44"/>
        <v>6.7736049675626626</v>
      </c>
      <c r="Z14" s="8">
        <f t="shared" si="44"/>
        <v>232.56764822207288</v>
      </c>
      <c r="AA14" s="8">
        <f t="shared" ref="AA14:AA19" si="45">W14*C14</f>
        <v>397.18058030245504</v>
      </c>
      <c r="AB14" s="8">
        <f t="shared" ref="AB14:AB19" si="46">X14*D14</f>
        <v>1884.3834119402823</v>
      </c>
      <c r="AC14" s="8">
        <f t="shared" ref="AC14:AC19" si="47">Y14*E14</f>
        <v>1923.7038107877961</v>
      </c>
      <c r="AD14" s="8">
        <f t="shared" ref="AD14:AD19" si="48">Z14*F14</f>
        <v>17442.573616655467</v>
      </c>
      <c r="AE14" s="8">
        <f t="shared" ref="AE14:AE19" si="49">AA14/(AA14+AB14+AC14+AD14)</f>
        <v>1.8347352634488032E-2</v>
      </c>
      <c r="AF14" s="8">
        <f t="shared" ref="AF14:AF19" si="50">AB14/(AA14+AB14+AC14+AD14)</f>
        <v>8.7047173683870008E-2</v>
      </c>
      <c r="AG14" s="8">
        <f t="shared" ref="AG14:AG19" si="51">AC14/(AA14+AB14+AC14+AD14)</f>
        <v>8.8863539486132251E-2</v>
      </c>
      <c r="AH14" s="8">
        <f t="shared" ref="AH14:AH19" si="52">AD14/(AA14+AB14+AC14+AD14)</f>
        <v>0.80574193419550977</v>
      </c>
      <c r="AI14" s="8"/>
      <c r="AN14" s="10">
        <v>5</v>
      </c>
      <c r="AO14" s="8">
        <f t="shared" ref="AO14:AO31" si="53">H14/L14</f>
        <v>0.46508555085383602</v>
      </c>
      <c r="AP14" s="8">
        <f t="shared" ref="AP14:AP31" si="54">I14/M14</f>
        <v>0.29125822478850544</v>
      </c>
      <c r="AV14" s="5">
        <f t="shared" ref="AV14:AW29" si="55">H14</f>
        <v>27807</v>
      </c>
      <c r="AW14" s="5">
        <f t="shared" si="55"/>
        <v>216900</v>
      </c>
    </row>
    <row r="15" spans="1:52" x14ac:dyDescent="0.2">
      <c r="A15" s="5" t="s">
        <v>125</v>
      </c>
      <c r="B15" s="10">
        <v>5</v>
      </c>
      <c r="C15" s="5">
        <v>6115</v>
      </c>
      <c r="D15" s="5">
        <v>29838</v>
      </c>
      <c r="E15" s="5">
        <v>843</v>
      </c>
      <c r="F15" s="5">
        <v>199</v>
      </c>
      <c r="G15" s="5">
        <v>7940</v>
      </c>
      <c r="H15" s="5">
        <v>28662</v>
      </c>
      <c r="I15" s="7">
        <v>210600</v>
      </c>
      <c r="J15" s="7">
        <v>292200</v>
      </c>
      <c r="K15" s="5">
        <v>32229</v>
      </c>
      <c r="L15" s="5">
        <v>61115</v>
      </c>
      <c r="M15" s="7">
        <v>749400</v>
      </c>
      <c r="N15" s="7">
        <v>3116000</v>
      </c>
      <c r="O15" s="8">
        <f t="shared" si="41"/>
        <v>1.0877216783750441</v>
      </c>
      <c r="P15" s="8">
        <f t="shared" si="41"/>
        <v>1.2101869242085717</v>
      </c>
      <c r="Q15" s="8">
        <f t="shared" si="41"/>
        <v>4.1282438281942246</v>
      </c>
      <c r="R15" s="8">
        <f t="shared" si="41"/>
        <v>14.161694315960842</v>
      </c>
      <c r="S15" s="8">
        <f t="shared" si="42"/>
        <v>0.67349092801528643</v>
      </c>
      <c r="T15" s="8">
        <f t="shared" si="42"/>
        <v>0.92754666061554114</v>
      </c>
      <c r="U15" s="8">
        <f t="shared" si="42"/>
        <v>36.819205982108436</v>
      </c>
      <c r="V15" s="8">
        <f t="shared" si="42"/>
        <v>1486.3601222079569</v>
      </c>
      <c r="W15" s="8">
        <f t="shared" si="43"/>
        <v>0.17847509592405089</v>
      </c>
      <c r="X15" s="8">
        <f t="shared" si="44"/>
        <v>0.2012217861862223</v>
      </c>
      <c r="Y15" s="8">
        <f t="shared" si="44"/>
        <v>6.8685547974937586</v>
      </c>
      <c r="Z15" s="8">
        <f t="shared" si="44"/>
        <v>238.26868019352901</v>
      </c>
      <c r="AA15" s="8">
        <f t="shared" si="45"/>
        <v>1091.3752115755713</v>
      </c>
      <c r="AB15" s="8">
        <f t="shared" si="46"/>
        <v>6004.055656224501</v>
      </c>
      <c r="AC15" s="8">
        <f t="shared" si="47"/>
        <v>5790.1916942872385</v>
      </c>
      <c r="AD15" s="8">
        <f t="shared" si="48"/>
        <v>47415.467358512273</v>
      </c>
      <c r="AE15" s="8">
        <f t="shared" si="49"/>
        <v>1.8098764267986213E-2</v>
      </c>
      <c r="AF15" s="8">
        <f t="shared" si="50"/>
        <v>9.9567945855211532E-2</v>
      </c>
      <c r="AG15" s="8">
        <f t="shared" si="51"/>
        <v>9.602134392448583E-2</v>
      </c>
      <c r="AH15" s="8">
        <f t="shared" si="52"/>
        <v>0.78631194595231646</v>
      </c>
      <c r="AI15" s="8"/>
      <c r="AN15" s="10">
        <v>5</v>
      </c>
      <c r="AO15" s="8">
        <f t="shared" si="53"/>
        <v>0.46898470097357442</v>
      </c>
      <c r="AP15" s="8">
        <f t="shared" si="54"/>
        <v>0.28102481985588473</v>
      </c>
      <c r="AV15" s="5">
        <f t="shared" si="55"/>
        <v>28662</v>
      </c>
      <c r="AW15" s="5">
        <f t="shared" si="55"/>
        <v>210600</v>
      </c>
    </row>
    <row r="16" spans="1:52" x14ac:dyDescent="0.2">
      <c r="A16" s="5" t="s">
        <v>126</v>
      </c>
      <c r="B16" s="10">
        <v>5</v>
      </c>
      <c r="C16" s="5">
        <v>6375</v>
      </c>
      <c r="D16" s="5">
        <v>30265</v>
      </c>
      <c r="E16" s="5">
        <v>884</v>
      </c>
      <c r="F16" s="5">
        <v>242</v>
      </c>
      <c r="G16" s="5">
        <v>8054</v>
      </c>
      <c r="H16" s="5">
        <v>29979</v>
      </c>
      <c r="I16" s="7">
        <v>213200</v>
      </c>
      <c r="J16" s="7">
        <v>293600</v>
      </c>
      <c r="K16" s="5">
        <v>29162</v>
      </c>
      <c r="L16" s="5">
        <v>61215</v>
      </c>
      <c r="M16" s="7">
        <v>742800</v>
      </c>
      <c r="N16" s="7">
        <v>3016000</v>
      </c>
      <c r="O16" s="8">
        <f t="shared" si="41"/>
        <v>1.0747188081620886</v>
      </c>
      <c r="P16" s="8">
        <f t="shared" si="41"/>
        <v>1.2106108847632817</v>
      </c>
      <c r="Q16" s="8">
        <f t="shared" si="41"/>
        <v>4.1002624315833653</v>
      </c>
      <c r="R16" s="8">
        <f t="shared" si="41"/>
        <v>13.737733761250853</v>
      </c>
      <c r="S16" s="8">
        <f t="shared" si="42"/>
        <v>0.64962532288138142</v>
      </c>
      <c r="T16" s="8">
        <f t="shared" si="42"/>
        <v>0.9285218347026678</v>
      </c>
      <c r="U16" s="8">
        <f t="shared" si="42"/>
        <v>36.075583125613186</v>
      </c>
      <c r="V16" s="8">
        <f t="shared" si="42"/>
        <v>1356.8245220372492</v>
      </c>
      <c r="W16" s="8">
        <f t="shared" si="43"/>
        <v>0.17215071056356607</v>
      </c>
      <c r="X16" s="8">
        <f t="shared" si="44"/>
        <v>0.20142466216884425</v>
      </c>
      <c r="Y16" s="8">
        <f t="shared" si="44"/>
        <v>6.7354654386866075</v>
      </c>
      <c r="Z16" s="8">
        <f t="shared" si="44"/>
        <v>218.31833623283904</v>
      </c>
      <c r="AA16" s="8">
        <f t="shared" si="45"/>
        <v>1097.4607798427337</v>
      </c>
      <c r="AB16" s="8">
        <f t="shared" si="46"/>
        <v>6096.1174005400708</v>
      </c>
      <c r="AC16" s="8">
        <f t="shared" si="47"/>
        <v>5954.1514477989613</v>
      </c>
      <c r="AD16" s="8">
        <f t="shared" si="48"/>
        <v>52833.037368347046</v>
      </c>
      <c r="AE16" s="8">
        <f t="shared" si="49"/>
        <v>1.6633040654111676E-2</v>
      </c>
      <c r="AF16" s="8">
        <f t="shared" si="50"/>
        <v>9.2392339132110757E-2</v>
      </c>
      <c r="AG16" s="8">
        <f t="shared" si="51"/>
        <v>9.0240712844580975E-2</v>
      </c>
      <c r="AH16" s="8">
        <f t="shared" si="52"/>
        <v>0.8007339073691967</v>
      </c>
      <c r="AI16" s="8"/>
      <c r="AN16" s="10">
        <v>5</v>
      </c>
      <c r="AO16" s="8">
        <f t="shared" si="53"/>
        <v>0.48973290860083313</v>
      </c>
      <c r="AP16" s="8">
        <f t="shared" si="54"/>
        <v>0.28702207862143242</v>
      </c>
      <c r="AV16" s="5">
        <f t="shared" si="55"/>
        <v>29979</v>
      </c>
      <c r="AW16" s="5">
        <f t="shared" si="55"/>
        <v>213200</v>
      </c>
    </row>
    <row r="17" spans="1:49" x14ac:dyDescent="0.2">
      <c r="A17" s="5" t="s">
        <v>127</v>
      </c>
      <c r="B17" s="10">
        <v>12</v>
      </c>
      <c r="C17" s="5">
        <v>1981</v>
      </c>
      <c r="D17" s="5">
        <v>9842</v>
      </c>
      <c r="E17" s="5">
        <v>227</v>
      </c>
      <c r="F17" s="5">
        <v>59</v>
      </c>
      <c r="G17" s="5">
        <v>8396</v>
      </c>
      <c r="H17" s="5">
        <v>33047</v>
      </c>
      <c r="I17" s="7">
        <v>209000</v>
      </c>
      <c r="J17" s="7">
        <v>296500</v>
      </c>
      <c r="K17" s="5">
        <v>68323</v>
      </c>
      <c r="L17" s="5">
        <v>56963</v>
      </c>
      <c r="M17" s="7">
        <v>668000</v>
      </c>
      <c r="N17" s="7">
        <v>2412000</v>
      </c>
      <c r="O17" s="8">
        <f t="shared" si="41"/>
        <v>1.2407460009920677</v>
      </c>
      <c r="P17" s="8">
        <f t="shared" si="41"/>
        <v>1.1925840819770128</v>
      </c>
      <c r="Q17" s="8">
        <f t="shared" si="41"/>
        <v>3.7831399366602931</v>
      </c>
      <c r="R17" s="8">
        <f t="shared" si="41"/>
        <v>11.177012010802516</v>
      </c>
      <c r="S17" s="8">
        <f t="shared" si="42"/>
        <v>0.99960184724571521</v>
      </c>
      <c r="T17" s="8">
        <f t="shared" si="42"/>
        <v>0.88765749125772764</v>
      </c>
      <c r="U17" s="8">
        <f t="shared" si="42"/>
        <v>28.335808940056314</v>
      </c>
      <c r="V17" s="8">
        <f t="shared" si="42"/>
        <v>730.7276662163938</v>
      </c>
      <c r="W17" s="8">
        <f t="shared" si="43"/>
        <v>0.26489448952011452</v>
      </c>
      <c r="X17" s="8">
        <f t="shared" si="44"/>
        <v>0.19291560544024089</v>
      </c>
      <c r="Y17" s="8">
        <f t="shared" si="44"/>
        <v>5.343057590748324</v>
      </c>
      <c r="Z17" s="8">
        <f t="shared" si="44"/>
        <v>120.59840749927366</v>
      </c>
      <c r="AA17" s="8">
        <f t="shared" si="45"/>
        <v>524.7559837393469</v>
      </c>
      <c r="AB17" s="8">
        <f t="shared" si="46"/>
        <v>1898.6753887428508</v>
      </c>
      <c r="AC17" s="8">
        <f t="shared" si="47"/>
        <v>1212.8740730998695</v>
      </c>
      <c r="AD17" s="8">
        <f t="shared" si="48"/>
        <v>7115.3060424571458</v>
      </c>
      <c r="AE17" s="8">
        <f t="shared" si="49"/>
        <v>4.8807193630751949E-2</v>
      </c>
      <c r="AF17" s="8">
        <f t="shared" si="50"/>
        <v>0.17659449384448647</v>
      </c>
      <c r="AG17" s="8">
        <f t="shared" si="51"/>
        <v>0.11280858450374151</v>
      </c>
      <c r="AH17" s="8">
        <f t="shared" si="52"/>
        <v>0.6617897280210201</v>
      </c>
      <c r="AI17" s="8"/>
      <c r="AN17" s="10">
        <v>12</v>
      </c>
      <c r="AO17" s="8">
        <f t="shared" si="53"/>
        <v>0.58014851745870122</v>
      </c>
      <c r="AP17" s="8">
        <f t="shared" si="54"/>
        <v>0.31287425149700598</v>
      </c>
      <c r="AV17" s="5">
        <f t="shared" si="55"/>
        <v>33047</v>
      </c>
      <c r="AW17" s="5">
        <f t="shared" si="55"/>
        <v>209000</v>
      </c>
    </row>
    <row r="18" spans="1:49" x14ac:dyDescent="0.2">
      <c r="A18" s="5" t="s">
        <v>128</v>
      </c>
      <c r="B18" s="10">
        <v>12</v>
      </c>
      <c r="C18" s="5">
        <v>5744</v>
      </c>
      <c r="D18" s="5">
        <v>28974</v>
      </c>
      <c r="E18" s="5">
        <v>742</v>
      </c>
      <c r="F18" s="5">
        <v>152</v>
      </c>
      <c r="G18" s="5">
        <v>9172</v>
      </c>
      <c r="H18" s="5">
        <v>34582</v>
      </c>
      <c r="I18" s="7">
        <v>222500</v>
      </c>
      <c r="J18" s="7">
        <v>296700</v>
      </c>
      <c r="K18" s="5">
        <v>24115</v>
      </c>
      <c r="L18" s="5">
        <v>58714</v>
      </c>
      <c r="M18" s="7">
        <v>777700</v>
      </c>
      <c r="N18" s="7">
        <v>2862000</v>
      </c>
      <c r="O18" s="8">
        <f t="shared" si="41"/>
        <v>1.0533215189658753</v>
      </c>
      <c r="P18" s="8">
        <f t="shared" si="41"/>
        <v>1.2000076312899848</v>
      </c>
      <c r="Q18" s="8">
        <f t="shared" si="41"/>
        <v>4.248224665177152</v>
      </c>
      <c r="R18" s="8">
        <f t="shared" si="41"/>
        <v>13.084834506997469</v>
      </c>
      <c r="S18" s="8">
        <f t="shared" si="42"/>
        <v>0.61159125645022305</v>
      </c>
      <c r="T18" s="8">
        <f t="shared" si="42"/>
        <v>0.90433725293011558</v>
      </c>
      <c r="U18" s="8">
        <f t="shared" si="42"/>
        <v>40.123686277392302</v>
      </c>
      <c r="V18" s="8">
        <f t="shared" si="42"/>
        <v>1172.419681191396</v>
      </c>
      <c r="W18" s="8">
        <f t="shared" si="43"/>
        <v>0.1620716829593091</v>
      </c>
      <c r="X18" s="8">
        <f t="shared" si="44"/>
        <v>0.19639068010042826</v>
      </c>
      <c r="Y18" s="8">
        <f t="shared" si="44"/>
        <v>7.4586699905814484</v>
      </c>
      <c r="Z18" s="8">
        <f t="shared" si="44"/>
        <v>189.78010961273779</v>
      </c>
      <c r="AA18" s="8">
        <f t="shared" si="45"/>
        <v>930.93974691827145</v>
      </c>
      <c r="AB18" s="8">
        <f t="shared" si="46"/>
        <v>5690.2235652298086</v>
      </c>
      <c r="AC18" s="8">
        <f t="shared" si="47"/>
        <v>5534.3331330114352</v>
      </c>
      <c r="AD18" s="8">
        <f t="shared" si="48"/>
        <v>28846.576661136143</v>
      </c>
      <c r="AE18" s="8">
        <f t="shared" si="49"/>
        <v>2.2704699455192434E-2</v>
      </c>
      <c r="AF18" s="8">
        <f t="shared" si="50"/>
        <v>0.13877892345780202</v>
      </c>
      <c r="AG18" s="8">
        <f t="shared" si="51"/>
        <v>0.13497691003730408</v>
      </c>
      <c r="AH18" s="8">
        <f t="shared" si="52"/>
        <v>0.70353946704970138</v>
      </c>
      <c r="AI18" s="8"/>
      <c r="AN18" s="10">
        <v>12</v>
      </c>
      <c r="AO18" s="8">
        <f t="shared" si="53"/>
        <v>0.58899070068467485</v>
      </c>
      <c r="AP18" s="8">
        <f t="shared" si="54"/>
        <v>0.2861000385752861</v>
      </c>
      <c r="AV18" s="5">
        <f t="shared" si="55"/>
        <v>34582</v>
      </c>
      <c r="AW18" s="5">
        <f t="shared" si="55"/>
        <v>222500</v>
      </c>
    </row>
    <row r="19" spans="1:49" x14ac:dyDescent="0.2">
      <c r="A19" s="5" t="s">
        <v>129</v>
      </c>
      <c r="B19" s="10">
        <v>12</v>
      </c>
      <c r="C19" s="5">
        <v>6026</v>
      </c>
      <c r="D19" s="5">
        <v>23235</v>
      </c>
      <c r="E19" s="5">
        <v>580</v>
      </c>
      <c r="F19" s="5">
        <v>182</v>
      </c>
      <c r="G19" s="5">
        <v>8509</v>
      </c>
      <c r="H19" s="5">
        <v>32206</v>
      </c>
      <c r="I19" s="7">
        <v>209400</v>
      </c>
      <c r="J19" s="7">
        <v>296000</v>
      </c>
      <c r="K19" s="5">
        <v>20835</v>
      </c>
      <c r="L19" s="5">
        <v>56046</v>
      </c>
      <c r="M19" s="7">
        <v>661200</v>
      </c>
      <c r="N19" s="7">
        <v>2280000</v>
      </c>
      <c r="O19" s="8">
        <f t="shared" si="41"/>
        <v>1.0394156127713878</v>
      </c>
      <c r="P19" s="8">
        <f t="shared" si="41"/>
        <v>1.1886963636903223</v>
      </c>
      <c r="Q19" s="8">
        <f t="shared" si="41"/>
        <v>3.7543106189400137</v>
      </c>
      <c r="R19" s="8">
        <f t="shared" si="41"/>
        <v>10.617384078585328</v>
      </c>
      <c r="S19" s="8">
        <f t="shared" si="42"/>
        <v>0.58768702921163973</v>
      </c>
      <c r="T19" s="8">
        <f t="shared" si="42"/>
        <v>0.87900470599892588</v>
      </c>
      <c r="U19" s="8">
        <f t="shared" si="42"/>
        <v>27.692936073905042</v>
      </c>
      <c r="V19" s="8">
        <f t="shared" si="42"/>
        <v>626.37004725775034</v>
      </c>
      <c r="W19" s="8">
        <f t="shared" si="43"/>
        <v>0.15573706274108454</v>
      </c>
      <c r="X19" s="8">
        <f t="shared" si="44"/>
        <v>0.19111182554235032</v>
      </c>
      <c r="Y19" s="8">
        <f t="shared" si="44"/>
        <v>5.2267517586258823</v>
      </c>
      <c r="Z19" s="8">
        <f t="shared" si="44"/>
        <v>104.03055406068373</v>
      </c>
      <c r="AA19" s="8">
        <f t="shared" si="45"/>
        <v>938.47154007777544</v>
      </c>
      <c r="AB19" s="8">
        <f t="shared" si="46"/>
        <v>4440.4832664765099</v>
      </c>
      <c r="AC19" s="8">
        <f t="shared" si="47"/>
        <v>3031.5160200030118</v>
      </c>
      <c r="AD19" s="8">
        <f t="shared" si="48"/>
        <v>18933.560839044439</v>
      </c>
      <c r="AE19" s="8">
        <f t="shared" si="49"/>
        <v>3.4320891357742044E-2</v>
      </c>
      <c r="AF19" s="8">
        <f t="shared" si="50"/>
        <v>0.16239314380485273</v>
      </c>
      <c r="AG19" s="8">
        <f t="shared" si="51"/>
        <v>0.11086572957039836</v>
      </c>
      <c r="AH19" s="8">
        <f t="shared" si="52"/>
        <v>0.6924202352670068</v>
      </c>
      <c r="AI19" s="8"/>
      <c r="AN19" s="10">
        <v>12</v>
      </c>
      <c r="AO19" s="8">
        <f t="shared" si="53"/>
        <v>0.57463512115048354</v>
      </c>
      <c r="AP19" s="8">
        <f t="shared" si="54"/>
        <v>0.31669691470054445</v>
      </c>
      <c r="AV19" s="5">
        <f t="shared" si="55"/>
        <v>32206</v>
      </c>
      <c r="AW19" s="5">
        <f t="shared" si="55"/>
        <v>209400</v>
      </c>
    </row>
    <row r="20" spans="1:49" x14ac:dyDescent="0.2">
      <c r="A20" s="5" t="s">
        <v>130</v>
      </c>
      <c r="B20" s="10">
        <v>20</v>
      </c>
      <c r="C20" s="5">
        <v>2767</v>
      </c>
      <c r="D20" s="5">
        <v>6683</v>
      </c>
      <c r="E20" s="5">
        <v>281</v>
      </c>
      <c r="F20" s="5">
        <v>47</v>
      </c>
      <c r="G20" s="5">
        <v>9379</v>
      </c>
      <c r="H20" s="5">
        <v>32791</v>
      </c>
      <c r="I20" s="7">
        <v>192600</v>
      </c>
      <c r="J20" s="7">
        <v>285500</v>
      </c>
      <c r="K20" s="5">
        <v>84818</v>
      </c>
      <c r="L20" s="5">
        <v>48334</v>
      </c>
      <c r="M20" s="7">
        <v>494300</v>
      </c>
      <c r="N20" s="7">
        <v>2471000</v>
      </c>
      <c r="O20" s="8">
        <f t="shared" ref="O20:O31" si="56">(224333+K20)/235871</f>
        <v>1.3106782944914805</v>
      </c>
      <c r="P20" s="8">
        <f t="shared" ref="P20:P31" si="57">(224333+L20)/235871</f>
        <v>1.1560005257110879</v>
      </c>
      <c r="Q20" s="8">
        <f t="shared" ref="Q20:Q31" si="58">(224333+M20)/235871</f>
        <v>3.0467204531290411</v>
      </c>
      <c r="R20" s="8">
        <f t="shared" ref="R20:R31" si="59">(224333+N20)/235871</f>
        <v>11.427148738081408</v>
      </c>
      <c r="S20" s="8">
        <f t="shared" ref="S20:S31" si="60">4/3*3.14*((O20/2)^3)</f>
        <v>1.1783294163311711</v>
      </c>
      <c r="T20" s="8">
        <f t="shared" ref="T20:T31" si="61">4/3*3.14*((P20/2)^3)</f>
        <v>0.80844874734067917</v>
      </c>
      <c r="U20" s="8">
        <f t="shared" ref="U20:U31" si="62">4/3*3.14*((Q20/2)^3)</f>
        <v>14.800494364488268</v>
      </c>
      <c r="V20" s="8">
        <f t="shared" ref="V20:V31" si="63">4/3*3.14*((R20/2)^3)</f>
        <v>780.89391476573212</v>
      </c>
      <c r="W20" s="8">
        <f t="shared" si="43"/>
        <v>0.31225729532776036</v>
      </c>
      <c r="X20" s="8">
        <f t="shared" si="44"/>
        <v>0.17637569588489274</v>
      </c>
      <c r="Y20" s="8">
        <f t="shared" si="44"/>
        <v>2.8661234787075691</v>
      </c>
      <c r="Z20" s="8">
        <f t="shared" si="44"/>
        <v>128.5274126470039</v>
      </c>
      <c r="AA20" s="8">
        <f t="shared" ref="AA20:AA31" si="64">W20*C20</f>
        <v>864.01593617191293</v>
      </c>
      <c r="AB20" s="8">
        <f t="shared" ref="AB20:AB31" si="65">X20*D20</f>
        <v>1178.7187755987381</v>
      </c>
      <c r="AC20" s="8">
        <f t="shared" ref="AC20:AC31" si="66">Y20*E20</f>
        <v>805.3806975168269</v>
      </c>
      <c r="AD20" s="8">
        <f t="shared" ref="AD20:AD31" si="67">Z20*F20</f>
        <v>6040.7883944091836</v>
      </c>
      <c r="AE20" s="8">
        <f t="shared" ref="AE20:AE31" si="68">AA20/(AA20+AB20+AC20+AD20)</f>
        <v>9.7201629723182678E-2</v>
      </c>
      <c r="AF20" s="8">
        <f t="shared" ref="AF20:AF31" si="69">AB20/(AA20+AB20+AC20+AD20)</f>
        <v>0.13260563975375006</v>
      </c>
      <c r="AG20" s="8">
        <f t="shared" ref="AG20:AG31" si="70">AC20/(AA20+AB20+AC20+AD20)</f>
        <v>9.060517644277917E-2</v>
      </c>
      <c r="AH20" s="8">
        <f t="shared" ref="AH20:AH31" si="71">AD20/(AA20+AB20+AC20+AD20)</f>
        <v>0.67958755408028815</v>
      </c>
      <c r="AN20" s="10">
        <v>20</v>
      </c>
      <c r="AO20" s="8">
        <f t="shared" si="53"/>
        <v>0.67842512517068732</v>
      </c>
      <c r="AP20" s="8">
        <f t="shared" si="54"/>
        <v>0.38964191786364555</v>
      </c>
      <c r="AV20" s="5">
        <f t="shared" si="55"/>
        <v>32791</v>
      </c>
      <c r="AW20" s="5">
        <f t="shared" si="55"/>
        <v>192600</v>
      </c>
    </row>
    <row r="21" spans="1:49" x14ac:dyDescent="0.2">
      <c r="A21" s="5" t="s">
        <v>131</v>
      </c>
      <c r="B21" s="10">
        <v>20</v>
      </c>
      <c r="C21" s="5">
        <v>8899</v>
      </c>
      <c r="D21" s="5">
        <v>25192</v>
      </c>
      <c r="E21" s="5">
        <v>624</v>
      </c>
      <c r="F21" s="5">
        <v>89</v>
      </c>
      <c r="G21" s="5">
        <v>9972</v>
      </c>
      <c r="H21" s="5">
        <v>33816</v>
      </c>
      <c r="I21" s="7">
        <v>217800</v>
      </c>
      <c r="J21" s="7">
        <v>293200</v>
      </c>
      <c r="K21" s="5">
        <v>7518</v>
      </c>
      <c r="L21" s="5">
        <v>48537</v>
      </c>
      <c r="M21" s="7">
        <v>613100</v>
      </c>
      <c r="N21" s="7">
        <v>2190000</v>
      </c>
      <c r="O21" s="8">
        <f t="shared" si="56"/>
        <v>0.98295678570065836</v>
      </c>
      <c r="P21" s="8">
        <f t="shared" si="57"/>
        <v>1.156861165637149</v>
      </c>
      <c r="Q21" s="8">
        <f t="shared" si="58"/>
        <v>3.5503855921245089</v>
      </c>
      <c r="R21" s="8">
        <f t="shared" si="59"/>
        <v>10.235819579346337</v>
      </c>
      <c r="S21" s="8">
        <f t="shared" si="60"/>
        <v>0.49702893580042679</v>
      </c>
      <c r="T21" s="8">
        <f t="shared" si="61"/>
        <v>0.81025575709291131</v>
      </c>
      <c r="U21" s="8">
        <f t="shared" si="62"/>
        <v>23.420974708894612</v>
      </c>
      <c r="V21" s="8">
        <f t="shared" si="63"/>
        <v>561.23696107544856</v>
      </c>
      <c r="W21" s="8">
        <f t="shared" si="43"/>
        <v>0.13171266798711309</v>
      </c>
      <c r="X21" s="8">
        <f t="shared" si="44"/>
        <v>0.17675374259815976</v>
      </c>
      <c r="Y21" s="8">
        <f t="shared" si="44"/>
        <v>4.4509340725845155</v>
      </c>
      <c r="Z21" s="8">
        <f t="shared" si="44"/>
        <v>93.633502162418239</v>
      </c>
      <c r="AA21" s="8">
        <f t="shared" si="64"/>
        <v>1172.1110324173194</v>
      </c>
      <c r="AB21" s="8">
        <f t="shared" si="65"/>
        <v>4452.7802835328412</v>
      </c>
      <c r="AC21" s="8">
        <f t="shared" si="66"/>
        <v>2777.3828612927377</v>
      </c>
      <c r="AD21" s="8">
        <f t="shared" si="67"/>
        <v>8333.3816924552229</v>
      </c>
      <c r="AE21" s="8">
        <f t="shared" si="68"/>
        <v>7.0036755149797542E-2</v>
      </c>
      <c r="AF21" s="8">
        <f t="shared" si="69"/>
        <v>0.26606547829386984</v>
      </c>
      <c r="AG21" s="8">
        <f t="shared" si="70"/>
        <v>0.16595602125886902</v>
      </c>
      <c r="AH21" s="8">
        <f t="shared" si="71"/>
        <v>0.49794174529746349</v>
      </c>
      <c r="AN21" s="10">
        <v>20</v>
      </c>
      <c r="AO21" s="8">
        <f t="shared" si="53"/>
        <v>0.6967056060325113</v>
      </c>
      <c r="AP21" s="8">
        <f t="shared" si="54"/>
        <v>0.3552438427662698</v>
      </c>
      <c r="AV21" s="5">
        <f t="shared" si="55"/>
        <v>33816</v>
      </c>
      <c r="AW21" s="5">
        <f t="shared" si="55"/>
        <v>217800</v>
      </c>
    </row>
    <row r="22" spans="1:49" x14ac:dyDescent="0.2">
      <c r="A22" s="5" t="s">
        <v>132</v>
      </c>
      <c r="B22" s="10">
        <v>20</v>
      </c>
      <c r="C22" s="5">
        <v>10070</v>
      </c>
      <c r="D22" s="5">
        <v>22156</v>
      </c>
      <c r="E22" s="5">
        <v>884</v>
      </c>
      <c r="F22" s="5">
        <v>84</v>
      </c>
      <c r="G22" s="5">
        <v>8859</v>
      </c>
      <c r="H22" s="5">
        <v>29815</v>
      </c>
      <c r="I22" s="7">
        <v>190700</v>
      </c>
      <c r="J22" s="7">
        <v>289400</v>
      </c>
      <c r="K22" s="5">
        <v>9263</v>
      </c>
      <c r="L22" s="5">
        <v>49142</v>
      </c>
      <c r="M22" s="7">
        <v>495000</v>
      </c>
      <c r="N22" s="7">
        <v>2142000</v>
      </c>
      <c r="O22" s="8">
        <f t="shared" si="56"/>
        <v>0.99035489738034777</v>
      </c>
      <c r="P22" s="8">
        <f t="shared" si="57"/>
        <v>1.1594261269931445</v>
      </c>
      <c r="Q22" s="8">
        <f t="shared" si="58"/>
        <v>3.049688177012011</v>
      </c>
      <c r="R22" s="8">
        <f t="shared" si="59"/>
        <v>10.032318513085542</v>
      </c>
      <c r="S22" s="8">
        <f t="shared" si="60"/>
        <v>0.50833610661911244</v>
      </c>
      <c r="T22" s="8">
        <f t="shared" si="61"/>
        <v>0.81565714682067225</v>
      </c>
      <c r="U22" s="8">
        <f t="shared" si="62"/>
        <v>14.843786730900922</v>
      </c>
      <c r="V22" s="8">
        <f t="shared" si="63"/>
        <v>528.42375598825356</v>
      </c>
      <c r="W22" s="8">
        <f t="shared" si="43"/>
        <v>0.13470906825406478</v>
      </c>
      <c r="X22" s="8">
        <f t="shared" si="44"/>
        <v>0.17788356816160281</v>
      </c>
      <c r="Y22" s="8">
        <f t="shared" si="44"/>
        <v>2.8741628593403377</v>
      </c>
      <c r="Z22" s="8">
        <f t="shared" si="44"/>
        <v>88.377163375182391</v>
      </c>
      <c r="AA22" s="8">
        <f t="shared" si="64"/>
        <v>1356.5203173184325</v>
      </c>
      <c r="AB22" s="8">
        <f t="shared" si="65"/>
        <v>3941.1883361884716</v>
      </c>
      <c r="AC22" s="8">
        <f t="shared" si="66"/>
        <v>2540.7599676568584</v>
      </c>
      <c r="AD22" s="8">
        <f t="shared" si="67"/>
        <v>7423.6817235153212</v>
      </c>
      <c r="AE22" s="8">
        <f t="shared" si="68"/>
        <v>8.8881336291603413E-2</v>
      </c>
      <c r="AF22" s="8">
        <f t="shared" si="69"/>
        <v>0.25823283398348301</v>
      </c>
      <c r="AG22" s="8">
        <f t="shared" si="70"/>
        <v>0.16647457339081029</v>
      </c>
      <c r="AH22" s="8">
        <f t="shared" si="71"/>
        <v>0.48641125633410337</v>
      </c>
      <c r="AN22" s="10">
        <v>20</v>
      </c>
      <c r="AO22" s="8">
        <f t="shared" si="53"/>
        <v>0.60671116356680643</v>
      </c>
      <c r="AP22" s="8">
        <f t="shared" si="54"/>
        <v>0.38525252525252524</v>
      </c>
      <c r="AV22" s="5">
        <f t="shared" si="55"/>
        <v>29815</v>
      </c>
      <c r="AW22" s="5">
        <f t="shared" si="55"/>
        <v>190700</v>
      </c>
    </row>
    <row r="23" spans="1:49" x14ac:dyDescent="0.2">
      <c r="A23" s="5" t="s">
        <v>133</v>
      </c>
      <c r="B23" s="10">
        <v>30</v>
      </c>
      <c r="C23" s="5">
        <v>34065</v>
      </c>
      <c r="D23" s="5">
        <v>12941</v>
      </c>
      <c r="E23" s="5">
        <v>624</v>
      </c>
      <c r="F23" s="5">
        <v>70</v>
      </c>
      <c r="G23" s="5">
        <v>10743</v>
      </c>
      <c r="H23" s="5">
        <v>22817</v>
      </c>
      <c r="I23" s="7">
        <v>192100</v>
      </c>
      <c r="J23" s="7">
        <v>287800</v>
      </c>
      <c r="K23" s="5">
        <v>3377</v>
      </c>
      <c r="L23" s="5">
        <v>23459</v>
      </c>
      <c r="M23" s="7">
        <v>348000</v>
      </c>
      <c r="N23" s="7">
        <v>1853000</v>
      </c>
      <c r="O23" s="8">
        <f t="shared" si="56"/>
        <v>0.96540057913011779</v>
      </c>
      <c r="P23" s="8">
        <f t="shared" si="57"/>
        <v>1.050540337726978</v>
      </c>
      <c r="Q23" s="8">
        <f t="shared" si="58"/>
        <v>2.4264661615883258</v>
      </c>
      <c r="R23" s="8">
        <f t="shared" si="59"/>
        <v>8.807072509973672</v>
      </c>
      <c r="S23" s="8">
        <f t="shared" si="60"/>
        <v>0.47087004456243964</v>
      </c>
      <c r="T23" s="8">
        <f t="shared" si="61"/>
        <v>0.60675951546670059</v>
      </c>
      <c r="U23" s="8">
        <f t="shared" si="62"/>
        <v>7.4765478189006398</v>
      </c>
      <c r="V23" s="8">
        <f t="shared" si="63"/>
        <v>357.49758602088929</v>
      </c>
      <c r="W23" s="8">
        <f t="shared" si="43"/>
        <v>0.12478056180904651</v>
      </c>
      <c r="X23" s="8">
        <f t="shared" si="44"/>
        <v>0.13394080828564489</v>
      </c>
      <c r="Y23" s="8">
        <f t="shared" si="44"/>
        <v>1.4889474476428743</v>
      </c>
      <c r="Z23" s="8">
        <f t="shared" si="44"/>
        <v>60.755963978186671</v>
      </c>
      <c r="AA23" s="8">
        <f t="shared" si="64"/>
        <v>4250.6498380251696</v>
      </c>
      <c r="AB23" s="8">
        <f t="shared" si="65"/>
        <v>1733.3280000245306</v>
      </c>
      <c r="AC23" s="8">
        <f t="shared" si="66"/>
        <v>929.10320732915363</v>
      </c>
      <c r="AD23" s="8">
        <f t="shared" si="67"/>
        <v>4252.9174784730667</v>
      </c>
      <c r="AE23" s="8">
        <f t="shared" si="68"/>
        <v>0.38067798674209641</v>
      </c>
      <c r="AF23" s="8">
        <f t="shared" si="69"/>
        <v>0.15523269113119914</v>
      </c>
      <c r="AG23" s="8">
        <f t="shared" si="70"/>
        <v>8.3208250954402069E-2</v>
      </c>
      <c r="AH23" s="8">
        <f t="shared" si="71"/>
        <v>0.38088107117230241</v>
      </c>
      <c r="AN23" s="10">
        <v>30</v>
      </c>
      <c r="AO23" s="8">
        <f t="shared" si="53"/>
        <v>0.97263310456541197</v>
      </c>
      <c r="AP23" s="8">
        <f t="shared" si="54"/>
        <v>0.55201149425287355</v>
      </c>
      <c r="AV23" s="5">
        <f t="shared" si="55"/>
        <v>22817</v>
      </c>
      <c r="AW23" s="5">
        <f t="shared" si="55"/>
        <v>192100</v>
      </c>
    </row>
    <row r="24" spans="1:49" x14ac:dyDescent="0.2">
      <c r="A24" s="5" t="s">
        <v>134</v>
      </c>
      <c r="B24" s="10">
        <v>30</v>
      </c>
      <c r="C24" s="7">
        <v>114800</v>
      </c>
      <c r="D24" s="5">
        <v>38845</v>
      </c>
      <c r="E24" s="5">
        <v>1710</v>
      </c>
      <c r="F24" s="5">
        <v>184</v>
      </c>
      <c r="G24" s="5">
        <v>11400</v>
      </c>
      <c r="H24" s="5">
        <v>22170</v>
      </c>
      <c r="I24" s="7">
        <v>205100</v>
      </c>
      <c r="J24" s="7">
        <v>281000</v>
      </c>
      <c r="K24" s="5">
        <v>4597</v>
      </c>
      <c r="L24" s="5">
        <v>21220</v>
      </c>
      <c r="M24" s="7">
        <v>369200</v>
      </c>
      <c r="N24" s="7">
        <v>2030000</v>
      </c>
      <c r="O24" s="8">
        <f t="shared" si="56"/>
        <v>0.97057289789757961</v>
      </c>
      <c r="P24" s="8">
        <f t="shared" si="57"/>
        <v>1.0410478609070213</v>
      </c>
      <c r="Q24" s="8">
        <f t="shared" si="58"/>
        <v>2.5163457991868436</v>
      </c>
      <c r="R24" s="8">
        <f t="shared" si="59"/>
        <v>9.5574826918103533</v>
      </c>
      <c r="S24" s="8">
        <f t="shared" si="60"/>
        <v>0.4784789954877704</v>
      </c>
      <c r="T24" s="8">
        <f t="shared" si="61"/>
        <v>0.59046000528411702</v>
      </c>
      <c r="U24" s="8">
        <f t="shared" si="62"/>
        <v>8.3385274751544927</v>
      </c>
      <c r="V24" s="8">
        <f t="shared" si="63"/>
        <v>456.88716541254007</v>
      </c>
      <c r="W24" s="8">
        <f t="shared" si="43"/>
        <v>0.12679693380425916</v>
      </c>
      <c r="X24" s="8">
        <f t="shared" si="44"/>
        <v>0.13048833093716783</v>
      </c>
      <c r="Y24" s="8">
        <f t="shared" si="44"/>
        <v>1.6531973488515879</v>
      </c>
      <c r="Z24" s="8">
        <f t="shared" si="44"/>
        <v>76.869984059327905</v>
      </c>
      <c r="AA24" s="8">
        <f t="shared" si="64"/>
        <v>14556.288000728951</v>
      </c>
      <c r="AB24" s="8">
        <f t="shared" si="65"/>
        <v>5068.8192152542842</v>
      </c>
      <c r="AC24" s="8">
        <f t="shared" si="66"/>
        <v>2826.9674665362154</v>
      </c>
      <c r="AD24" s="8">
        <f t="shared" si="67"/>
        <v>14144.077066916334</v>
      </c>
      <c r="AE24" s="8">
        <f t="shared" si="68"/>
        <v>0.3977546082001196</v>
      </c>
      <c r="AF24" s="8">
        <f t="shared" si="69"/>
        <v>0.13850689137915798</v>
      </c>
      <c r="AG24" s="8">
        <f t="shared" si="70"/>
        <v>7.7247670353203179E-2</v>
      </c>
      <c r="AH24" s="8">
        <f t="shared" si="71"/>
        <v>0.38649083006751928</v>
      </c>
      <c r="AN24" s="10">
        <v>30</v>
      </c>
      <c r="AO24" s="8">
        <f t="shared" si="53"/>
        <v>1.0447690857681433</v>
      </c>
      <c r="AP24" s="8">
        <f t="shared" si="54"/>
        <v>0.55552546045503792</v>
      </c>
      <c r="AV24" s="5">
        <f t="shared" si="55"/>
        <v>22170</v>
      </c>
      <c r="AW24" s="5">
        <f t="shared" si="55"/>
        <v>205100</v>
      </c>
    </row>
    <row r="25" spans="1:49" x14ac:dyDescent="0.2">
      <c r="A25" s="5" t="s">
        <v>135</v>
      </c>
      <c r="B25" s="10">
        <v>30</v>
      </c>
      <c r="C25" s="7">
        <v>119500</v>
      </c>
      <c r="D25" s="5">
        <v>33664</v>
      </c>
      <c r="E25" s="5">
        <v>1717</v>
      </c>
      <c r="F25" s="5">
        <v>191</v>
      </c>
      <c r="G25" s="5">
        <v>9863</v>
      </c>
      <c r="H25" s="5">
        <v>20651</v>
      </c>
      <c r="I25" s="7">
        <v>202900</v>
      </c>
      <c r="J25" s="7">
        <v>288800</v>
      </c>
      <c r="K25" s="5">
        <v>2079</v>
      </c>
      <c r="L25" s="5">
        <v>22706</v>
      </c>
      <c r="M25" s="7">
        <v>386400</v>
      </c>
      <c r="N25" s="7">
        <v>1997000</v>
      </c>
      <c r="O25" s="8">
        <f t="shared" si="56"/>
        <v>0.95989757112998209</v>
      </c>
      <c r="P25" s="8">
        <f t="shared" si="57"/>
        <v>1.0473479147500118</v>
      </c>
      <c r="Q25" s="8">
        <f t="shared" si="58"/>
        <v>2.5892670145969618</v>
      </c>
      <c r="R25" s="8">
        <f t="shared" si="59"/>
        <v>9.4175757087560577</v>
      </c>
      <c r="S25" s="8">
        <f t="shared" si="60"/>
        <v>0.46286365025131243</v>
      </c>
      <c r="T25" s="8">
        <f t="shared" si="61"/>
        <v>0.60124477439396984</v>
      </c>
      <c r="U25" s="8">
        <f t="shared" si="62"/>
        <v>9.0846649329885558</v>
      </c>
      <c r="V25" s="8">
        <f t="shared" si="63"/>
        <v>437.11504871489211</v>
      </c>
      <c r="W25" s="8">
        <f t="shared" si="43"/>
        <v>0.12265886731659779</v>
      </c>
      <c r="X25" s="8">
        <f t="shared" si="44"/>
        <v>0.13277313533405302</v>
      </c>
      <c r="Y25" s="8">
        <f t="shared" si="44"/>
        <v>1.7948090408797133</v>
      </c>
      <c r="Z25" s="8">
        <f t="shared" si="44"/>
        <v>73.676897946189641</v>
      </c>
      <c r="AA25" s="8">
        <f t="shared" si="64"/>
        <v>14657.734644333437</v>
      </c>
      <c r="AB25" s="8">
        <f t="shared" si="65"/>
        <v>4469.6748278855612</v>
      </c>
      <c r="AC25" s="8">
        <f t="shared" si="66"/>
        <v>3081.6871231904679</v>
      </c>
      <c r="AD25" s="8">
        <f t="shared" si="67"/>
        <v>14072.287507722222</v>
      </c>
      <c r="AE25" s="8">
        <f t="shared" si="68"/>
        <v>0.40400152879140661</v>
      </c>
      <c r="AF25" s="8">
        <f t="shared" si="69"/>
        <v>0.12319471647443997</v>
      </c>
      <c r="AG25" s="8">
        <f t="shared" si="70"/>
        <v>8.4938521486132262E-2</v>
      </c>
      <c r="AH25" s="8">
        <f t="shared" si="71"/>
        <v>0.38786523324802125</v>
      </c>
      <c r="AN25" s="10">
        <v>30</v>
      </c>
      <c r="AO25" s="8">
        <f t="shared" si="53"/>
        <v>0.90949528758918352</v>
      </c>
      <c r="AP25" s="8">
        <f t="shared" si="54"/>
        <v>0.52510351966873703</v>
      </c>
      <c r="AV25" s="5">
        <f t="shared" si="55"/>
        <v>20651</v>
      </c>
      <c r="AW25" s="5">
        <f t="shared" si="55"/>
        <v>202900</v>
      </c>
    </row>
    <row r="26" spans="1:49" x14ac:dyDescent="0.2">
      <c r="A26" s="5" t="s">
        <v>136</v>
      </c>
      <c r="B26" s="10">
        <v>40</v>
      </c>
      <c r="C26" s="5">
        <v>7740</v>
      </c>
      <c r="D26" s="5">
        <v>3403</v>
      </c>
      <c r="E26" s="5">
        <v>360</v>
      </c>
      <c r="F26" s="5">
        <v>36</v>
      </c>
      <c r="G26" s="5">
        <v>16402</v>
      </c>
      <c r="H26" s="5">
        <v>48350</v>
      </c>
      <c r="I26" s="7">
        <v>261100</v>
      </c>
      <c r="J26" s="7">
        <v>286500</v>
      </c>
      <c r="K26" s="5">
        <v>6572</v>
      </c>
      <c r="L26" s="5">
        <v>39715</v>
      </c>
      <c r="M26" s="7">
        <v>414300</v>
      </c>
      <c r="N26" s="7">
        <v>1620000</v>
      </c>
      <c r="O26" s="8">
        <f t="shared" si="56"/>
        <v>0.9789461188531019</v>
      </c>
      <c r="P26" s="8">
        <f t="shared" si="57"/>
        <v>1.1194593655006337</v>
      </c>
      <c r="Q26" s="8">
        <f t="shared" si="58"/>
        <v>2.707552009361049</v>
      </c>
      <c r="R26" s="8">
        <f t="shared" si="59"/>
        <v>7.8192444174993962</v>
      </c>
      <c r="S26" s="8">
        <f t="shared" si="60"/>
        <v>0.49096978342202985</v>
      </c>
      <c r="T26" s="8">
        <f t="shared" si="61"/>
        <v>0.73418143729761631</v>
      </c>
      <c r="U26" s="8">
        <f t="shared" si="62"/>
        <v>10.38744700037787</v>
      </c>
      <c r="V26" s="8">
        <f t="shared" si="63"/>
        <v>250.19162267287234</v>
      </c>
      <c r="W26" s="8">
        <f t="shared" si="43"/>
        <v>0.13010699260683792</v>
      </c>
      <c r="X26" s="8">
        <f t="shared" si="44"/>
        <v>0.1608071890459071</v>
      </c>
      <c r="Y26" s="8">
        <f t="shared" si="44"/>
        <v>2.0409480916522131</v>
      </c>
      <c r="Z26" s="8">
        <f t="shared" si="44"/>
        <v>43.146302154539974</v>
      </c>
      <c r="AA26" s="8">
        <f t="shared" si="64"/>
        <v>1007.0281227769254</v>
      </c>
      <c r="AB26" s="8">
        <f t="shared" si="65"/>
        <v>547.22686432322189</v>
      </c>
      <c r="AC26" s="8">
        <f t="shared" si="66"/>
        <v>734.74131299479677</v>
      </c>
      <c r="AD26" s="8">
        <f t="shared" si="67"/>
        <v>1553.266877563439</v>
      </c>
      <c r="AE26" s="8">
        <f t="shared" si="68"/>
        <v>0.26209243776753616</v>
      </c>
      <c r="AF26" s="8">
        <f t="shared" si="69"/>
        <v>0.14242305615741868</v>
      </c>
      <c r="AG26" s="8">
        <f t="shared" si="70"/>
        <v>0.19122618077467959</v>
      </c>
      <c r="AH26" s="8">
        <f t="shared" si="71"/>
        <v>0.4042583253003656</v>
      </c>
      <c r="AN26" s="10">
        <v>40</v>
      </c>
      <c r="AO26" s="8">
        <f t="shared" si="53"/>
        <v>1.217424147047715</v>
      </c>
      <c r="AP26" s="8">
        <f t="shared" si="54"/>
        <v>0.63021964759835869</v>
      </c>
      <c r="AV26" s="5">
        <f t="shared" si="55"/>
        <v>48350</v>
      </c>
      <c r="AW26" s="5">
        <f t="shared" si="55"/>
        <v>261100</v>
      </c>
    </row>
    <row r="27" spans="1:49" x14ac:dyDescent="0.2">
      <c r="A27" s="5" t="s">
        <v>137</v>
      </c>
      <c r="B27" s="10">
        <v>40</v>
      </c>
      <c r="C27" s="5">
        <v>25549</v>
      </c>
      <c r="D27" s="5">
        <v>12177</v>
      </c>
      <c r="E27" s="5">
        <v>1189</v>
      </c>
      <c r="F27" s="5">
        <v>113</v>
      </c>
      <c r="G27" s="5">
        <v>17419</v>
      </c>
      <c r="H27" s="5">
        <v>48599</v>
      </c>
      <c r="I27" s="7">
        <v>258000</v>
      </c>
      <c r="J27" s="7">
        <v>289100</v>
      </c>
      <c r="K27" s="5">
        <v>5142</v>
      </c>
      <c r="L27" s="5">
        <v>38177</v>
      </c>
      <c r="M27" s="7">
        <v>374200</v>
      </c>
      <c r="N27" s="7">
        <v>1601000</v>
      </c>
      <c r="O27" s="8">
        <f t="shared" si="56"/>
        <v>0.972883482920749</v>
      </c>
      <c r="P27" s="8">
        <f t="shared" si="57"/>
        <v>1.1129388521691941</v>
      </c>
      <c r="Q27" s="8">
        <f t="shared" si="58"/>
        <v>2.5375438269223429</v>
      </c>
      <c r="R27" s="8">
        <f t="shared" si="59"/>
        <v>7.7386919121044979</v>
      </c>
      <c r="S27" s="8">
        <f t="shared" si="60"/>
        <v>0.48190439644795191</v>
      </c>
      <c r="T27" s="8">
        <f t="shared" si="61"/>
        <v>0.72142686154511138</v>
      </c>
      <c r="U27" s="8">
        <f t="shared" si="62"/>
        <v>8.5510422698792325</v>
      </c>
      <c r="V27" s="8">
        <f t="shared" si="63"/>
        <v>242.53871323363853</v>
      </c>
      <c r="W27" s="8">
        <f t="shared" si="43"/>
        <v>0.12770466505870726</v>
      </c>
      <c r="X27" s="8">
        <f t="shared" si="44"/>
        <v>0.15812714293481908</v>
      </c>
      <c r="Y27" s="8">
        <f t="shared" si="44"/>
        <v>1.6935821672206002</v>
      </c>
      <c r="Z27" s="8">
        <f t="shared" si="44"/>
        <v>41.879843036565653</v>
      </c>
      <c r="AA27" s="8">
        <f t="shared" si="64"/>
        <v>3262.7264875849119</v>
      </c>
      <c r="AB27" s="8">
        <f t="shared" si="65"/>
        <v>1925.5142195172918</v>
      </c>
      <c r="AC27" s="8">
        <f t="shared" si="66"/>
        <v>2013.6691968252935</v>
      </c>
      <c r="AD27" s="8">
        <f t="shared" si="67"/>
        <v>4732.422263131919</v>
      </c>
      <c r="AE27" s="8">
        <f t="shared" si="68"/>
        <v>0.27338995110179154</v>
      </c>
      <c r="AF27" s="8">
        <f t="shared" si="69"/>
        <v>0.1613424356355696</v>
      </c>
      <c r="AG27" s="8">
        <f t="shared" si="70"/>
        <v>0.16872910596399593</v>
      </c>
      <c r="AH27" s="8">
        <f t="shared" si="71"/>
        <v>0.39653850729864287</v>
      </c>
      <c r="AN27" s="10">
        <v>40</v>
      </c>
      <c r="AO27" s="8">
        <f t="shared" si="53"/>
        <v>1.2729915917961077</v>
      </c>
      <c r="AP27" s="8">
        <f t="shared" si="54"/>
        <v>0.689470871191876</v>
      </c>
      <c r="AV27" s="5">
        <f t="shared" si="55"/>
        <v>48599</v>
      </c>
      <c r="AW27" s="5">
        <f t="shared" si="55"/>
        <v>258000</v>
      </c>
    </row>
    <row r="28" spans="1:49" x14ac:dyDescent="0.2">
      <c r="A28" s="5" t="s">
        <v>138</v>
      </c>
      <c r="B28" s="10">
        <v>40</v>
      </c>
      <c r="C28" s="5">
        <v>23870</v>
      </c>
      <c r="D28" s="5">
        <v>10524</v>
      </c>
      <c r="E28" s="5">
        <v>1089</v>
      </c>
      <c r="F28" s="5">
        <v>141</v>
      </c>
      <c r="G28" s="5">
        <v>17553</v>
      </c>
      <c r="H28" s="5">
        <v>49996</v>
      </c>
      <c r="I28" s="7">
        <v>258500</v>
      </c>
      <c r="J28" s="7">
        <v>290100</v>
      </c>
      <c r="K28" s="5">
        <v>4048</v>
      </c>
      <c r="L28" s="5">
        <v>40399</v>
      </c>
      <c r="M28" s="7">
        <v>365900</v>
      </c>
      <c r="N28" s="7">
        <v>2076000</v>
      </c>
      <c r="O28" s="8">
        <f t="shared" si="56"/>
        <v>0.96824535445222182</v>
      </c>
      <c r="P28" s="8">
        <f t="shared" si="57"/>
        <v>1.1223592556948501</v>
      </c>
      <c r="Q28" s="8">
        <f t="shared" si="58"/>
        <v>2.502355100881414</v>
      </c>
      <c r="R28" s="8">
        <f t="shared" si="59"/>
        <v>9.7525045469769491</v>
      </c>
      <c r="S28" s="8">
        <f t="shared" si="60"/>
        <v>0.47504490396821036</v>
      </c>
      <c r="T28" s="8">
        <f t="shared" si="61"/>
        <v>0.73990178465328094</v>
      </c>
      <c r="U28" s="8">
        <f t="shared" si="62"/>
        <v>8.2002145375814202</v>
      </c>
      <c r="V28" s="8">
        <f t="shared" si="63"/>
        <v>485.43030121871158</v>
      </c>
      <c r="W28" s="8">
        <f t="shared" si="43"/>
        <v>0.12588689955157575</v>
      </c>
      <c r="X28" s="8">
        <f t="shared" si="44"/>
        <v>0.16200855102325509</v>
      </c>
      <c r="Y28" s="8">
        <f t="shared" si="44"/>
        <v>1.6268907164057964</v>
      </c>
      <c r="Z28" s="8">
        <f t="shared" si="44"/>
        <v>81.469617992533571</v>
      </c>
      <c r="AA28" s="8">
        <f t="shared" si="64"/>
        <v>3004.9202922961131</v>
      </c>
      <c r="AB28" s="8">
        <f t="shared" si="65"/>
        <v>1704.9779909687365</v>
      </c>
      <c r="AC28" s="8">
        <f t="shared" si="66"/>
        <v>1771.6839901659123</v>
      </c>
      <c r="AD28" s="8">
        <f t="shared" si="67"/>
        <v>11487.216136947234</v>
      </c>
      <c r="AE28" s="8">
        <f t="shared" si="68"/>
        <v>0.16722989616048015</v>
      </c>
      <c r="AF28" s="8">
        <f t="shared" si="69"/>
        <v>9.4885476036283847E-2</v>
      </c>
      <c r="AG28" s="8">
        <f t="shared" si="70"/>
        <v>9.8597799903117872E-2</v>
      </c>
      <c r="AH28" s="8">
        <f t="shared" si="71"/>
        <v>0.63928682790011815</v>
      </c>
      <c r="AN28" s="10">
        <v>40</v>
      </c>
      <c r="AO28" s="8">
        <f t="shared" si="53"/>
        <v>1.2375553850342831</v>
      </c>
      <c r="AP28" s="8">
        <f t="shared" si="54"/>
        <v>0.70647717955725609</v>
      </c>
      <c r="AV28" s="5">
        <f t="shared" si="55"/>
        <v>49996</v>
      </c>
      <c r="AW28" s="5">
        <f t="shared" si="55"/>
        <v>258500</v>
      </c>
    </row>
    <row r="29" spans="1:49" x14ac:dyDescent="0.2">
      <c r="A29" s="5" t="s">
        <v>139</v>
      </c>
      <c r="B29" s="10">
        <v>50</v>
      </c>
      <c r="C29" s="5">
        <v>5908</v>
      </c>
      <c r="D29" s="5">
        <v>2238</v>
      </c>
      <c r="E29" s="5">
        <v>264</v>
      </c>
      <c r="F29" s="5">
        <v>23</v>
      </c>
      <c r="G29" s="5">
        <v>20602</v>
      </c>
      <c r="H29" s="5">
        <v>61378</v>
      </c>
      <c r="I29" s="7">
        <v>254900</v>
      </c>
      <c r="J29" s="7">
        <v>285700</v>
      </c>
      <c r="K29" s="5">
        <v>8861</v>
      </c>
      <c r="L29" s="5">
        <v>45805</v>
      </c>
      <c r="M29" s="7">
        <v>344100</v>
      </c>
      <c r="N29" s="7">
        <v>1403000</v>
      </c>
      <c r="O29" s="8">
        <f t="shared" si="56"/>
        <v>0.98865057595041361</v>
      </c>
      <c r="P29" s="8">
        <f t="shared" si="57"/>
        <v>1.1452785632824722</v>
      </c>
      <c r="Q29" s="8">
        <f t="shared" si="58"/>
        <v>2.4099316999546363</v>
      </c>
      <c r="R29" s="8">
        <f t="shared" si="59"/>
        <v>6.899250013778718</v>
      </c>
      <c r="S29" s="8">
        <f t="shared" si="60"/>
        <v>0.50571620330700795</v>
      </c>
      <c r="T29" s="8">
        <f t="shared" si="61"/>
        <v>0.78616153930215193</v>
      </c>
      <c r="U29" s="8">
        <f t="shared" si="62"/>
        <v>7.3247465321989749</v>
      </c>
      <c r="V29" s="8">
        <f t="shared" si="63"/>
        <v>171.86365634804531</v>
      </c>
      <c r="W29" s="8">
        <f t="shared" si="43"/>
        <v>0.13401479387635712</v>
      </c>
      <c r="X29" s="8">
        <f t="shared" si="44"/>
        <v>0.17171008763233958</v>
      </c>
      <c r="Y29" s="8">
        <f t="shared" si="44"/>
        <v>1.4599436860120936</v>
      </c>
      <c r="Z29" s="8">
        <f t="shared" si="44"/>
        <v>30.098267736996114</v>
      </c>
      <c r="AA29" s="8">
        <f t="shared" si="64"/>
        <v>791.7594022215178</v>
      </c>
      <c r="AB29" s="8">
        <f t="shared" si="65"/>
        <v>384.287176121176</v>
      </c>
      <c r="AC29" s="8">
        <f t="shared" si="66"/>
        <v>385.42513310719272</v>
      </c>
      <c r="AD29" s="8">
        <f t="shared" si="67"/>
        <v>692.26015795091064</v>
      </c>
      <c r="AE29" s="8">
        <f t="shared" si="68"/>
        <v>0.35131038122650499</v>
      </c>
      <c r="AF29" s="8">
        <f t="shared" si="69"/>
        <v>0.17051148867293914</v>
      </c>
      <c r="AG29" s="8">
        <f t="shared" si="70"/>
        <v>0.17101640986674524</v>
      </c>
      <c r="AH29" s="8">
        <f t="shared" si="71"/>
        <v>0.30716172023381061</v>
      </c>
      <c r="AN29" s="10">
        <v>50</v>
      </c>
      <c r="AO29" s="8">
        <f t="shared" si="53"/>
        <v>1.3399847178255648</v>
      </c>
      <c r="AP29" s="8">
        <f t="shared" si="54"/>
        <v>0.74077303109561177</v>
      </c>
      <c r="AV29" s="5">
        <f t="shared" si="55"/>
        <v>61378</v>
      </c>
      <c r="AW29" s="5">
        <f t="shared" si="55"/>
        <v>254900</v>
      </c>
    </row>
    <row r="30" spans="1:49" x14ac:dyDescent="0.2">
      <c r="A30" s="5" t="s">
        <v>140</v>
      </c>
      <c r="B30" s="10">
        <v>50</v>
      </c>
      <c r="C30" s="5">
        <v>20532</v>
      </c>
      <c r="D30" s="5">
        <v>7763</v>
      </c>
      <c r="E30" s="5">
        <v>684</v>
      </c>
      <c r="F30" s="5">
        <v>52</v>
      </c>
      <c r="G30" s="5">
        <v>22795</v>
      </c>
      <c r="H30" s="5">
        <v>61916</v>
      </c>
      <c r="I30" s="7">
        <v>275400</v>
      </c>
      <c r="J30" s="7">
        <v>288900</v>
      </c>
      <c r="K30" s="5">
        <v>10530</v>
      </c>
      <c r="L30" s="5">
        <v>42772</v>
      </c>
      <c r="M30" s="7">
        <v>358400</v>
      </c>
      <c r="N30" s="7">
        <v>1791000</v>
      </c>
      <c r="O30" s="8">
        <f t="shared" si="56"/>
        <v>0.99572647760852329</v>
      </c>
      <c r="P30" s="8">
        <f t="shared" si="57"/>
        <v>1.1324198396581182</v>
      </c>
      <c r="Q30" s="8">
        <f t="shared" si="58"/>
        <v>2.4705580592781646</v>
      </c>
      <c r="R30" s="8">
        <f t="shared" si="59"/>
        <v>8.5442169660534777</v>
      </c>
      <c r="S30" s="8">
        <f t="shared" si="60"/>
        <v>0.51665253523395471</v>
      </c>
      <c r="T30" s="8">
        <f t="shared" si="61"/>
        <v>0.7599776249619532</v>
      </c>
      <c r="U30" s="8">
        <f t="shared" si="62"/>
        <v>7.8915732333640385</v>
      </c>
      <c r="V30" s="8">
        <f t="shared" si="63"/>
        <v>326.43386092201166</v>
      </c>
      <c r="W30" s="8">
        <f t="shared" si="43"/>
        <v>0.13691292183699802</v>
      </c>
      <c r="X30" s="8">
        <f t="shared" ref="X30:X31" si="72">(10^(-0.665+LOG(T30, 10)*0.959))</f>
        <v>0.16622179698213482</v>
      </c>
      <c r="Y30" s="8">
        <f t="shared" ref="Y30:Y31" si="73">(10^(-0.665+LOG(U30, 10)*0.959))</f>
        <v>1.568122130209173</v>
      </c>
      <c r="Z30" s="8">
        <f t="shared" ref="Z30:Z31" si="74">(10^(-0.665+LOG(V30, 10)*0.959))</f>
        <v>55.683894045830279</v>
      </c>
      <c r="AA30" s="8">
        <f t="shared" si="64"/>
        <v>2811.0961111572433</v>
      </c>
      <c r="AB30" s="8">
        <f t="shared" si="65"/>
        <v>1290.3798099723126</v>
      </c>
      <c r="AC30" s="8">
        <f t="shared" si="66"/>
        <v>1072.5955370630743</v>
      </c>
      <c r="AD30" s="8">
        <f t="shared" si="67"/>
        <v>2895.5624903831745</v>
      </c>
      <c r="AE30" s="8">
        <f t="shared" si="68"/>
        <v>0.34835484844431741</v>
      </c>
      <c r="AF30" s="8">
        <f t="shared" si="69"/>
        <v>0.15990561879204562</v>
      </c>
      <c r="AG30" s="8">
        <f t="shared" si="70"/>
        <v>0.13291749587382148</v>
      </c>
      <c r="AH30" s="8">
        <f t="shared" si="71"/>
        <v>0.3588220368898154</v>
      </c>
      <c r="AN30" s="10">
        <v>50</v>
      </c>
      <c r="AO30" s="8">
        <f t="shared" si="53"/>
        <v>1.4475825306275134</v>
      </c>
      <c r="AP30" s="8">
        <f t="shared" si="54"/>
        <v>0.7684151785714286</v>
      </c>
      <c r="AV30" s="5">
        <f t="shared" ref="AV30:AW31" si="75">H30</f>
        <v>61916</v>
      </c>
      <c r="AW30" s="5">
        <f t="shared" si="75"/>
        <v>275400</v>
      </c>
    </row>
    <row r="31" spans="1:49" x14ac:dyDescent="0.2">
      <c r="A31" s="5" t="s">
        <v>141</v>
      </c>
      <c r="B31" s="10">
        <v>50</v>
      </c>
      <c r="C31" s="5">
        <v>20114</v>
      </c>
      <c r="D31" s="5">
        <v>7452</v>
      </c>
      <c r="E31" s="5">
        <v>606</v>
      </c>
      <c r="F31" s="5">
        <v>54</v>
      </c>
      <c r="G31" s="5">
        <v>23206</v>
      </c>
      <c r="H31" s="5">
        <v>62100</v>
      </c>
      <c r="I31" s="7">
        <v>271800</v>
      </c>
      <c r="J31" s="7">
        <v>290200</v>
      </c>
      <c r="K31" s="5">
        <v>7497</v>
      </c>
      <c r="L31" s="5">
        <v>41889</v>
      </c>
      <c r="M31" s="7">
        <v>341200</v>
      </c>
      <c r="N31" s="7">
        <v>2377000</v>
      </c>
      <c r="O31" s="8">
        <f t="shared" si="56"/>
        <v>0.98286775398416937</v>
      </c>
      <c r="P31" s="8">
        <f t="shared" si="57"/>
        <v>1.1286762679600291</v>
      </c>
      <c r="Q31" s="8">
        <f t="shared" si="58"/>
        <v>2.3976368438680464</v>
      </c>
      <c r="R31" s="8">
        <f t="shared" si="59"/>
        <v>11.028625816654019</v>
      </c>
      <c r="S31" s="8">
        <f t="shared" si="60"/>
        <v>0.49689389222990449</v>
      </c>
      <c r="T31" s="8">
        <f t="shared" si="61"/>
        <v>0.75246547484511339</v>
      </c>
      <c r="U31" s="8">
        <f t="shared" si="62"/>
        <v>7.2132105419830692</v>
      </c>
      <c r="V31" s="8">
        <f t="shared" si="63"/>
        <v>702.00887701583144</v>
      </c>
      <c r="W31" s="8">
        <f t="shared" si="43"/>
        <v>0.13167688144092468</v>
      </c>
      <c r="X31" s="8">
        <f t="shared" si="72"/>
        <v>0.1646457892992261</v>
      </c>
      <c r="Y31" s="8">
        <f t="shared" si="73"/>
        <v>1.4386174894642294</v>
      </c>
      <c r="Z31" s="8">
        <f t="shared" si="74"/>
        <v>116.04930853973197</v>
      </c>
      <c r="AA31" s="8">
        <f t="shared" si="64"/>
        <v>2648.5487933027589</v>
      </c>
      <c r="AB31" s="8">
        <f t="shared" si="65"/>
        <v>1226.9404218578329</v>
      </c>
      <c r="AC31" s="8">
        <f t="shared" si="66"/>
        <v>871.80219861532305</v>
      </c>
      <c r="AD31" s="8">
        <f t="shared" si="67"/>
        <v>6266.6626611455258</v>
      </c>
      <c r="AE31" s="8">
        <f t="shared" si="68"/>
        <v>0.24047211158556156</v>
      </c>
      <c r="AF31" s="8">
        <f t="shared" si="69"/>
        <v>0.11139872324795257</v>
      </c>
      <c r="AG31" s="8">
        <f t="shared" si="70"/>
        <v>7.9154333919041822E-2</v>
      </c>
      <c r="AH31" s="8">
        <f t="shared" si="71"/>
        <v>0.56897483124744419</v>
      </c>
      <c r="AN31" s="10">
        <v>50</v>
      </c>
      <c r="AO31" s="8">
        <f t="shared" si="53"/>
        <v>1.4824894363675427</v>
      </c>
      <c r="AP31" s="8">
        <f t="shared" si="54"/>
        <v>0.79660023446658856</v>
      </c>
      <c r="AV31" s="5">
        <f t="shared" si="75"/>
        <v>62100</v>
      </c>
      <c r="AW31" s="5">
        <f t="shared" si="75"/>
        <v>271800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116</v>
      </c>
      <c r="B38" s="10">
        <v>5</v>
      </c>
      <c r="C38" s="6">
        <f>1-0.26-0.025</f>
        <v>0.71499999999999997</v>
      </c>
      <c r="D38" s="12">
        <f>H38/$C38</f>
        <v>6504.8951048951049</v>
      </c>
      <c r="E38" s="12">
        <f t="shared" ref="E38:G45" si="76">I38/$C38</f>
        <v>26979.020979020981</v>
      </c>
      <c r="F38" s="12">
        <f t="shared" si="76"/>
        <v>881.11888111888118</v>
      </c>
      <c r="G38" s="12">
        <f>K38/$C38</f>
        <v>314.68531468531472</v>
      </c>
      <c r="H38" s="5">
        <v>4651</v>
      </c>
      <c r="I38" s="5">
        <v>19290</v>
      </c>
      <c r="J38" s="5">
        <v>630</v>
      </c>
      <c r="K38" s="5">
        <v>225</v>
      </c>
      <c r="L38" s="26">
        <f t="shared" ref="L38:O45" si="77">W4*D38*1000/1000000</f>
        <v>0.97322478485064434</v>
      </c>
      <c r="M38" s="26">
        <f t="shared" si="77"/>
        <v>4.8123641505788921</v>
      </c>
      <c r="N38" s="26">
        <f t="shared" si="77"/>
        <v>3.3104926724708621</v>
      </c>
      <c r="O38" s="26">
        <f t="shared" si="77"/>
        <v>123.26091061561408</v>
      </c>
      <c r="P38" s="26">
        <f>SUM(L38:O38)</f>
        <v>132.35699222351448</v>
      </c>
      <c r="Q38" s="26">
        <f>SUM(L38:N38)</f>
        <v>9.0960816079003983</v>
      </c>
      <c r="R38" s="26">
        <f>(LN(L48/(L38*0.25)))/$B$1</f>
        <v>0.7526624591900013</v>
      </c>
      <c r="S38" s="26">
        <f>(R38-R39)/(1-0.25)</f>
        <v>0.43653104490712241</v>
      </c>
      <c r="T38" s="26">
        <f>S38+R40</f>
        <v>0.80498472583650804</v>
      </c>
      <c r="V38" s="26">
        <f>(LN(L51/(L39*0.25)))/$B$1</f>
        <v>0.78802163144382331</v>
      </c>
      <c r="W38" s="26">
        <f>(V38-V39)/(1-0.25)</f>
        <v>0.9974596014408017</v>
      </c>
      <c r="X38" s="26">
        <f>W38+V40</f>
        <v>1.0259654556536806</v>
      </c>
      <c r="Z38" s="26">
        <f>(LN(L54/(L40*0.25)))/$B$1</f>
        <v>0.85542454795533196</v>
      </c>
      <c r="AA38" s="26">
        <f>(Z38-Z39)/(1-0.25)</f>
        <v>1.3323704599964052</v>
      </c>
      <c r="AB38" s="26">
        <f>AA38+Z40</f>
        <v>1.3309181819872262</v>
      </c>
    </row>
    <row r="39" spans="1:28" x14ac:dyDescent="0.2">
      <c r="A39" s="5" t="s">
        <v>117</v>
      </c>
      <c r="B39" s="10">
        <v>12</v>
      </c>
      <c r="C39" s="6">
        <f>1-0.26-0.025</f>
        <v>0.71499999999999997</v>
      </c>
      <c r="D39" s="12">
        <f t="shared" ref="D39:D44" si="78">H39/$C39</f>
        <v>6324.4755244755252</v>
      </c>
      <c r="E39" s="12">
        <f t="shared" si="76"/>
        <v>29930.069930069931</v>
      </c>
      <c r="F39" s="12">
        <f t="shared" si="76"/>
        <v>903.49650349650358</v>
      </c>
      <c r="G39" s="12">
        <f t="shared" si="76"/>
        <v>297.90209790209792</v>
      </c>
      <c r="H39" s="5">
        <v>4522</v>
      </c>
      <c r="I39" s="5">
        <v>21400</v>
      </c>
      <c r="J39" s="5">
        <v>646</v>
      </c>
      <c r="K39" s="5">
        <v>213</v>
      </c>
      <c r="L39" s="26">
        <f t="shared" si="77"/>
        <v>1.253590444795234</v>
      </c>
      <c r="M39" s="26">
        <f t="shared" si="77"/>
        <v>5.3898063567676653</v>
      </c>
      <c r="N39" s="26">
        <f t="shared" si="77"/>
        <v>4.9151081506492558</v>
      </c>
      <c r="O39" s="26">
        <f t="shared" si="77"/>
        <v>96.550227274254098</v>
      </c>
      <c r="P39" s="26">
        <f t="shared" ref="P39:P45" si="79">SUM(L39:O39)</f>
        <v>108.10873222646626</v>
      </c>
      <c r="Q39" s="26">
        <f t="shared" ref="Q39:Q45" si="80">SUM(L39:N39)</f>
        <v>11.558504952212154</v>
      </c>
      <c r="R39" s="26">
        <f>(LN(L49/L38))/$B$1</f>
        <v>0.4252641755096595</v>
      </c>
      <c r="V39" s="26">
        <f>(LN(L52/L39))/$B$1</f>
        <v>3.9926930363221994E-2</v>
      </c>
      <c r="Z39" s="26">
        <f>(LN(L55/L40))/$B$1</f>
        <v>-0.14385329704197206</v>
      </c>
    </row>
    <row r="40" spans="1:28" x14ac:dyDescent="0.2">
      <c r="A40" s="5" t="s">
        <v>118</v>
      </c>
      <c r="B40" s="10">
        <v>20</v>
      </c>
      <c r="C40" s="6">
        <f t="shared" ref="C40:C42" si="81">1-0.26-0.025</f>
        <v>0.71499999999999997</v>
      </c>
      <c r="D40" s="12">
        <f t="shared" si="78"/>
        <v>9763.636363636364</v>
      </c>
      <c r="E40" s="12">
        <f t="shared" si="76"/>
        <v>29251.748251748253</v>
      </c>
      <c r="F40" s="12">
        <f t="shared" si="76"/>
        <v>955.24475524475531</v>
      </c>
      <c r="G40" s="12">
        <f t="shared" si="76"/>
        <v>247.55244755244757</v>
      </c>
      <c r="H40" s="5">
        <v>6981</v>
      </c>
      <c r="I40" s="5">
        <v>20915</v>
      </c>
      <c r="J40" s="5">
        <v>683</v>
      </c>
      <c r="K40" s="5">
        <v>177</v>
      </c>
      <c r="L40" s="26">
        <f t="shared" si="77"/>
        <v>1.9272885517995753</v>
      </c>
      <c r="M40" s="26">
        <f t="shared" si="77"/>
        <v>5.0608407097957464</v>
      </c>
      <c r="N40" s="26">
        <f t="shared" si="77"/>
        <v>4.205157049659892</v>
      </c>
      <c r="O40" s="26">
        <f t="shared" si="77"/>
        <v>62.399487793412476</v>
      </c>
      <c r="P40" s="26">
        <f t="shared" si="79"/>
        <v>73.592774104667683</v>
      </c>
      <c r="Q40" s="26">
        <f t="shared" si="80"/>
        <v>11.193286311255214</v>
      </c>
      <c r="R40" s="26">
        <f>LN(L50/L38)/$B$1</f>
        <v>0.36845368092938563</v>
      </c>
      <c r="V40" s="26">
        <f>LN(L53/L39)/$B$1</f>
        <v>2.8505854212878785E-2</v>
      </c>
      <c r="Z40" s="26">
        <f>LN(L56/L40)/$B$1</f>
        <v>-1.4522780091789902E-3</v>
      </c>
    </row>
    <row r="41" spans="1:28" x14ac:dyDescent="0.2">
      <c r="A41" s="5" t="s">
        <v>119</v>
      </c>
      <c r="B41" s="10">
        <v>30</v>
      </c>
      <c r="C41" s="6">
        <f t="shared" si="81"/>
        <v>0.71499999999999997</v>
      </c>
      <c r="D41" s="12">
        <f t="shared" si="78"/>
        <v>137339.86013986013</v>
      </c>
      <c r="E41" s="12">
        <f t="shared" si="76"/>
        <v>53995.804195804201</v>
      </c>
      <c r="F41" s="12">
        <f t="shared" si="76"/>
        <v>2672.727272727273</v>
      </c>
      <c r="G41" s="12">
        <f t="shared" si="76"/>
        <v>372.02797202797206</v>
      </c>
      <c r="H41" s="5">
        <v>98198</v>
      </c>
      <c r="I41" s="5">
        <v>38607</v>
      </c>
      <c r="J41" s="5">
        <v>1911</v>
      </c>
      <c r="K41" s="5">
        <v>266</v>
      </c>
      <c r="L41" s="26">
        <f t="shared" si="77"/>
        <v>17.415870634062433</v>
      </c>
      <c r="M41" s="26">
        <f t="shared" si="77"/>
        <v>6.9446785706348519</v>
      </c>
      <c r="N41" s="26">
        <f t="shared" si="77"/>
        <v>4.9063052215026293</v>
      </c>
      <c r="O41" s="26">
        <f t="shared" si="77"/>
        <v>60.161745083666439</v>
      </c>
      <c r="P41" s="26">
        <f t="shared" si="79"/>
        <v>89.428599509866359</v>
      </c>
      <c r="Q41" s="26">
        <f t="shared" si="80"/>
        <v>29.266854426199913</v>
      </c>
      <c r="R41" s="5" t="s">
        <v>535</v>
      </c>
      <c r="V41" s="5" t="s">
        <v>535</v>
      </c>
      <c r="Z41" s="5" t="s">
        <v>535</v>
      </c>
    </row>
    <row r="42" spans="1:28" x14ac:dyDescent="0.2">
      <c r="A42" s="5" t="s">
        <v>120</v>
      </c>
      <c r="B42" s="10">
        <v>40</v>
      </c>
      <c r="C42" s="6">
        <f t="shared" si="81"/>
        <v>0.71499999999999997</v>
      </c>
      <c r="D42" s="12">
        <f t="shared" si="78"/>
        <v>29352.447552447553</v>
      </c>
      <c r="E42" s="12">
        <f t="shared" si="76"/>
        <v>15388.811188811189</v>
      </c>
      <c r="F42" s="12">
        <f t="shared" si="76"/>
        <v>1626.5734265734266</v>
      </c>
      <c r="G42" s="12">
        <f t="shared" si="76"/>
        <v>233.56643356643357</v>
      </c>
      <c r="H42" s="5">
        <v>20987</v>
      </c>
      <c r="I42" s="5">
        <v>11003</v>
      </c>
      <c r="J42" s="5">
        <v>1163</v>
      </c>
      <c r="K42" s="5">
        <v>167</v>
      </c>
      <c r="L42" s="26">
        <f t="shared" si="77"/>
        <v>3.9906645384429185</v>
      </c>
      <c r="M42" s="26">
        <f t="shared" si="77"/>
        <v>2.2924991555834171</v>
      </c>
      <c r="N42" s="26">
        <f t="shared" si="77"/>
        <v>3.1175281887813511</v>
      </c>
      <c r="O42" s="26">
        <f t="shared" si="77"/>
        <v>23.198152026456125</v>
      </c>
      <c r="P42" s="26">
        <f t="shared" si="79"/>
        <v>32.598843909263813</v>
      </c>
      <c r="Q42" s="26">
        <f t="shared" si="80"/>
        <v>9.4006918828076866</v>
      </c>
      <c r="R42" s="6" t="s">
        <v>539</v>
      </c>
      <c r="S42" s="6" t="s">
        <v>540</v>
      </c>
      <c r="T42" s="6" t="s">
        <v>541</v>
      </c>
      <c r="V42" s="6" t="s">
        <v>539</v>
      </c>
      <c r="W42" s="6" t="s">
        <v>540</v>
      </c>
      <c r="X42" s="6" t="s">
        <v>541</v>
      </c>
      <c r="Z42" s="6" t="s">
        <v>539</v>
      </c>
      <c r="AA42" s="6" t="s">
        <v>540</v>
      </c>
      <c r="AB42" s="6" t="s">
        <v>541</v>
      </c>
    </row>
    <row r="43" spans="1:28" x14ac:dyDescent="0.2">
      <c r="A43" s="5" t="s">
        <v>121</v>
      </c>
      <c r="B43" s="10">
        <v>50</v>
      </c>
      <c r="C43" s="6">
        <f>1-0.25-0.025</f>
        <v>0.72499999999999998</v>
      </c>
      <c r="D43" s="12">
        <f t="shared" si="78"/>
        <v>28445.517241379312</v>
      </c>
      <c r="E43" s="12">
        <f t="shared" si="76"/>
        <v>11731.034482758621</v>
      </c>
      <c r="F43" s="12">
        <f t="shared" si="76"/>
        <v>969.65517241379314</v>
      </c>
      <c r="G43" s="12">
        <f t="shared" si="76"/>
        <v>117.24137931034483</v>
      </c>
      <c r="H43" s="5">
        <v>20623</v>
      </c>
      <c r="I43" s="5">
        <v>8505</v>
      </c>
      <c r="J43" s="5">
        <v>703</v>
      </c>
      <c r="K43" s="5">
        <v>85</v>
      </c>
      <c r="L43" s="26">
        <f t="shared" si="77"/>
        <v>3.6928404178513241</v>
      </c>
      <c r="M43" s="26">
        <f t="shared" si="77"/>
        <v>1.8454559273478788</v>
      </c>
      <c r="N43" s="26">
        <f t="shared" si="77"/>
        <v>1.635883743202625</v>
      </c>
      <c r="O43" s="26">
        <f t="shared" si="77"/>
        <v>8.0155275085332196</v>
      </c>
      <c r="P43" s="26">
        <f t="shared" si="79"/>
        <v>15.189707596935047</v>
      </c>
      <c r="Q43" s="26">
        <f t="shared" si="80"/>
        <v>7.1741800884018279</v>
      </c>
      <c r="R43" s="26">
        <f>(LN(M48/(M38*0.25)))/$B$1</f>
        <v>0.71589466601391138</v>
      </c>
      <c r="S43" s="26">
        <f>(R43-R44)/(1-0.25)</f>
        <v>0.26108604803185304</v>
      </c>
      <c r="T43" s="26">
        <f>S43+R45</f>
        <v>0.73293908505934002</v>
      </c>
      <c r="V43" s="26">
        <f>(LN(M51/(M39*0.25)))/$B$1</f>
        <v>0.63467116786178812</v>
      </c>
      <c r="W43" s="26">
        <f>(V43-V44)/(1-0.25)</f>
        <v>0.37602924387219511</v>
      </c>
      <c r="X43" s="26">
        <f>W43+V45</f>
        <v>0.48966247103859978</v>
      </c>
      <c r="Z43" s="26">
        <f>(LN(M54/(M40*0.25)))/$B$1</f>
        <v>0.27335666609545328</v>
      </c>
      <c r="AA43" s="26">
        <f>(Z43-Z44)/(1-0.25)</f>
        <v>0.11858660367352403</v>
      </c>
      <c r="AB43" s="26">
        <f>AA43+Z45</f>
        <v>0.20703739878063673</v>
      </c>
    </row>
    <row r="44" spans="1:28" x14ac:dyDescent="0.2">
      <c r="A44" s="5" t="s">
        <v>122</v>
      </c>
      <c r="B44" s="10">
        <v>70</v>
      </c>
      <c r="C44" s="6">
        <f>1-0.23-0.025</f>
        <v>0.745</v>
      </c>
      <c r="D44" s="12">
        <f t="shared" si="78"/>
        <v>10671.140939597315</v>
      </c>
      <c r="E44" s="12">
        <f t="shared" si="76"/>
        <v>4359.7315436241615</v>
      </c>
      <c r="F44" s="12">
        <f t="shared" si="76"/>
        <v>418.79194630872485</v>
      </c>
      <c r="G44" s="12">
        <f t="shared" si="76"/>
        <v>30.872483221476511</v>
      </c>
      <c r="H44" s="5">
        <v>7950</v>
      </c>
      <c r="I44" s="5">
        <v>3248</v>
      </c>
      <c r="J44" s="5">
        <v>312</v>
      </c>
      <c r="K44" s="5">
        <v>23</v>
      </c>
      <c r="L44" s="26">
        <f t="shared" si="77"/>
        <v>1.4409544906840674</v>
      </c>
      <c r="M44" s="26">
        <f t="shared" si="77"/>
        <v>0.78653222967233349</v>
      </c>
      <c r="N44" s="26">
        <f t="shared" si="77"/>
        <v>0.57977917307274685</v>
      </c>
      <c r="O44" s="26">
        <f t="shared" si="77"/>
        <v>0.97595229458465405</v>
      </c>
      <c r="P44" s="26">
        <f t="shared" si="79"/>
        <v>3.7832181880138016</v>
      </c>
      <c r="Q44" s="26">
        <f t="shared" si="80"/>
        <v>2.8072658934291477</v>
      </c>
      <c r="R44" s="26">
        <f>(LN(M49/M38))/$B$1</f>
        <v>0.52008012999002162</v>
      </c>
      <c r="V44" s="26">
        <f>(LN(M52/M39))/$B$1</f>
        <v>0.35264923495764178</v>
      </c>
      <c r="Z44" s="26">
        <f>(LN(M55/M40))/$B$1</f>
        <v>0.18441671334031026</v>
      </c>
    </row>
    <row r="45" spans="1:28" x14ac:dyDescent="0.2">
      <c r="A45" s="5" t="s">
        <v>123</v>
      </c>
      <c r="B45" s="10">
        <v>100</v>
      </c>
      <c r="C45" s="6">
        <f>1-0.23-0.025</f>
        <v>0.745</v>
      </c>
      <c r="D45" s="12">
        <f>H45/$C45</f>
        <v>3915.4362416107383</v>
      </c>
      <c r="E45" s="12">
        <f t="shared" si="76"/>
        <v>1641.6107382550335</v>
      </c>
      <c r="F45" s="12">
        <f t="shared" si="76"/>
        <v>166.44295302013424</v>
      </c>
      <c r="G45" s="12">
        <f t="shared" si="76"/>
        <v>33.557046979865774</v>
      </c>
      <c r="H45" s="5">
        <v>2917</v>
      </c>
      <c r="I45" s="5">
        <v>1223</v>
      </c>
      <c r="J45" s="5">
        <v>124</v>
      </c>
      <c r="K45" s="5">
        <v>25</v>
      </c>
      <c r="L45" s="26">
        <f t="shared" si="77"/>
        <v>0.54405619744521083</v>
      </c>
      <c r="M45" s="26">
        <f t="shared" si="77"/>
        <v>0.30892977283665041</v>
      </c>
      <c r="N45" s="26">
        <f t="shared" si="77"/>
        <v>0.27676662673671187</v>
      </c>
      <c r="O45" s="26">
        <f t="shared" si="77"/>
        <v>33.838370173614827</v>
      </c>
      <c r="P45" s="26">
        <f t="shared" si="79"/>
        <v>34.9681227706334</v>
      </c>
      <c r="Q45" s="26">
        <f t="shared" si="80"/>
        <v>1.1297525970185731</v>
      </c>
      <c r="R45" s="26">
        <f>LN(M50/M38)/$B$1</f>
        <v>0.47185303702748693</v>
      </c>
      <c r="V45" s="26">
        <f>LN(M53/M39)/$B$1</f>
        <v>0.11363322716640467</v>
      </c>
      <c r="Z45" s="26">
        <f>LN(M56/M40)/$B$1</f>
        <v>8.8450795107112706E-2</v>
      </c>
    </row>
    <row r="46" spans="1:28" x14ac:dyDescent="0.2">
      <c r="A46" s="30"/>
      <c r="B46" s="10"/>
      <c r="Q46" s="10"/>
    </row>
    <row r="47" spans="1:28" x14ac:dyDescent="0.2">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124</v>
      </c>
      <c r="B48" s="10">
        <v>5</v>
      </c>
      <c r="C48" s="31">
        <f>1-0.275-0.025</f>
        <v>0.7</v>
      </c>
      <c r="D48" s="12">
        <f t="shared" ref="D48:G65" si="82">H48/$C48</f>
        <v>2685.7142857142858</v>
      </c>
      <c r="E48" s="12">
        <f t="shared" si="82"/>
        <v>13558.571428571429</v>
      </c>
      <c r="F48" s="12">
        <f t="shared" si="82"/>
        <v>405.71428571428572</v>
      </c>
      <c r="G48" s="12">
        <f>K48/$C48</f>
        <v>107.14285714285715</v>
      </c>
      <c r="H48" s="5">
        <v>1880</v>
      </c>
      <c r="I48" s="5">
        <v>9491</v>
      </c>
      <c r="J48" s="5">
        <v>284</v>
      </c>
      <c r="K48" s="5">
        <v>75</v>
      </c>
      <c r="L48" s="26">
        <f>W14*D48*1000/1000000</f>
        <v>0.5674008290035073</v>
      </c>
      <c r="M48" s="26">
        <f>X14*E48*1000/1000000</f>
        <v>2.691976302771832</v>
      </c>
      <c r="N48" s="26">
        <f>Y14*F48*1000/1000000</f>
        <v>2.7481483011254229</v>
      </c>
      <c r="O48" s="26">
        <f>Z14*G48*1000/1000000</f>
        <v>24.917962309507811</v>
      </c>
      <c r="P48" s="26">
        <f>SUM(L48:O48)</f>
        <v>30.925487742408571</v>
      </c>
      <c r="Q48" s="26">
        <f>SUM(L48:N48)</f>
        <v>6.0075254329007617</v>
      </c>
      <c r="R48" s="26">
        <f>(LN(N48/(N38*0.25)))/$B$1</f>
        <v>1.0667774924398568</v>
      </c>
      <c r="S48" s="26">
        <f>(R48-R49)/(1-0.25)</f>
        <v>0.32854858510062562</v>
      </c>
      <c r="T48" s="26">
        <f>S48+R50</f>
        <v>1.1119821293002452</v>
      </c>
      <c r="V48" s="26">
        <f>(LN(N51/(N39*0.25)))/$B$1</f>
        <v>0.3182551956427408</v>
      </c>
      <c r="W48" s="26">
        <f>(V48-V49)/(1-0.25)</f>
        <v>-0.12220507656498543</v>
      </c>
      <c r="X48" s="26">
        <f>W48+V50</f>
        <v>-0.26590934536636773</v>
      </c>
      <c r="Z48" s="26">
        <f>(LN(N54/(N40*0.25)))/$B$1</f>
        <v>9.9447967657977476E-2</v>
      </c>
      <c r="AA48" s="26">
        <f>(Z48-Z49)/(1-0.25)</f>
        <v>0.22661783807786459</v>
      </c>
      <c r="AB48" s="26">
        <f>AA48+Z50</f>
        <v>8.9470345875640955E-2</v>
      </c>
    </row>
    <row r="49" spans="1:28" x14ac:dyDescent="0.2">
      <c r="A49" s="5" t="s">
        <v>125</v>
      </c>
      <c r="B49" s="10">
        <v>5</v>
      </c>
      <c r="C49" s="31">
        <f>1-0.28-0.025</f>
        <v>0.69499999999999995</v>
      </c>
      <c r="D49" s="12">
        <f t="shared" si="82"/>
        <v>8798.5611510791368</v>
      </c>
      <c r="E49" s="12">
        <f t="shared" si="82"/>
        <v>42932.374100719426</v>
      </c>
      <c r="F49" s="12">
        <f t="shared" si="82"/>
        <v>1212.9496402877699</v>
      </c>
      <c r="G49" s="12">
        <f t="shared" si="82"/>
        <v>286.33093525179856</v>
      </c>
      <c r="H49" s="5">
        <v>6115</v>
      </c>
      <c r="I49" s="5">
        <v>29838</v>
      </c>
      <c r="J49" s="5">
        <v>843</v>
      </c>
      <c r="K49" s="5">
        <v>199</v>
      </c>
      <c r="L49" s="26">
        <f t="shared" ref="L49:O64" si="83">W15*D49*1000/1000000</f>
        <v>1.5703240454324765</v>
      </c>
      <c r="M49" s="26">
        <f t="shared" si="83"/>
        <v>8.6389290017618716</v>
      </c>
      <c r="N49" s="26">
        <f t="shared" si="83"/>
        <v>8.3312110709168898</v>
      </c>
      <c r="O49" s="26">
        <f t="shared" si="83"/>
        <v>68.223694041024842</v>
      </c>
      <c r="P49" s="26">
        <f t="shared" ref="P49:P65" si="84">SUM(L49:O49)</f>
        <v>86.764158159136088</v>
      </c>
      <c r="Q49" s="26">
        <f t="shared" ref="Q49:Q65" si="85">SUM(L49:N49)</f>
        <v>18.540464118111238</v>
      </c>
      <c r="R49" s="26">
        <f>(LN(N49/N38))/$B$1</f>
        <v>0.82036605361438752</v>
      </c>
      <c r="V49" s="26">
        <f>(LN(N52/N39))/$B$1</f>
        <v>0.40990900306647987</v>
      </c>
      <c r="Z49" s="26">
        <f>(LN(N55/N40))/$B$1</f>
        <v>-7.0515410900420974E-2</v>
      </c>
    </row>
    <row r="50" spans="1:28" x14ac:dyDescent="0.2">
      <c r="A50" s="5" t="s">
        <v>126</v>
      </c>
      <c r="B50" s="10">
        <v>5</v>
      </c>
      <c r="C50" s="31">
        <f>1-0.23-0.025</f>
        <v>0.745</v>
      </c>
      <c r="D50" s="12">
        <f t="shared" si="82"/>
        <v>8557.0469798657723</v>
      </c>
      <c r="E50" s="12">
        <f t="shared" si="82"/>
        <v>40624.161073825504</v>
      </c>
      <c r="F50" s="12">
        <f t="shared" si="82"/>
        <v>1186.5771812080536</v>
      </c>
      <c r="G50" s="12">
        <f t="shared" si="82"/>
        <v>324.83221476510067</v>
      </c>
      <c r="H50" s="5">
        <v>6375</v>
      </c>
      <c r="I50" s="5">
        <v>30265</v>
      </c>
      <c r="J50" s="5">
        <v>884</v>
      </c>
      <c r="K50" s="5">
        <v>242</v>
      </c>
      <c r="L50" s="26">
        <f t="shared" si="83"/>
        <v>1.4731017179097097</v>
      </c>
      <c r="M50" s="26">
        <f t="shared" si="83"/>
        <v>8.1827079201880153</v>
      </c>
      <c r="N50" s="26">
        <f t="shared" si="83"/>
        <v>7.9921495943610203</v>
      </c>
      <c r="O50" s="26">
        <f t="shared" si="83"/>
        <v>70.916828682345027</v>
      </c>
      <c r="P50" s="26">
        <f t="shared" si="84"/>
        <v>88.564787914803773</v>
      </c>
      <c r="Q50" s="26">
        <f t="shared" si="85"/>
        <v>17.647959232458746</v>
      </c>
      <c r="R50" s="26">
        <f>LN(N50/N38)/$B$1</f>
        <v>0.78343354419961964</v>
      </c>
      <c r="V50" s="26">
        <f>LN(N53/N39)/$B$1</f>
        <v>-0.14370426880138229</v>
      </c>
      <c r="Z50" s="26">
        <f>LN(N56/N40)/$B$1</f>
        <v>-0.13714749220222364</v>
      </c>
    </row>
    <row r="51" spans="1:28" x14ac:dyDescent="0.2">
      <c r="A51" s="5" t="s">
        <v>127</v>
      </c>
      <c r="B51" s="10">
        <v>12</v>
      </c>
      <c r="C51" s="31">
        <f>1-0.285-0.025</f>
        <v>0.69000000000000006</v>
      </c>
      <c r="D51" s="12">
        <f>H51/$C51</f>
        <v>2871.014492753623</v>
      </c>
      <c r="E51" s="12">
        <f t="shared" si="82"/>
        <v>14263.768115942028</v>
      </c>
      <c r="F51" s="12">
        <f t="shared" si="82"/>
        <v>328.98550724637681</v>
      </c>
      <c r="G51" s="12">
        <f t="shared" si="82"/>
        <v>85.507246376811594</v>
      </c>
      <c r="H51" s="5">
        <v>1981</v>
      </c>
      <c r="I51" s="5">
        <v>9842</v>
      </c>
      <c r="J51" s="5">
        <v>227</v>
      </c>
      <c r="K51" s="5">
        <v>59</v>
      </c>
      <c r="L51" s="26">
        <f t="shared" si="83"/>
        <v>0.76051591846282141</v>
      </c>
      <c r="M51" s="26">
        <f t="shared" si="83"/>
        <v>2.7517034619461604</v>
      </c>
      <c r="N51" s="26">
        <f t="shared" si="83"/>
        <v>1.7577885117389416</v>
      </c>
      <c r="O51" s="26">
        <f t="shared" si="83"/>
        <v>10.312037742691517</v>
      </c>
      <c r="P51" s="26">
        <f t="shared" si="84"/>
        <v>15.58204563483944</v>
      </c>
      <c r="Q51" s="26">
        <f t="shared" si="85"/>
        <v>5.2700078921479232</v>
      </c>
    </row>
    <row r="52" spans="1:28" x14ac:dyDescent="0.2">
      <c r="A52" s="5" t="s">
        <v>128</v>
      </c>
      <c r="B52" s="10">
        <v>12</v>
      </c>
      <c r="C52" s="31">
        <f>1-0.265-0.025</f>
        <v>0.71</v>
      </c>
      <c r="D52" s="12">
        <f t="shared" si="82"/>
        <v>8090.140845070423</v>
      </c>
      <c r="E52" s="12">
        <f t="shared" si="82"/>
        <v>40808.450704225354</v>
      </c>
      <c r="F52" s="12">
        <f t="shared" si="82"/>
        <v>1045.0704225352113</v>
      </c>
      <c r="G52" s="12">
        <f t="shared" si="82"/>
        <v>214.08450704225353</v>
      </c>
      <c r="H52" s="5">
        <v>5744</v>
      </c>
      <c r="I52" s="5">
        <v>28974</v>
      </c>
      <c r="J52" s="5">
        <v>742</v>
      </c>
      <c r="K52" s="5">
        <v>152</v>
      </c>
      <c r="L52" s="26">
        <f t="shared" si="83"/>
        <v>1.3111827421384104</v>
      </c>
      <c r="M52" s="26">
        <f t="shared" si="83"/>
        <v>8.0143993876476181</v>
      </c>
      <c r="N52" s="26">
        <f t="shared" si="83"/>
        <v>7.7948353986076544</v>
      </c>
      <c r="O52" s="26">
        <f t="shared" si="83"/>
        <v>40.628981212867814</v>
      </c>
      <c r="P52" s="26">
        <f t="shared" si="84"/>
        <v>57.749398741261494</v>
      </c>
      <c r="Q52" s="26">
        <f t="shared" si="85"/>
        <v>17.120417528393681</v>
      </c>
      <c r="R52" s="6" t="s">
        <v>545</v>
      </c>
      <c r="S52" s="6" t="s">
        <v>546</v>
      </c>
      <c r="T52" s="6" t="s">
        <v>547</v>
      </c>
      <c r="V52" s="6" t="s">
        <v>545</v>
      </c>
      <c r="W52" s="6" t="s">
        <v>546</v>
      </c>
      <c r="X52" s="6" t="s">
        <v>547</v>
      </c>
      <c r="Z52" s="6" t="s">
        <v>545</v>
      </c>
      <c r="AA52" s="6" t="s">
        <v>546</v>
      </c>
      <c r="AB52" s="6" t="s">
        <v>547</v>
      </c>
    </row>
    <row r="53" spans="1:28" x14ac:dyDescent="0.2">
      <c r="A53" s="5" t="s">
        <v>129</v>
      </c>
      <c r="B53" s="10">
        <v>12</v>
      </c>
      <c r="C53" s="31">
        <f>1-0.25-0.025</f>
        <v>0.72499999999999998</v>
      </c>
      <c r="D53" s="12">
        <f t="shared" si="82"/>
        <v>8311.7241379310344</v>
      </c>
      <c r="E53" s="12">
        <f t="shared" si="82"/>
        <v>32048.275862068967</v>
      </c>
      <c r="F53" s="12">
        <f t="shared" si="82"/>
        <v>800</v>
      </c>
      <c r="G53" s="12">
        <f t="shared" si="82"/>
        <v>251.0344827586207</v>
      </c>
      <c r="H53" s="5">
        <v>6026</v>
      </c>
      <c r="I53" s="5">
        <v>23235</v>
      </c>
      <c r="J53" s="5">
        <v>580</v>
      </c>
      <c r="K53" s="5">
        <v>182</v>
      </c>
      <c r="L53" s="26">
        <f t="shared" si="83"/>
        <v>1.2944435035555524</v>
      </c>
      <c r="M53" s="26">
        <f t="shared" si="83"/>
        <v>6.1248045054848408</v>
      </c>
      <c r="N53" s="26">
        <f t="shared" si="83"/>
        <v>4.1814014069007062</v>
      </c>
      <c r="O53" s="26">
        <f t="shared" si="83"/>
        <v>26.115256329716466</v>
      </c>
      <c r="P53" s="26">
        <f t="shared" si="84"/>
        <v>37.715905745657565</v>
      </c>
      <c r="Q53" s="26">
        <f t="shared" si="85"/>
        <v>11.600649415941099</v>
      </c>
      <c r="R53" s="26">
        <f>(LN(O48/(O38*0.25)))/$B$1</f>
        <v>-0.18881782298214242</v>
      </c>
      <c r="S53" s="26">
        <f>(R53-R54)/(1-0.25)</f>
        <v>0.44929346126816155</v>
      </c>
      <c r="T53" s="26">
        <f>S53+R55</f>
        <v>-4.2080378637795568E-2</v>
      </c>
      <c r="V53" s="26">
        <f>(LN(O51/(O39*0.25)))/$B$1</f>
        <v>-0.75596184533405242</v>
      </c>
      <c r="W53" s="26">
        <f>(V53-V54)/(1-0.25)</f>
        <v>1.7925513351839378E-2</v>
      </c>
      <c r="X53" s="26">
        <f>W53+V55</f>
        <v>-1.1443355404834736</v>
      </c>
      <c r="Z53" s="26">
        <f>(LN(O54/(O40*0.25)))/$B$1</f>
        <v>-0.50701487356330999</v>
      </c>
      <c r="AA53" s="26">
        <f>(Z53-Z54)/(1-0.25)</f>
        <v>1.3125016397962155</v>
      </c>
      <c r="AB53" s="26">
        <f>AA53+Z55</f>
        <v>-0.26912010905867856</v>
      </c>
    </row>
    <row r="54" spans="1:28" x14ac:dyDescent="0.2">
      <c r="A54" s="5" t="s">
        <v>130</v>
      </c>
      <c r="B54" s="10">
        <v>20</v>
      </c>
      <c r="C54" s="31">
        <f>1-0.29-0.025</f>
        <v>0.68499999999999994</v>
      </c>
      <c r="D54" s="12">
        <f t="shared" si="82"/>
        <v>4039.4160583941607</v>
      </c>
      <c r="E54" s="12">
        <f t="shared" si="82"/>
        <v>9756.2043795620448</v>
      </c>
      <c r="F54" s="12">
        <f t="shared" si="82"/>
        <v>410.21897810218979</v>
      </c>
      <c r="G54" s="12">
        <f t="shared" si="82"/>
        <v>68.613138686131393</v>
      </c>
      <c r="H54" s="5">
        <v>2767</v>
      </c>
      <c r="I54" s="5">
        <v>6683</v>
      </c>
      <c r="J54" s="5">
        <v>281</v>
      </c>
      <c r="K54" s="5">
        <v>47</v>
      </c>
      <c r="L54" s="26">
        <f t="shared" si="83"/>
        <v>1.261337133097683</v>
      </c>
      <c r="M54" s="26">
        <f t="shared" si="83"/>
        <v>1.7207573366404938</v>
      </c>
      <c r="N54" s="26">
        <f t="shared" si="83"/>
        <v>1.1757382445501123</v>
      </c>
      <c r="O54" s="26">
        <f t="shared" si="83"/>
        <v>8.8186691889185163</v>
      </c>
      <c r="P54" s="26">
        <f t="shared" si="84"/>
        <v>12.976501903206806</v>
      </c>
      <c r="Q54" s="26">
        <f t="shared" si="85"/>
        <v>4.1578327142882889</v>
      </c>
      <c r="R54" s="26">
        <f>(LN(O49/O38))/$B$1</f>
        <v>-0.5257879189332636</v>
      </c>
      <c r="V54" s="26">
        <f>(LN(O52/O39))/$B$1</f>
        <v>-0.76940598034793195</v>
      </c>
      <c r="Z54" s="26">
        <f>(LN(O55/O40))/$B$1</f>
        <v>-1.4913911034104717</v>
      </c>
    </row>
    <row r="55" spans="1:28" x14ac:dyDescent="0.2">
      <c r="A55" s="5" t="s">
        <v>131</v>
      </c>
      <c r="B55" s="10">
        <v>20</v>
      </c>
      <c r="C55" s="31">
        <f>1-0.26-0.025</f>
        <v>0.71499999999999997</v>
      </c>
      <c r="D55" s="12">
        <f t="shared" si="82"/>
        <v>12446.153846153848</v>
      </c>
      <c r="E55" s="12">
        <f t="shared" si="82"/>
        <v>35233.566433566433</v>
      </c>
      <c r="F55" s="12">
        <f t="shared" si="82"/>
        <v>872.72727272727275</v>
      </c>
      <c r="G55" s="12">
        <f t="shared" si="82"/>
        <v>124.47552447552448</v>
      </c>
      <c r="H55" s="5">
        <v>8899</v>
      </c>
      <c r="I55" s="5">
        <v>25192</v>
      </c>
      <c r="J55" s="5">
        <v>624</v>
      </c>
      <c r="K55" s="5">
        <v>89</v>
      </c>
      <c r="L55" s="26">
        <f t="shared" si="83"/>
        <v>1.6393161292549923</v>
      </c>
      <c r="M55" s="26">
        <f t="shared" si="83"/>
        <v>6.2276647322137633</v>
      </c>
      <c r="N55" s="26">
        <f t="shared" si="83"/>
        <v>3.8844515542555773</v>
      </c>
      <c r="O55" s="26">
        <f t="shared" si="83"/>
        <v>11.655079290147166</v>
      </c>
      <c r="P55" s="26">
        <f t="shared" si="84"/>
        <v>23.406511705871498</v>
      </c>
      <c r="Q55" s="26">
        <f t="shared" si="85"/>
        <v>11.751432415724333</v>
      </c>
      <c r="R55" s="26">
        <f>LN(O50/O38)/$B$1</f>
        <v>-0.49137383990595712</v>
      </c>
      <c r="V55" s="26">
        <f>LN(O53/O39)/$B$1</f>
        <v>-1.1622610538353131</v>
      </c>
      <c r="Z55" s="26">
        <f>LN(O56/O40)/$B$1</f>
        <v>-1.581621748854894</v>
      </c>
    </row>
    <row r="56" spans="1:28" x14ac:dyDescent="0.2">
      <c r="A56" s="5" t="s">
        <v>132</v>
      </c>
      <c r="B56" s="10">
        <v>20</v>
      </c>
      <c r="C56" s="31">
        <f>1-0.27-0.025</f>
        <v>0.70499999999999996</v>
      </c>
      <c r="D56" s="12">
        <f t="shared" si="82"/>
        <v>14283.687943262412</v>
      </c>
      <c r="E56" s="12">
        <f t="shared" si="82"/>
        <v>31426.950354609929</v>
      </c>
      <c r="F56" s="12">
        <f t="shared" si="82"/>
        <v>1253.9007092198583</v>
      </c>
      <c r="G56" s="12">
        <f t="shared" si="82"/>
        <v>119.14893617021278</v>
      </c>
      <c r="H56" s="5">
        <v>10070</v>
      </c>
      <c r="I56" s="5">
        <v>22156</v>
      </c>
      <c r="J56" s="5">
        <v>884</v>
      </c>
      <c r="K56" s="5">
        <v>84</v>
      </c>
      <c r="L56" s="26">
        <f t="shared" si="83"/>
        <v>1.9241422940686985</v>
      </c>
      <c r="M56" s="26">
        <f t="shared" si="83"/>
        <v>5.5903380655155628</v>
      </c>
      <c r="N56" s="26">
        <f t="shared" si="83"/>
        <v>3.6039148477402252</v>
      </c>
      <c r="O56" s="26">
        <f t="shared" si="83"/>
        <v>10.530044997894073</v>
      </c>
      <c r="P56" s="26">
        <f t="shared" si="84"/>
        <v>21.648440205218559</v>
      </c>
      <c r="Q56" s="26">
        <f t="shared" si="85"/>
        <v>11.118395207324486</v>
      </c>
    </row>
    <row r="57" spans="1:28" x14ac:dyDescent="0.2">
      <c r="A57" s="5" t="s">
        <v>133</v>
      </c>
      <c r="B57" s="10">
        <v>30</v>
      </c>
      <c r="C57" s="31">
        <f t="shared" ref="C57:C62" si="86">1-0.275-0.025</f>
        <v>0.7</v>
      </c>
      <c r="D57" s="12">
        <f t="shared" si="82"/>
        <v>48664.285714285717</v>
      </c>
      <c r="E57" s="12">
        <f t="shared" si="82"/>
        <v>18487.142857142859</v>
      </c>
      <c r="F57" s="12">
        <f t="shared" si="82"/>
        <v>891.42857142857144</v>
      </c>
      <c r="G57" s="12">
        <f t="shared" si="82"/>
        <v>100</v>
      </c>
      <c r="H57" s="5">
        <v>34065</v>
      </c>
      <c r="I57" s="5">
        <v>12941</v>
      </c>
      <c r="J57" s="5">
        <v>624</v>
      </c>
      <c r="K57" s="5">
        <v>70</v>
      </c>
      <c r="L57" s="26">
        <f t="shared" si="83"/>
        <v>6.0723569114645279</v>
      </c>
      <c r="M57" s="26">
        <f t="shared" si="83"/>
        <v>2.4761828571779012</v>
      </c>
      <c r="N57" s="26">
        <f t="shared" si="83"/>
        <v>1.3272902961845054</v>
      </c>
      <c r="O57" s="26">
        <f t="shared" si="83"/>
        <v>6.0755963978186678</v>
      </c>
      <c r="P57" s="26">
        <f t="shared" si="84"/>
        <v>15.951426462645603</v>
      </c>
      <c r="Q57" s="26">
        <f t="shared" si="85"/>
        <v>9.8758300648269355</v>
      </c>
      <c r="R57" s="4"/>
      <c r="S57" s="4"/>
      <c r="T57" s="4"/>
      <c r="V57" s="4"/>
      <c r="W57" s="4"/>
      <c r="X57" s="4"/>
      <c r="Z57" s="4"/>
      <c r="AA57" s="4"/>
      <c r="AB57" s="4"/>
    </row>
    <row r="58" spans="1:28" x14ac:dyDescent="0.2">
      <c r="A58" s="5" t="s">
        <v>134</v>
      </c>
      <c r="B58" s="10">
        <v>30</v>
      </c>
      <c r="C58" s="31">
        <f t="shared" si="86"/>
        <v>0.7</v>
      </c>
      <c r="D58" s="12">
        <f t="shared" si="82"/>
        <v>164000</v>
      </c>
      <c r="E58" s="12">
        <f t="shared" si="82"/>
        <v>55492.857142857145</v>
      </c>
      <c r="F58" s="12">
        <f t="shared" si="82"/>
        <v>2442.8571428571431</v>
      </c>
      <c r="G58" s="12">
        <f t="shared" si="82"/>
        <v>262.85714285714289</v>
      </c>
      <c r="H58" s="7">
        <v>114800</v>
      </c>
      <c r="I58" s="5">
        <v>38845</v>
      </c>
      <c r="J58" s="5">
        <v>1710</v>
      </c>
      <c r="K58" s="5">
        <v>184</v>
      </c>
      <c r="L58" s="26">
        <f t="shared" si="83"/>
        <v>20.794697143898503</v>
      </c>
      <c r="M58" s="26">
        <f t="shared" si="83"/>
        <v>7.2411703075061205</v>
      </c>
      <c r="N58" s="26">
        <f t="shared" si="83"/>
        <v>4.0385249521945932</v>
      </c>
      <c r="O58" s="26">
        <f t="shared" si="83"/>
        <v>20.20582438130905</v>
      </c>
      <c r="P58" s="26">
        <f t="shared" si="84"/>
        <v>52.280216784908269</v>
      </c>
      <c r="Q58" s="26">
        <f t="shared" si="85"/>
        <v>32.074392403599219</v>
      </c>
      <c r="R58" s="6" t="s">
        <v>548</v>
      </c>
      <c r="S58" s="6" t="s">
        <v>549</v>
      </c>
      <c r="T58" s="6" t="s">
        <v>550</v>
      </c>
      <c r="V58" s="6" t="s">
        <v>548</v>
      </c>
      <c r="W58" s="6" t="s">
        <v>549</v>
      </c>
      <c r="X58" s="6" t="s">
        <v>550</v>
      </c>
      <c r="Z58" s="6" t="s">
        <v>548</v>
      </c>
      <c r="AA58" s="6" t="s">
        <v>549</v>
      </c>
      <c r="AB58" s="6" t="s">
        <v>550</v>
      </c>
    </row>
    <row r="59" spans="1:28" x14ac:dyDescent="0.2">
      <c r="A59" s="5" t="s">
        <v>135</v>
      </c>
      <c r="B59" s="10">
        <v>30</v>
      </c>
      <c r="C59" s="31">
        <f>1-0.26-0.025</f>
        <v>0.71499999999999997</v>
      </c>
      <c r="D59" s="12">
        <f t="shared" si="82"/>
        <v>167132.86713286713</v>
      </c>
      <c r="E59" s="12">
        <f t="shared" si="82"/>
        <v>47082.517482517484</v>
      </c>
      <c r="F59" s="12">
        <f t="shared" si="82"/>
        <v>2401.3986013986014</v>
      </c>
      <c r="G59" s="12">
        <f t="shared" si="82"/>
        <v>267.13286713286715</v>
      </c>
      <c r="H59" s="7">
        <v>119500</v>
      </c>
      <c r="I59" s="5">
        <v>33664</v>
      </c>
      <c r="J59" s="5">
        <v>1717</v>
      </c>
      <c r="K59" s="5">
        <v>191</v>
      </c>
      <c r="L59" s="26">
        <f t="shared" si="83"/>
        <v>20.500328173892918</v>
      </c>
      <c r="M59" s="26">
        <f t="shared" si="83"/>
        <v>6.2512934655742116</v>
      </c>
      <c r="N59" s="26">
        <f t="shared" si="83"/>
        <v>4.3100519205461092</v>
      </c>
      <c r="O59" s="26">
        <f t="shared" si="83"/>
        <v>19.681520989821287</v>
      </c>
      <c r="P59" s="26">
        <f t="shared" si="84"/>
        <v>50.743194549834527</v>
      </c>
      <c r="Q59" s="26">
        <f t="shared" si="85"/>
        <v>31.061673560013237</v>
      </c>
      <c r="R59" s="26">
        <f>(LN(Q48/(Q38*0.25)))/$B$1</f>
        <v>0.86352316001022655</v>
      </c>
      <c r="S59" s="26">
        <f>(R59-R60)/(1-0.25)</f>
        <v>0.30737978085995882</v>
      </c>
      <c r="T59" s="26">
        <f>S59+R61</f>
        <v>0.89651438016503482</v>
      </c>
      <c r="V59" s="26">
        <f>(LN(Q51/(Q39*0.25)))/$B$1</f>
        <v>0.53413750733001253</v>
      </c>
      <c r="W59" s="26">
        <f>(V59-V60)/(1-0.25)</f>
        <v>0.24658306663864696</v>
      </c>
      <c r="X59" s="26">
        <f>W59+V61</f>
        <v>0.24981822680848448</v>
      </c>
      <c r="Z59" s="26">
        <f>(LN(Q54/(Q40*0.25)))/$B$1</f>
        <v>0.35197702704033856</v>
      </c>
      <c r="AA59" s="26">
        <f>(Z59-Z60)/(1-0.25)</f>
        <v>0.41163043153923401</v>
      </c>
      <c r="AB59" s="26">
        <f>AA59+Z61</f>
        <v>0.40566314304831619</v>
      </c>
    </row>
    <row r="60" spans="1:28" x14ac:dyDescent="0.2">
      <c r="A60" s="5" t="s">
        <v>136</v>
      </c>
      <c r="B60" s="10">
        <v>40</v>
      </c>
      <c r="C60" s="31">
        <f t="shared" si="86"/>
        <v>0.7</v>
      </c>
      <c r="D60" s="12">
        <f t="shared" si="82"/>
        <v>11057.142857142859</v>
      </c>
      <c r="E60" s="12">
        <f t="shared" si="82"/>
        <v>4861.4285714285716</v>
      </c>
      <c r="F60" s="12">
        <f t="shared" si="82"/>
        <v>514.28571428571433</v>
      </c>
      <c r="G60" s="12">
        <f t="shared" si="82"/>
        <v>51.428571428571431</v>
      </c>
      <c r="H60" s="5">
        <v>7740</v>
      </c>
      <c r="I60" s="5">
        <v>3403</v>
      </c>
      <c r="J60" s="5">
        <v>360</v>
      </c>
      <c r="K60" s="5">
        <v>36</v>
      </c>
      <c r="L60" s="26">
        <f t="shared" si="83"/>
        <v>1.4386116039670367</v>
      </c>
      <c r="M60" s="26">
        <f t="shared" si="83"/>
        <v>0.78175266331888837</v>
      </c>
      <c r="N60" s="26">
        <f t="shared" si="83"/>
        <v>1.0496304471354241</v>
      </c>
      <c r="O60" s="26">
        <f t="shared" si="83"/>
        <v>2.2189526822334846</v>
      </c>
      <c r="P60" s="26">
        <f t="shared" si="84"/>
        <v>5.4889473966548339</v>
      </c>
      <c r="Q60" s="26">
        <f t="shared" si="85"/>
        <v>3.2699947144213493</v>
      </c>
      <c r="R60" s="26">
        <f>(LN(Q49/Q38))/$B$1</f>
        <v>0.63298832436525743</v>
      </c>
      <c r="S60" s="10"/>
      <c r="T60" s="10"/>
      <c r="V60" s="26">
        <f>(LN(Q52/Q39))/$B$1</f>
        <v>0.3492002073510273</v>
      </c>
      <c r="W60" s="10"/>
      <c r="X60" s="10"/>
      <c r="Z60" s="26">
        <f>(LN(Q55/Q40))/$B$1</f>
        <v>4.3254203385913063E-2</v>
      </c>
      <c r="AA60" s="10"/>
      <c r="AB60" s="10"/>
    </row>
    <row r="61" spans="1:28" x14ac:dyDescent="0.2">
      <c r="A61" s="5" t="s">
        <v>137</v>
      </c>
      <c r="B61" s="10">
        <v>40</v>
      </c>
      <c r="C61" s="31">
        <f t="shared" si="86"/>
        <v>0.7</v>
      </c>
      <c r="D61" s="12">
        <f t="shared" si="82"/>
        <v>36498.571428571428</v>
      </c>
      <c r="E61" s="12">
        <f t="shared" si="82"/>
        <v>17395.714285714286</v>
      </c>
      <c r="F61" s="12">
        <f t="shared" si="82"/>
        <v>1698.5714285714287</v>
      </c>
      <c r="G61" s="12">
        <f t="shared" si="82"/>
        <v>161.42857142857144</v>
      </c>
      <c r="H61" s="5">
        <v>25549</v>
      </c>
      <c r="I61" s="5">
        <v>12177</v>
      </c>
      <c r="J61" s="5">
        <v>1189</v>
      </c>
      <c r="K61" s="5">
        <v>113</v>
      </c>
      <c r="L61" s="26">
        <f t="shared" si="83"/>
        <v>4.6610378394070162</v>
      </c>
      <c r="M61" s="26">
        <f t="shared" si="83"/>
        <v>2.7507345993104173</v>
      </c>
      <c r="N61" s="26">
        <f t="shared" si="83"/>
        <v>2.876670281178991</v>
      </c>
      <c r="O61" s="26">
        <f t="shared" si="83"/>
        <v>6.7606032330455994</v>
      </c>
      <c r="P61" s="26">
        <f t="shared" si="84"/>
        <v>17.049045952942024</v>
      </c>
      <c r="Q61" s="26">
        <f t="shared" si="85"/>
        <v>10.288442719896423</v>
      </c>
      <c r="R61" s="26">
        <f>LN(Q50/Q38)/$B$1</f>
        <v>0.58913459930507606</v>
      </c>
      <c r="S61" s="10"/>
      <c r="T61" s="10"/>
      <c r="V61" s="26">
        <f>LN(Q53/Q39)/$B$1</f>
        <v>3.2351601698375285E-3</v>
      </c>
      <c r="W61" s="10"/>
      <c r="X61" s="10"/>
      <c r="Z61" s="26">
        <f>LN(Q56/Q40)/$B$1</f>
        <v>-5.9672884909178249E-3</v>
      </c>
      <c r="AA61" s="10"/>
      <c r="AB61" s="10"/>
    </row>
    <row r="62" spans="1:28" x14ac:dyDescent="0.2">
      <c r="A62" s="5" t="s">
        <v>138</v>
      </c>
      <c r="B62" s="10">
        <v>40</v>
      </c>
      <c r="C62" s="31">
        <f t="shared" si="86"/>
        <v>0.7</v>
      </c>
      <c r="D62" s="12">
        <f t="shared" si="82"/>
        <v>34100</v>
      </c>
      <c r="E62" s="12">
        <f t="shared" si="82"/>
        <v>15034.285714285716</v>
      </c>
      <c r="F62" s="12">
        <f t="shared" si="82"/>
        <v>1555.7142857142858</v>
      </c>
      <c r="G62" s="12">
        <f t="shared" si="82"/>
        <v>201.42857142857144</v>
      </c>
      <c r="H62" s="5">
        <v>23870</v>
      </c>
      <c r="I62" s="5">
        <v>10524</v>
      </c>
      <c r="J62" s="5">
        <v>1089</v>
      </c>
      <c r="K62" s="5">
        <v>141</v>
      </c>
      <c r="L62" s="26">
        <f t="shared" si="83"/>
        <v>4.2927432747087328</v>
      </c>
      <c r="M62" s="26">
        <f t="shared" si="83"/>
        <v>2.4356828442410525</v>
      </c>
      <c r="N62" s="26">
        <f t="shared" si="83"/>
        <v>2.5309771288084462</v>
      </c>
      <c r="O62" s="26">
        <f t="shared" si="83"/>
        <v>16.41030876706748</v>
      </c>
      <c r="P62" s="26">
        <f t="shared" si="84"/>
        <v>25.669712014825713</v>
      </c>
      <c r="Q62" s="26">
        <f t="shared" si="85"/>
        <v>9.2594032477582324</v>
      </c>
    </row>
    <row r="63" spans="1:28" x14ac:dyDescent="0.2">
      <c r="A63" s="5" t="s">
        <v>139</v>
      </c>
      <c r="B63" s="10">
        <v>50</v>
      </c>
      <c r="C63" s="31">
        <f>1-0.24-0.025</f>
        <v>0.73499999999999999</v>
      </c>
      <c r="D63" s="12">
        <f t="shared" si="82"/>
        <v>8038.0952380952385</v>
      </c>
      <c r="E63" s="12">
        <f t="shared" si="82"/>
        <v>3044.8979591836737</v>
      </c>
      <c r="F63" s="12">
        <f t="shared" si="82"/>
        <v>359.18367346938777</v>
      </c>
      <c r="G63" s="12">
        <f t="shared" si="82"/>
        <v>31.292517006802722</v>
      </c>
      <c r="H63" s="5">
        <v>5908</v>
      </c>
      <c r="I63" s="5">
        <v>2238</v>
      </c>
      <c r="J63" s="5">
        <v>264</v>
      </c>
      <c r="K63" s="5">
        <v>23</v>
      </c>
      <c r="L63" s="26">
        <f t="shared" si="83"/>
        <v>1.0772236764918612</v>
      </c>
      <c r="M63" s="26">
        <f t="shared" si="83"/>
        <v>0.5228396954029606</v>
      </c>
      <c r="N63" s="26">
        <f t="shared" si="83"/>
        <v>0.52438793620026214</v>
      </c>
      <c r="O63" s="26">
        <f t="shared" si="83"/>
        <v>0.94185055503525261</v>
      </c>
      <c r="P63" s="26">
        <f t="shared" si="84"/>
        <v>3.0663018631303367</v>
      </c>
      <c r="Q63" s="26">
        <f t="shared" si="85"/>
        <v>2.1244513080950842</v>
      </c>
    </row>
    <row r="64" spans="1:28" x14ac:dyDescent="0.2">
      <c r="A64" s="5" t="s">
        <v>140</v>
      </c>
      <c r="B64" s="10">
        <v>50</v>
      </c>
      <c r="C64" s="31">
        <f>1-0.24-0.025</f>
        <v>0.73499999999999999</v>
      </c>
      <c r="D64" s="12">
        <f t="shared" si="82"/>
        <v>27934.693877551021</v>
      </c>
      <c r="E64" s="12">
        <f t="shared" si="82"/>
        <v>10561.904761904761</v>
      </c>
      <c r="F64" s="12">
        <f t="shared" si="82"/>
        <v>930.61224489795916</v>
      </c>
      <c r="G64" s="12">
        <f t="shared" si="82"/>
        <v>70.748299319727892</v>
      </c>
      <c r="H64" s="5">
        <v>20532</v>
      </c>
      <c r="I64" s="5">
        <v>7763</v>
      </c>
      <c r="J64" s="5">
        <v>684</v>
      </c>
      <c r="K64" s="5">
        <v>52</v>
      </c>
      <c r="L64" s="26">
        <f t="shared" si="83"/>
        <v>3.8246205593976099</v>
      </c>
      <c r="M64" s="26">
        <f t="shared" si="83"/>
        <v>1.7556187890779762</v>
      </c>
      <c r="N64" s="26">
        <f t="shared" si="83"/>
        <v>1.4593136558681283</v>
      </c>
      <c r="O64" s="26">
        <f t="shared" si="83"/>
        <v>3.9395408032424144</v>
      </c>
      <c r="P64" s="26">
        <f t="shared" si="84"/>
        <v>10.979093807586128</v>
      </c>
      <c r="Q64" s="26">
        <f t="shared" si="85"/>
        <v>7.0395530043437144</v>
      </c>
      <c r="R64" s="6" t="s">
        <v>555</v>
      </c>
      <c r="S64" s="6" t="s">
        <v>555</v>
      </c>
      <c r="T64" s="6" t="s">
        <v>555</v>
      </c>
      <c r="V64" s="6" t="s">
        <v>556</v>
      </c>
      <c r="W64" s="6" t="s">
        <v>556</v>
      </c>
      <c r="X64" s="6" t="s">
        <v>556</v>
      </c>
      <c r="Z64" s="6" t="s">
        <v>558</v>
      </c>
      <c r="AA64" s="6" t="s">
        <v>557</v>
      </c>
      <c r="AB64" s="6" t="s">
        <v>557</v>
      </c>
    </row>
    <row r="65" spans="1:28" x14ac:dyDescent="0.2">
      <c r="A65" s="5" t="s">
        <v>141</v>
      </c>
      <c r="B65" s="10">
        <v>50</v>
      </c>
      <c r="C65" s="31">
        <f>1-0.24-0.025</f>
        <v>0.73499999999999999</v>
      </c>
      <c r="D65" s="12">
        <f t="shared" si="82"/>
        <v>27365.986394557825</v>
      </c>
      <c r="E65" s="12">
        <f t="shared" si="82"/>
        <v>10138.775510204081</v>
      </c>
      <c r="F65" s="12">
        <f t="shared" si="82"/>
        <v>824.48979591836735</v>
      </c>
      <c r="G65" s="12">
        <f t="shared" si="82"/>
        <v>73.469387755102048</v>
      </c>
      <c r="H65" s="5">
        <v>20114</v>
      </c>
      <c r="I65" s="5">
        <v>7452</v>
      </c>
      <c r="J65" s="5">
        <v>606</v>
      </c>
      <c r="K65" s="5">
        <v>54</v>
      </c>
      <c r="L65" s="26">
        <f>W31*D65*1000/1000000</f>
        <v>3.603467745990149</v>
      </c>
      <c r="M65" s="26">
        <f t="shared" ref="M65:O65" si="87">X31*E65*1000/1000000</f>
        <v>1.6693066964052148</v>
      </c>
      <c r="N65" s="26">
        <f t="shared" si="87"/>
        <v>1.1861254402929566</v>
      </c>
      <c r="O65" s="26">
        <f t="shared" si="87"/>
        <v>8.5260716478170444</v>
      </c>
      <c r="P65" s="26">
        <f t="shared" si="84"/>
        <v>14.984971530505366</v>
      </c>
      <c r="Q65" s="26">
        <f t="shared" si="85"/>
        <v>6.4588998826883204</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0.29569714085352228</v>
      </c>
      <c r="S66" s="26">
        <f>(R66-R67)/(1-0.25)</f>
        <v>0.18411042390852961</v>
      </c>
      <c r="T66" s="26">
        <f>S66+R68</f>
        <v>0.32905175598658298</v>
      </c>
      <c r="V66" s="26">
        <f>(LN(L60/(L42*0.25)))/$B$1</f>
        <v>0.32534673570588168</v>
      </c>
      <c r="W66" s="26">
        <f>(V66-V67)/(1-0.25)</f>
        <v>0.24975965633311206</v>
      </c>
      <c r="X66" s="26">
        <f>W66+V68</f>
        <v>0.3146202950228546</v>
      </c>
      <c r="Z66" s="26">
        <f>(LN(L63/(L43*0.25)))/$B$1</f>
        <v>0.13714266633053576</v>
      </c>
      <c r="AA66" s="26">
        <f>(Z66-Z67)/(1-0.25)</f>
        <v>0.14130033812771051</v>
      </c>
      <c r="AB66" s="26">
        <f>AA66+Z68</f>
        <v>0.1195232018819145</v>
      </c>
    </row>
    <row r="67" spans="1:28" x14ac:dyDescent="0.2">
      <c r="M67" s="12"/>
      <c r="N67" s="12"/>
      <c r="R67" s="26">
        <f>(LN(L58/L41))/$B$1</f>
        <v>0.15761432292212507</v>
      </c>
      <c r="V67" s="26">
        <f>(LN(L61/L42))/$B$1</f>
        <v>0.13802699345604763</v>
      </c>
      <c r="Z67" s="26">
        <f>(LN(L64/L43))/$B$1</f>
        <v>3.1167412734752892E-2</v>
      </c>
    </row>
    <row r="68" spans="1:28" x14ac:dyDescent="0.2">
      <c r="M68" s="12"/>
      <c r="N68" s="12"/>
      <c r="R68" s="26">
        <f>LN(L59/L41)/$B$1</f>
        <v>0.14494133207805335</v>
      </c>
      <c r="V68" s="26">
        <f>LN(L62/L42)/$B$1</f>
        <v>6.4860638689742553E-2</v>
      </c>
      <c r="Z68" s="26">
        <f>LN(L65/L43)/$B$1</f>
        <v>-2.1777136245796008E-2</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0.31558833071554804</v>
      </c>
      <c r="S71" s="26">
        <f>(R71-R72)/(1-0.25)</f>
        <v>0.37123523205515857</v>
      </c>
      <c r="T71" s="26">
        <f>S71+R73</f>
        <v>0.277735413227436</v>
      </c>
      <c r="V71" s="26">
        <f>(LN(M60/(M42*0.25)))/$B$1</f>
        <v>0.27594215869157068</v>
      </c>
      <c r="W71" s="26">
        <f>(V71-V72)/(1-0.25)</f>
        <v>0.15195197903324828</v>
      </c>
      <c r="X71" s="26">
        <f>W71+V73</f>
        <v>0.20580494726302265</v>
      </c>
      <c r="Z71" s="26">
        <f>(LN(M63/(M43*0.25)))/$B$1</f>
        <v>0.11118900214658137</v>
      </c>
      <c r="AA71" s="26">
        <f>(Z71-Z72)/(1-0.25)</f>
        <v>0.20739864690976084</v>
      </c>
      <c r="AB71" s="26">
        <f>AA71+Z73</f>
        <v>0.11822711474782673</v>
      </c>
    </row>
    <row r="72" spans="1:28" x14ac:dyDescent="0.2">
      <c r="M72" s="12"/>
      <c r="N72" s="12"/>
      <c r="R72" s="26">
        <f>(LN(M58/M41))/$B$1</f>
        <v>3.7161906674179124E-2</v>
      </c>
      <c r="V72" s="26">
        <f>(LN(M61/M42))/$B$1</f>
        <v>0.16197817441663448</v>
      </c>
      <c r="Z72" s="26">
        <f>(LN(M64/M43))/$B$1</f>
        <v>-4.4359983035739257E-2</v>
      </c>
    </row>
    <row r="73" spans="1:28" x14ac:dyDescent="0.2">
      <c r="M73" s="12"/>
      <c r="N73" s="12"/>
      <c r="R73" s="26">
        <f>LN(M59/M41)/$B$1</f>
        <v>-9.3499818827722542E-2</v>
      </c>
      <c r="V73" s="26">
        <f>LN(M62/M42)/$B$1</f>
        <v>5.3852968229774374E-2</v>
      </c>
      <c r="Z73" s="26">
        <f>LN(M65/M43)/$B$1</f>
        <v>-8.9171532161934117E-2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7.0144618645500492E-2</v>
      </c>
      <c r="S76" s="26">
        <f>(R76-R77)/(1-0.25)</f>
        <v>0.32421255032722968</v>
      </c>
      <c r="T76" s="26">
        <f>S76+R78</f>
        <v>0.20903814388292846</v>
      </c>
      <c r="V76" s="26">
        <f>(LN(N60/(N42*0.25)))/$B$1</f>
        <v>0.26461517118861611</v>
      </c>
      <c r="W76" s="26">
        <f>(V76-V77)/(1-0.25)</f>
        <v>0.44811737518192984</v>
      </c>
      <c r="X76" s="26">
        <f>W76+V78</f>
        <v>0.26284182358631408</v>
      </c>
      <c r="Z76" s="26">
        <f>(LN(N63/(N43*0.25)))/$B$1</f>
        <v>0.22096680423258752</v>
      </c>
      <c r="AA76" s="26">
        <f>(Z76-Z77)/(1-0.25)</f>
        <v>0.42999063980609553</v>
      </c>
      <c r="AB76" s="26">
        <f>AA76+Z78</f>
        <v>0.14422076289149527</v>
      </c>
    </row>
    <row r="77" spans="1:28" x14ac:dyDescent="0.2">
      <c r="M77" s="12"/>
      <c r="N77" s="12"/>
      <c r="R77" s="26">
        <f>(LN(N58/N41))/$B$1</f>
        <v>-0.17301479409992176</v>
      </c>
      <c r="V77" s="26">
        <f>(LN(N61/N42))/$B$1</f>
        <v>-7.1472860197831264E-2</v>
      </c>
      <c r="Z77" s="26">
        <f>(LN(N64/N43))/$B$1</f>
        <v>-0.10152617562198411</v>
      </c>
    </row>
    <row r="78" spans="1:28" x14ac:dyDescent="0.2">
      <c r="M78" s="12"/>
      <c r="N78" s="12"/>
      <c r="R78" s="26">
        <f>LN(N59/N41)/$B$1</f>
        <v>-0.11517440644430121</v>
      </c>
      <c r="V78" s="26">
        <f>LN(N62/N42)/$B$1</f>
        <v>-0.18527555159561576</v>
      </c>
      <c r="Z78" s="26">
        <f>LN(N65/N43)/$B$1</f>
        <v>-0.28576987691460026</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-0.80574414985539022</v>
      </c>
      <c r="S81" s="26">
        <f>(R81-R82)/(1-0.25)</f>
        <v>0.21878947490792644</v>
      </c>
      <c r="T81" s="26">
        <f>S81+R83</f>
        <v>-0.77441631343856709</v>
      </c>
      <c r="V81" s="26">
        <f>(LN(O60/(O42*0.25)))/$B$1</f>
        <v>-0.853993724923794</v>
      </c>
      <c r="W81" s="26">
        <f>(V81-V82)/(1-0.25)</f>
        <v>0.32262821830772187</v>
      </c>
      <c r="X81" s="26">
        <f>W81+V83</f>
        <v>1.4927862080616416E-2</v>
      </c>
      <c r="Z81" s="26">
        <f>(LN(O63/(O43*0.25)))/$B$1</f>
        <v>-0.67110657901330761</v>
      </c>
      <c r="AA81" s="26">
        <f>(Z81-Z82)/(1-0.25)</f>
        <v>-5.2952262457149978E-2</v>
      </c>
      <c r="AB81" s="26">
        <f>AA81+Z83</f>
        <v>1.9349577197122492E-3</v>
      </c>
    </row>
    <row r="82" spans="13:28" x14ac:dyDescent="0.2">
      <c r="M82" s="12"/>
      <c r="N82" s="12"/>
      <c r="R82" s="26">
        <f>(LN(O58/O41))/$B$1</f>
        <v>-0.96983625603633505</v>
      </c>
      <c r="V82" s="26">
        <f>(LN(O61/O42))/$B$1</f>
        <v>-1.0959648886545854</v>
      </c>
      <c r="Z82" s="26">
        <f>(LN(O64/O43))/$B$1</f>
        <v>-0.63139238217044513</v>
      </c>
    </row>
    <row r="83" spans="13:28" x14ac:dyDescent="0.2">
      <c r="M83" s="12"/>
      <c r="N83" s="12"/>
      <c r="R83" s="26">
        <f>LN(O59/O41)/$B$1</f>
        <v>-0.99320578834649353</v>
      </c>
      <c r="V83" s="26">
        <f>LN(O62/O42)/$B$1</f>
        <v>-0.30770035622710545</v>
      </c>
      <c r="Z83" s="26">
        <f>LN(O65/O43)/$B$1</f>
        <v>5.4887220176862227E-2</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0.26660364279639903</v>
      </c>
      <c r="S87" s="26">
        <f>(R87-R88)/(1-0.25)</f>
        <v>0.24690578754340101</v>
      </c>
      <c r="T87" s="26">
        <f>S87+R89</f>
        <v>0.29981162786594884</v>
      </c>
      <c r="V87" s="26">
        <f>(LN(Q60/(Q42*0.25)))/$B$1</f>
        <v>0.29359950090804676</v>
      </c>
      <c r="W87" s="26">
        <f>(V87-V88)/(1-0.25)</f>
        <v>0.28451736939153865</v>
      </c>
      <c r="X87" s="26">
        <f>W87+V89</f>
        <v>0.27105631283474718</v>
      </c>
      <c r="Z87" s="26">
        <f>(LN(Q63/(Q43*0.25)))/$B$1</f>
        <v>0.15050616931297159</v>
      </c>
      <c r="AA87" s="26">
        <f>(Z87-Z88)/(1-0.25)</f>
        <v>0.22312681214416466</v>
      </c>
      <c r="AB87" s="26">
        <f>AA87+Z89</f>
        <v>0.12976727860850343</v>
      </c>
    </row>
    <row r="88" spans="13:28" x14ac:dyDescent="0.2">
      <c r="M88" s="12"/>
      <c r="N88" s="12"/>
      <c r="R88" s="26">
        <f>(LN(Q58/Q41))/$B$1</f>
        <v>8.1424302138848256E-2</v>
      </c>
      <c r="S88" s="10"/>
      <c r="T88" s="10"/>
      <c r="V88" s="26">
        <f>(LN(Q61/Q42))/$B$1</f>
        <v>8.0211473864392771E-2</v>
      </c>
      <c r="W88" s="10"/>
      <c r="X88" s="10"/>
      <c r="Z88" s="26">
        <f>(LN(Q64/Q43))/$B$1</f>
        <v>-1.6838939795151928E-2</v>
      </c>
      <c r="AA88" s="10"/>
      <c r="AB88" s="10"/>
    </row>
    <row r="89" spans="13:28" x14ac:dyDescent="0.2">
      <c r="M89" s="12"/>
      <c r="N89" s="12"/>
      <c r="R89" s="26">
        <f>LN(Q59/Q41)/$B$1</f>
        <v>5.2905840322547824E-2</v>
      </c>
      <c r="S89" s="10"/>
      <c r="T89" s="10"/>
      <c r="V89" s="26">
        <f>LN(Q62/Q42)/$B$1</f>
        <v>-1.3461056556791494E-2</v>
      </c>
      <c r="W89" s="10"/>
      <c r="X89" s="10"/>
      <c r="Z89" s="26">
        <f>LN(Q65/Q43)/$B$1</f>
        <v>-9.3359533535661232E-2</v>
      </c>
      <c r="AA89" s="10"/>
      <c r="AB8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89"/>
  <sheetViews>
    <sheetView workbookViewId="0">
      <selection activeCell="M4" sqref="M4"/>
    </sheetView>
  </sheetViews>
  <sheetFormatPr baseColWidth="10" defaultRowHeight="16" x14ac:dyDescent="0.2"/>
  <cols>
    <col min="1" max="2" width="19" style="5"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560</v>
      </c>
      <c r="B1" s="4">
        <v>1.125</v>
      </c>
      <c r="AI1" s="4" t="s">
        <v>41</v>
      </c>
    </row>
    <row r="2" spans="1:52" s="4" customFormat="1" x14ac:dyDescent="0.2">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4"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4"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142</v>
      </c>
      <c r="B4" s="10">
        <v>5</v>
      </c>
      <c r="C4" s="5">
        <v>10554</v>
      </c>
      <c r="D4" s="5">
        <v>19791</v>
      </c>
      <c r="E4" s="5">
        <v>930</v>
      </c>
      <c r="F4" s="5">
        <v>197</v>
      </c>
      <c r="G4" s="5">
        <v>6601</v>
      </c>
      <c r="H4" s="5">
        <v>18656</v>
      </c>
      <c r="I4" s="7">
        <v>173300</v>
      </c>
      <c r="J4" s="7">
        <v>291400</v>
      </c>
      <c r="K4" s="5">
        <v>18708</v>
      </c>
      <c r="L4" s="5">
        <v>41300</v>
      </c>
      <c r="M4" s="7">
        <v>584800</v>
      </c>
      <c r="N4" s="7">
        <v>2955000</v>
      </c>
      <c r="O4" s="8">
        <f>(224333+K4)/235871</f>
        <v>1.0303979717727063</v>
      </c>
      <c r="P4" s="8">
        <f>(224333+L4)/235871</f>
        <v>1.1261791402927872</v>
      </c>
      <c r="Q4" s="8">
        <f t="shared" ref="Q4:R9" si="0">(224333+M4)/235871</f>
        <v>3.4304047551415815</v>
      </c>
      <c r="R4" s="8">
        <f t="shared" si="0"/>
        <v>13.479117822877759</v>
      </c>
      <c r="S4" s="8">
        <f>4/3*3.14*((O4/2)^3)</f>
        <v>0.57252358644334755</v>
      </c>
      <c r="T4" s="8">
        <f t="shared" ref="T4:V9" si="1">4/3*3.14*((P4/2)^3)</f>
        <v>0.74748216396212253</v>
      </c>
      <c r="U4" s="8">
        <f t="shared" si="1"/>
        <v>21.125864734502681</v>
      </c>
      <c r="V4" s="8">
        <f>4/3*3.14*((R4/2)^3)</f>
        <v>1281.630418093587</v>
      </c>
      <c r="W4" s="8">
        <f>(S4*265)/1000</f>
        <v>0.15171875040748711</v>
      </c>
      <c r="X4" s="8">
        <f>(10^(-0.665+LOG(T4, 10)*0.959))</f>
        <v>0.16359996258174786</v>
      </c>
      <c r="Y4" s="8">
        <f>(10^(-0.665+LOG(U4, 10)*0.959))</f>
        <v>4.0317825464076904</v>
      </c>
      <c r="Z4" s="8">
        <f>(10^(-0.665+LOG(V4, 10)*0.959))</f>
        <v>206.70192980996234</v>
      </c>
      <c r="AA4" s="8">
        <f>W4*C4</f>
        <v>1601.2396918006191</v>
      </c>
      <c r="AB4" s="8">
        <f>X4*D4</f>
        <v>3237.806859455372</v>
      </c>
      <c r="AC4" s="8">
        <f t="shared" ref="AC4:AD9" si="2">Y4*E4</f>
        <v>3749.5577681591521</v>
      </c>
      <c r="AD4" s="8">
        <f>Z4*F4</f>
        <v>40720.280172562583</v>
      </c>
      <c r="AE4" s="8">
        <f>AA4/(AA4+AB4+AC4+AD4)</f>
        <v>3.2473654764206474E-2</v>
      </c>
      <c r="AF4" s="8">
        <f>AB4/(AA4+AB4+AC4+AD4)</f>
        <v>6.5663762074807119E-2</v>
      </c>
      <c r="AG4" s="8">
        <f>AC4/(AA4+AB4+AC4+AD4)</f>
        <v>7.6042234716731091E-2</v>
      </c>
      <c r="AH4" s="8">
        <f>AD4/(AA4+AB4+AC4+AD4)</f>
        <v>0.82582034844425534</v>
      </c>
      <c r="AI4" s="8">
        <f>LN((AVERAGE(G14:G16))/G4)/1.125</f>
        <v>0.1881380458771641</v>
      </c>
      <c r="AJ4" s="8">
        <f>LN((AVERAGE(H14:H16))/H4)/1.125</f>
        <v>0.42062727733803085</v>
      </c>
      <c r="AK4" s="8">
        <f>LN((AVERAGE(I14:I16))/I4)/1.125</f>
        <v>0.18348840112583648</v>
      </c>
      <c r="AL4" s="8">
        <f>LN((AVERAGE(J14:J16))/J4)/1.125</f>
        <v>8.3996501139890403E-3</v>
      </c>
      <c r="AM4" s="15">
        <f>(AI4*AE4)+(AJ4*AF4)+(AG4*AK4)+(AH4*AL4)</f>
        <v>5.4618969461278657E-2</v>
      </c>
      <c r="AN4" s="10">
        <v>5</v>
      </c>
      <c r="AO4" s="50">
        <f>H4/L4</f>
        <v>0.45171912832929784</v>
      </c>
      <c r="AP4" s="50">
        <f>I4/M4</f>
        <v>0.29634062927496579</v>
      </c>
      <c r="AQ4" s="50">
        <f>LN((AVERAGE(AO14:AO16))/AO4)/1.125</f>
        <v>0.21459883319275158</v>
      </c>
      <c r="AR4" s="50">
        <f>LN((AVERAGE(AP14:AP16))/AP4)/1.125</f>
        <v>0.14840746331083454</v>
      </c>
      <c r="AS4" s="8">
        <f>AB4/(AB4+AC4)</f>
        <v>0.46338026309080055</v>
      </c>
      <c r="AT4" s="8">
        <f>AC4/(AC4+AB4)</f>
        <v>0.5366197369091994</v>
      </c>
      <c r="AU4" s="50">
        <f>(AQ4*AS4)+(AR4*AT4)</f>
        <v>0.17907923770105777</v>
      </c>
      <c r="AV4" s="46">
        <f>H4</f>
        <v>18656</v>
      </c>
      <c r="AW4" s="46">
        <f t="shared" ref="AW4:AW11" si="3">I4</f>
        <v>173300</v>
      </c>
      <c r="AX4" s="48">
        <f>LN((AVERAGE(AV14:AV16))/AV4)/1.125</f>
        <v>0.42062727733803085</v>
      </c>
      <c r="AY4" s="48">
        <f>LN((AVERAGE(AW14:AW16))/AW4)/1.125</f>
        <v>0.18348840112583648</v>
      </c>
      <c r="AZ4" s="48">
        <f t="shared" ref="AZ4:AZ9" si="4">(AX4*AS4)+(AY4*AT4)</f>
        <v>0.29337387597409992</v>
      </c>
    </row>
    <row r="5" spans="1:52" x14ac:dyDescent="0.2">
      <c r="A5" s="5" t="s">
        <v>143</v>
      </c>
      <c r="B5" s="10">
        <v>12</v>
      </c>
      <c r="C5" s="5">
        <v>9839</v>
      </c>
      <c r="D5" s="5">
        <v>19886</v>
      </c>
      <c r="E5" s="5">
        <v>833</v>
      </c>
      <c r="F5" s="5">
        <v>166</v>
      </c>
      <c r="G5" s="5">
        <v>6751</v>
      </c>
      <c r="H5" s="5">
        <v>18999</v>
      </c>
      <c r="I5" s="7">
        <v>173100</v>
      </c>
      <c r="J5" s="7">
        <v>289600</v>
      </c>
      <c r="K5" s="5">
        <v>8374</v>
      </c>
      <c r="L5" s="5">
        <v>39293</v>
      </c>
      <c r="M5" s="7">
        <v>555300</v>
      </c>
      <c r="N5" s="7">
        <v>2975000</v>
      </c>
      <c r="O5" s="8">
        <f t="shared" ref="O5:P9" si="5">(224333+K5)/235871</f>
        <v>0.98658588804897596</v>
      </c>
      <c r="P5" s="8">
        <f t="shared" si="5"/>
        <v>1.1176702519597577</v>
      </c>
      <c r="Q5" s="8">
        <f t="shared" si="0"/>
        <v>3.3053363915021348</v>
      </c>
      <c r="R5" s="8">
        <f t="shared" si="0"/>
        <v>13.563909933819758</v>
      </c>
      <c r="S5" s="8">
        <f t="shared" ref="S5:S9" si="6">4/3*3.14*((O5/2)^3)</f>
        <v>0.5025544176804313</v>
      </c>
      <c r="T5" s="8">
        <f t="shared" si="1"/>
        <v>0.73066696640050055</v>
      </c>
      <c r="U5" s="8">
        <f t="shared" si="1"/>
        <v>18.898415505679466</v>
      </c>
      <c r="V5" s="8">
        <f t="shared" si="1"/>
        <v>1305.9696662949873</v>
      </c>
      <c r="W5" s="8">
        <f t="shared" ref="W5:W9" si="7">(S5*265)/1000</f>
        <v>0.13317692068531428</v>
      </c>
      <c r="X5" s="8">
        <f t="shared" ref="X5:Z9" si="8">(10^(-0.665+LOG(T5, 10)*0.959))</f>
        <v>0.16006890530159684</v>
      </c>
      <c r="Y5" s="8">
        <f t="shared" si="8"/>
        <v>3.6231970339560693</v>
      </c>
      <c r="Z5" s="8">
        <f t="shared" si="8"/>
        <v>210.46497545602676</v>
      </c>
      <c r="AA5" s="8">
        <f t="shared" ref="AA5:AB9" si="9">W5*C5</f>
        <v>1310.3277226228072</v>
      </c>
      <c r="AB5" s="8">
        <f t="shared" si="9"/>
        <v>3183.1302508275548</v>
      </c>
      <c r="AC5" s="8">
        <f t="shared" si="2"/>
        <v>3018.1231292854059</v>
      </c>
      <c r="AD5" s="8">
        <f t="shared" si="2"/>
        <v>34937.18592570044</v>
      </c>
      <c r="AE5" s="8">
        <f t="shared" ref="AE5:AE9" si="10">AA5/(AA5+AB5+AC5+AD5)</f>
        <v>3.086845188565843E-2</v>
      </c>
      <c r="AF5" s="8">
        <f t="shared" ref="AF5:AF9" si="11">AB5/(AA5+AB5+AC5+AD5)</f>
        <v>7.4987578524841308E-2</v>
      </c>
      <c r="AG5" s="8">
        <f t="shared" ref="AG5:AG9" si="12">AC5/(AA5+AB5+AC5+AD5)</f>
        <v>7.1100372061774622E-2</v>
      </c>
      <c r="AH5" s="8">
        <f t="shared" ref="AH5:AH9" si="13">AD5/(AA5+AB5+AC5+AD5)</f>
        <v>0.8230435975277256</v>
      </c>
      <c r="AI5" s="8">
        <f>LN((AVERAGE(G17:G19))/G5)/1.125</f>
        <v>0.2399427053634352</v>
      </c>
      <c r="AJ5" s="8">
        <f>LN((AVERAGE(H17:H19))/H5)/1.125</f>
        <v>0.44069865948587128</v>
      </c>
      <c r="AK5" s="8">
        <f>LN((AVERAGE(I17:I19))/I5)/1.125</f>
        <v>0.18465390542381482</v>
      </c>
      <c r="AL5" s="8">
        <f>LN((AVERAGE(J17:J19))/J5)/1.125</f>
        <v>7.4375915490195732E-3</v>
      </c>
      <c r="AM5" s="15">
        <f>(AI5*AE5)+(AJ5*AF5)+(AG5*AK5)+(AH5*AL5)</f>
        <v>5.970400867355484E-2</v>
      </c>
      <c r="AN5" s="10">
        <v>12</v>
      </c>
      <c r="AO5" s="50">
        <f t="shared" ref="AO5:AO11" si="14">H5/L5</f>
        <v>0.4835212378795205</v>
      </c>
      <c r="AP5" s="50">
        <f t="shared" ref="AP5:AP11" si="15">I5/M5</f>
        <v>0.3117233927606699</v>
      </c>
      <c r="AQ5" s="50">
        <f>LN((AVERAGE(AO17:AO19))/AO5)/1.125</f>
        <v>0.17074598480315634</v>
      </c>
      <c r="AR5" s="50">
        <f>LN((AVERAGE(AP17:AP19))/AP5)/1.125</f>
        <v>2.5284054475747237E-2</v>
      </c>
      <c r="AS5" s="8">
        <f t="shared" ref="AS5:AS9" si="16">AB5/(AB5+AC5)</f>
        <v>0.51330433635168948</v>
      </c>
      <c r="AT5" s="8">
        <f t="shared" ref="AT5:AT9" si="17">AC5/(AC5+AB5)</f>
        <v>0.48669566364831041</v>
      </c>
      <c r="AU5" s="50">
        <f t="shared" ref="AU5:AU8" si="18">(AQ5*AS5)+(AR5*AT5)</f>
        <v>9.9950294086893654E-2</v>
      </c>
      <c r="AV5" s="46">
        <f t="shared" ref="AV5:AV11" si="19">H5</f>
        <v>18999</v>
      </c>
      <c r="AW5" s="46">
        <f t="shared" si="3"/>
        <v>173100</v>
      </c>
      <c r="AX5" s="48">
        <f>LN((AVERAGE(AV17:AV19))/AV5)/1.125</f>
        <v>0.44069865948587128</v>
      </c>
      <c r="AY5" s="48">
        <f>LN((AVERAGE(AW17:AW19))/AW5)/1.125</f>
        <v>0.18465390542381482</v>
      </c>
      <c r="AZ5" s="48">
        <f t="shared" si="4"/>
        <v>0.31608278798397027</v>
      </c>
    </row>
    <row r="6" spans="1:52" x14ac:dyDescent="0.2">
      <c r="A6" s="5" t="s">
        <v>144</v>
      </c>
      <c r="B6" s="10">
        <v>20</v>
      </c>
      <c r="C6" s="5">
        <v>12573</v>
      </c>
      <c r="D6" s="5">
        <v>23202</v>
      </c>
      <c r="E6" s="5">
        <v>938</v>
      </c>
      <c r="F6" s="5">
        <v>168</v>
      </c>
      <c r="G6" s="5">
        <v>7480</v>
      </c>
      <c r="H6" s="5">
        <v>19664</v>
      </c>
      <c r="I6" s="7">
        <v>169400</v>
      </c>
      <c r="J6" s="7">
        <v>291700</v>
      </c>
      <c r="K6" s="5">
        <v>12343</v>
      </c>
      <c r="L6" s="5">
        <v>37747</v>
      </c>
      <c r="M6" s="7">
        <v>617900</v>
      </c>
      <c r="N6" s="7">
        <v>3046000</v>
      </c>
      <c r="O6" s="8">
        <f t="shared" si="5"/>
        <v>1.0034128824654154</v>
      </c>
      <c r="P6" s="8">
        <f t="shared" si="5"/>
        <v>1.1111158217839412</v>
      </c>
      <c r="Q6" s="8">
        <f t="shared" si="0"/>
        <v>3.570735698750588</v>
      </c>
      <c r="R6" s="8">
        <f t="shared" si="0"/>
        <v>13.86492192766385</v>
      </c>
      <c r="S6" s="8">
        <f t="shared" si="6"/>
        <v>0.52870986660157693</v>
      </c>
      <c r="T6" s="8">
        <f t="shared" si="1"/>
        <v>0.71788750280145663</v>
      </c>
      <c r="U6" s="8">
        <f t="shared" si="1"/>
        <v>23.826020662875379</v>
      </c>
      <c r="V6" s="8">
        <f t="shared" si="1"/>
        <v>1394.8602013780019</v>
      </c>
      <c r="W6" s="8">
        <f t="shared" si="7"/>
        <v>0.14010811464941789</v>
      </c>
      <c r="X6" s="8">
        <f t="shared" si="8"/>
        <v>0.15738309475623374</v>
      </c>
      <c r="Y6" s="8">
        <f t="shared" si="8"/>
        <v>4.5247272176525604</v>
      </c>
      <c r="Z6" s="8">
        <f t="shared" si="8"/>
        <v>224.18416065169666</v>
      </c>
      <c r="AA6" s="8">
        <f t="shared" si="9"/>
        <v>1761.579325487131</v>
      </c>
      <c r="AB6" s="8">
        <f t="shared" si="9"/>
        <v>3651.6025645341351</v>
      </c>
      <c r="AC6" s="8">
        <f t="shared" si="2"/>
        <v>4244.1941301581019</v>
      </c>
      <c r="AD6" s="8">
        <f t="shared" si="2"/>
        <v>37662.938989485039</v>
      </c>
      <c r="AE6" s="8">
        <f t="shared" si="10"/>
        <v>3.7226703269565238E-2</v>
      </c>
      <c r="AF6" s="8">
        <f t="shared" si="11"/>
        <v>7.7167756888100902E-2</v>
      </c>
      <c r="AG6" s="8">
        <f t="shared" si="12"/>
        <v>8.9690741266014271E-2</v>
      </c>
      <c r="AH6" s="8">
        <f t="shared" si="13"/>
        <v>0.79591479857631953</v>
      </c>
      <c r="AI6" s="8">
        <f>LN((AVERAGE(G20:G22))/G6)/1.125</f>
        <v>0.3254576127316629</v>
      </c>
      <c r="AJ6" s="8">
        <f>LN((AVERAGE(H20:H22))/H6)/1.125</f>
        <v>0.36911016145777498</v>
      </c>
      <c r="AK6" s="8">
        <f>LN((AVERAGE(I20:I22))/I6)/1.125</f>
        <v>0.15615540240628734</v>
      </c>
      <c r="AL6" s="8">
        <f>LN((AVERAGE(J20:J22))/J6)/1.125</f>
        <v>-1.4231984335436334E-3</v>
      </c>
      <c r="AM6" s="15">
        <f t="shared" ref="AM6:AM9" si="20">(AI6*AE6)+(AJ6*AF6)+(AG6*AK6)+(AH6*AL6)</f>
        <v>5.3472066280228596E-2</v>
      </c>
      <c r="AN6" s="10">
        <v>20</v>
      </c>
      <c r="AO6" s="50">
        <f t="shared" si="14"/>
        <v>0.52094206162079104</v>
      </c>
      <c r="AP6" s="50">
        <f t="shared" si="15"/>
        <v>0.27415439391487295</v>
      </c>
      <c r="AQ6" s="50">
        <f>LN((AVERAGE(AO20:AO22))/AO6)/1.125</f>
        <v>0.31979151776928083</v>
      </c>
      <c r="AR6" s="50">
        <f>LN((AVERAGE(AP20:AP22))/AP6)/1.125</f>
        <v>0.29376564988809906</v>
      </c>
      <c r="AS6" s="8">
        <f t="shared" si="16"/>
        <v>0.46247423860201958</v>
      </c>
      <c r="AT6" s="8">
        <f t="shared" si="17"/>
        <v>0.53752576139798047</v>
      </c>
      <c r="AU6" s="50">
        <f t="shared" si="18"/>
        <v>0.30580194332040539</v>
      </c>
      <c r="AV6" s="46">
        <f t="shared" si="19"/>
        <v>19664</v>
      </c>
      <c r="AW6" s="46">
        <f t="shared" si="3"/>
        <v>169400</v>
      </c>
      <c r="AX6" s="48">
        <f>LN((AVERAGE(AV20:AV22))/AV6)/1.125</f>
        <v>0.36911016145777498</v>
      </c>
      <c r="AY6" s="48">
        <f>LN((AVERAGE(AW20:AW22))/AW6)/1.125</f>
        <v>0.15615540240628734</v>
      </c>
      <c r="AZ6" s="48">
        <f t="shared" si="4"/>
        <v>0.2546414924553006</v>
      </c>
    </row>
    <row r="7" spans="1:52" x14ac:dyDescent="0.2">
      <c r="A7" s="5" t="s">
        <v>145</v>
      </c>
      <c r="B7" s="10">
        <v>30</v>
      </c>
      <c r="C7" s="5">
        <v>84396</v>
      </c>
      <c r="D7" s="5">
        <v>32502</v>
      </c>
      <c r="E7" s="5">
        <v>1895</v>
      </c>
      <c r="F7" s="5">
        <v>237</v>
      </c>
      <c r="G7" s="5">
        <v>8183</v>
      </c>
      <c r="H7" s="5">
        <v>16150</v>
      </c>
      <c r="I7" s="7">
        <v>168400</v>
      </c>
      <c r="J7" s="7">
        <v>292800</v>
      </c>
      <c r="K7" s="5">
        <v>3395</v>
      </c>
      <c r="L7" s="5">
        <v>18653</v>
      </c>
      <c r="M7" s="7">
        <v>440600</v>
      </c>
      <c r="N7" s="7">
        <v>2577000</v>
      </c>
      <c r="O7" s="8">
        <f t="shared" si="5"/>
        <v>0.96547689202996556</v>
      </c>
      <c r="P7" s="8">
        <f t="shared" si="5"/>
        <v>1.0301647934676157</v>
      </c>
      <c r="Q7" s="8">
        <f t="shared" si="0"/>
        <v>2.8190536352497761</v>
      </c>
      <c r="R7" s="8">
        <f t="shared" si="0"/>
        <v>11.876546926073997</v>
      </c>
      <c r="S7" s="8">
        <f t="shared" si="6"/>
        <v>0.47098171727074928</v>
      </c>
      <c r="T7" s="8">
        <f t="shared" si="1"/>
        <v>0.57213498939305307</v>
      </c>
      <c r="U7" s="8">
        <f t="shared" si="1"/>
        <v>11.724340267231209</v>
      </c>
      <c r="V7" s="8">
        <f t="shared" si="1"/>
        <v>876.69587845367766</v>
      </c>
      <c r="W7" s="8">
        <f t="shared" si="7"/>
        <v>0.12481015507674856</v>
      </c>
      <c r="X7" s="8">
        <f t="shared" si="8"/>
        <v>0.12660214659065608</v>
      </c>
      <c r="Y7" s="8">
        <f t="shared" si="8"/>
        <v>2.2922173171152358</v>
      </c>
      <c r="Z7" s="8">
        <f t="shared" si="8"/>
        <v>143.61247183838975</v>
      </c>
      <c r="AA7" s="8">
        <f t="shared" si="9"/>
        <v>10533.477847857272</v>
      </c>
      <c r="AB7" s="8">
        <f t="shared" si="9"/>
        <v>4114.8229684895041</v>
      </c>
      <c r="AC7" s="8">
        <f t="shared" si="2"/>
        <v>4343.7518159333722</v>
      </c>
      <c r="AD7" s="8">
        <f t="shared" si="2"/>
        <v>34036.15582569837</v>
      </c>
      <c r="AE7" s="8">
        <f t="shared" si="10"/>
        <v>0.19863914233882488</v>
      </c>
      <c r="AF7" s="8">
        <f t="shared" si="11"/>
        <v>7.7596869442614486E-2</v>
      </c>
      <c r="AG7" s="8">
        <f t="shared" si="12"/>
        <v>8.1913983938859999E-2</v>
      </c>
      <c r="AH7" s="8">
        <f t="shared" si="13"/>
        <v>0.64185000427970074</v>
      </c>
      <c r="AI7" s="8">
        <f>LN((AVERAGE(G23:G25))/G7)/1.125</f>
        <v>0.27026229531311652</v>
      </c>
      <c r="AJ7" s="8">
        <f>LN((AVERAGE(H23:H25))/H7)/1.125</f>
        <v>0.26747282732111927</v>
      </c>
      <c r="AK7" s="8">
        <f>LN((AVERAGE(I23:I25))/I7)/1.125</f>
        <v>0.16405544910691722</v>
      </c>
      <c r="AL7" s="8">
        <f>LN((AVERAGE(J23:J25))/J7)/1.125</f>
        <v>-6.6020731746639187E-3</v>
      </c>
      <c r="AM7" s="15">
        <f t="shared" si="20"/>
        <v>8.3640619336417088E-2</v>
      </c>
      <c r="AN7" s="10">
        <v>30</v>
      </c>
      <c r="AO7" s="50">
        <f t="shared" si="14"/>
        <v>0.86581246984399296</v>
      </c>
      <c r="AP7" s="50">
        <f t="shared" si="15"/>
        <v>0.38220608261461642</v>
      </c>
      <c r="AQ7" s="50">
        <f>LN((AVERAGE(AO23:AO25))/AO7)/1.125</f>
        <v>0.13112985159550597</v>
      </c>
      <c r="AR7" s="50">
        <f>LN((AVERAGE(AP23:AP25))/AP7)/1.125</f>
        <v>0.14691262773211544</v>
      </c>
      <c r="AS7" s="8">
        <f t="shared" si="16"/>
        <v>0.48646764654339536</v>
      </c>
      <c r="AT7" s="8">
        <f t="shared" si="17"/>
        <v>0.51353235345660475</v>
      </c>
      <c r="AU7" s="50">
        <f t="shared" si="18"/>
        <v>0.13923481776901778</v>
      </c>
      <c r="AV7" s="46">
        <f t="shared" si="19"/>
        <v>16150</v>
      </c>
      <c r="AW7" s="46">
        <f t="shared" si="3"/>
        <v>168400</v>
      </c>
      <c r="AX7" s="48">
        <f>LN((AVERAGE(AV23:AV25))/AV7)/1.125</f>
        <v>0.26747282732111927</v>
      </c>
      <c r="AY7" s="48">
        <f>LN((AVERAGE(AW23:AW25))/AW7)/1.125</f>
        <v>0.16405544910691722</v>
      </c>
      <c r="AZ7" s="48">
        <f t="shared" si="4"/>
        <v>0.2143646576984683</v>
      </c>
    </row>
    <row r="8" spans="1:52" x14ac:dyDescent="0.2">
      <c r="A8" s="5" t="s">
        <v>146</v>
      </c>
      <c r="B8" s="10">
        <v>40</v>
      </c>
      <c r="C8" s="5">
        <v>32484</v>
      </c>
      <c r="D8" s="5">
        <v>15010</v>
      </c>
      <c r="E8" s="5">
        <v>1449</v>
      </c>
      <c r="F8" s="5">
        <v>229</v>
      </c>
      <c r="G8" s="5">
        <v>12452</v>
      </c>
      <c r="H8" s="5">
        <v>29454</v>
      </c>
      <c r="I8" s="7">
        <v>208500</v>
      </c>
      <c r="J8" s="7">
        <v>289700</v>
      </c>
      <c r="K8" s="5">
        <v>14792</v>
      </c>
      <c r="L8" s="5">
        <v>28266</v>
      </c>
      <c r="M8" s="7">
        <v>374200</v>
      </c>
      <c r="N8" s="7">
        <v>3034000</v>
      </c>
      <c r="O8" s="8">
        <f t="shared" si="5"/>
        <v>1.0137956764502631</v>
      </c>
      <c r="P8" s="8">
        <f t="shared" si="5"/>
        <v>1.0709201215918871</v>
      </c>
      <c r="Q8" s="8">
        <f t="shared" si="0"/>
        <v>2.5375438269223429</v>
      </c>
      <c r="R8" s="8">
        <f t="shared" si="0"/>
        <v>13.814046661098651</v>
      </c>
      <c r="S8" s="8">
        <f t="shared" si="6"/>
        <v>0.54529272290692077</v>
      </c>
      <c r="T8" s="8">
        <f t="shared" si="1"/>
        <v>0.64276117143813494</v>
      </c>
      <c r="U8" s="8">
        <f t="shared" si="1"/>
        <v>8.5510422698792325</v>
      </c>
      <c r="V8" s="8">
        <f t="shared" si="1"/>
        <v>1379.5617787796823</v>
      </c>
      <c r="W8" s="8">
        <f t="shared" si="7"/>
        <v>0.144502571570334</v>
      </c>
      <c r="X8" s="8">
        <f t="shared" si="8"/>
        <v>0.14155316968390538</v>
      </c>
      <c r="Y8" s="8">
        <f t="shared" si="8"/>
        <v>1.6935821672206002</v>
      </c>
      <c r="Z8" s="8">
        <f t="shared" si="8"/>
        <v>221.82565179580934</v>
      </c>
      <c r="AA8" s="8">
        <f t="shared" si="9"/>
        <v>4694.0215348907295</v>
      </c>
      <c r="AB8" s="8">
        <f t="shared" si="9"/>
        <v>2124.7130769554196</v>
      </c>
      <c r="AC8" s="8">
        <f t="shared" si="2"/>
        <v>2454.0005603026498</v>
      </c>
      <c r="AD8" s="8">
        <f t="shared" si="2"/>
        <v>50798.074261240341</v>
      </c>
      <c r="AE8" s="8">
        <f t="shared" si="10"/>
        <v>7.8141473024361363E-2</v>
      </c>
      <c r="AF8" s="8">
        <f t="shared" si="11"/>
        <v>3.5370142287019707E-2</v>
      </c>
      <c r="AG8" s="8">
        <f t="shared" si="12"/>
        <v>4.0851797794131992E-2</v>
      </c>
      <c r="AH8" s="8">
        <f t="shared" si="13"/>
        <v>0.84563658689448695</v>
      </c>
      <c r="AI8" s="8">
        <f>LN((AVERAGE(G26:G28))/G8)/1.125</f>
        <v>0.10793682275882234</v>
      </c>
      <c r="AJ8" s="8">
        <f>LN((AVERAGE(H26:H28))/H8)/1.125</f>
        <v>0.20404140784342265</v>
      </c>
      <c r="AK8" s="8">
        <f>LN((AVERAGE(I26:I28))/I8)/1.125</f>
        <v>-1.8378586822539501E-2</v>
      </c>
      <c r="AL8" s="8">
        <f>LN((AVERAGE(J26:J28))/J8)/1.125</f>
        <v>1.3298305979933289E-2</v>
      </c>
      <c r="AM8" s="15">
        <f t="shared" si="20"/>
        <v>2.6146051719542519E-2</v>
      </c>
      <c r="AN8" s="10">
        <v>40</v>
      </c>
      <c r="AO8" s="50">
        <f t="shared" si="14"/>
        <v>1.0420292931437063</v>
      </c>
      <c r="AP8" s="50">
        <f t="shared" si="15"/>
        <v>0.5571886691608765</v>
      </c>
      <c r="AQ8" s="50">
        <f>LN((AVERAGE(AO26:AO28))/AO8)/1.125</f>
        <v>0.14294559246568461</v>
      </c>
      <c r="AR8" s="50">
        <f>LN((AVERAGE(AP26:AP28))/AP8)/1.125</f>
        <v>9.2926342638862069E-2</v>
      </c>
      <c r="AS8" s="8">
        <f t="shared" si="16"/>
        <v>0.46404148529100608</v>
      </c>
      <c r="AT8" s="8">
        <f t="shared" si="17"/>
        <v>0.53595851470899381</v>
      </c>
      <c r="AU8" s="50">
        <f t="shared" si="18"/>
        <v>0.1161373496216427</v>
      </c>
      <c r="AV8" s="46">
        <f t="shared" si="19"/>
        <v>29454</v>
      </c>
      <c r="AW8" s="46">
        <f t="shared" si="3"/>
        <v>208500</v>
      </c>
      <c r="AX8" s="48">
        <f>LN((AVERAGE(AV26:AV28))/AV8)/1.125</f>
        <v>0.20404140784342265</v>
      </c>
      <c r="AY8" s="48">
        <f>LN((AVERAGE(AW26:AW28))/AW8)/1.125</f>
        <v>-1.8378586822539501E-2</v>
      </c>
      <c r="AZ8" s="48">
        <f t="shared" si="4"/>
        <v>8.4833517860671226E-2</v>
      </c>
    </row>
    <row r="9" spans="1:52" x14ac:dyDescent="0.2">
      <c r="A9" s="5" t="s">
        <v>147</v>
      </c>
      <c r="B9" s="10">
        <v>50</v>
      </c>
      <c r="C9" s="5">
        <v>31875</v>
      </c>
      <c r="D9" s="5">
        <v>11637</v>
      </c>
      <c r="E9" s="5">
        <v>1443</v>
      </c>
      <c r="F9" s="5">
        <v>279</v>
      </c>
      <c r="G9" s="5">
        <v>14455</v>
      </c>
      <c r="H9" s="5">
        <v>35730</v>
      </c>
      <c r="I9" s="7">
        <v>238100</v>
      </c>
      <c r="J9" s="7">
        <v>293600</v>
      </c>
      <c r="K9" s="5">
        <v>19426</v>
      </c>
      <c r="L9" s="5">
        <v>29359</v>
      </c>
      <c r="M9" s="7">
        <v>465400</v>
      </c>
      <c r="N9" s="7">
        <v>2258000</v>
      </c>
      <c r="O9" s="8">
        <f t="shared" si="5"/>
        <v>1.033442008555524</v>
      </c>
      <c r="P9" s="8">
        <f t="shared" si="5"/>
        <v>1.0755540104548673</v>
      </c>
      <c r="Q9" s="8">
        <f t="shared" si="0"/>
        <v>2.9241958528178538</v>
      </c>
      <c r="R9" s="8">
        <f t="shared" si="0"/>
        <v>10.524112756549131</v>
      </c>
      <c r="S9" s="8">
        <f t="shared" si="6"/>
        <v>0.57761269733806486</v>
      </c>
      <c r="T9" s="8">
        <f t="shared" si="1"/>
        <v>0.65114104117044402</v>
      </c>
      <c r="U9" s="8">
        <f t="shared" si="1"/>
        <v>13.085724366744341</v>
      </c>
      <c r="V9" s="8">
        <f t="shared" si="1"/>
        <v>610.00707944158148</v>
      </c>
      <c r="W9" s="8">
        <f t="shared" si="7"/>
        <v>0.15306736479458719</v>
      </c>
      <c r="X9" s="8">
        <f t="shared" si="8"/>
        <v>0.14332250552222653</v>
      </c>
      <c r="Y9" s="8">
        <f t="shared" si="8"/>
        <v>2.5468833820528824</v>
      </c>
      <c r="Z9" s="8">
        <f t="shared" si="8"/>
        <v>101.42292828733024</v>
      </c>
      <c r="AA9" s="8">
        <f t="shared" si="9"/>
        <v>4879.0222528274662</v>
      </c>
      <c r="AB9" s="8">
        <f t="shared" si="9"/>
        <v>1667.84399676215</v>
      </c>
      <c r="AC9" s="8">
        <f t="shared" si="2"/>
        <v>3675.1527203023093</v>
      </c>
      <c r="AD9" s="8">
        <f t="shared" si="2"/>
        <v>28296.996992165135</v>
      </c>
      <c r="AE9" s="8">
        <f t="shared" si="10"/>
        <v>0.12666528806534205</v>
      </c>
      <c r="AF9" s="8">
        <f t="shared" si="11"/>
        <v>4.3299236886140867E-2</v>
      </c>
      <c r="AG9" s="8">
        <f t="shared" si="12"/>
        <v>9.5411386519388172E-2</v>
      </c>
      <c r="AH9" s="8">
        <f t="shared" si="13"/>
        <v>0.73462408852912886</v>
      </c>
      <c r="AI9" s="8">
        <f>LN((AVERAGE(G29:G31))/G9)/1.125</f>
        <v>9.5785059888027629E-2</v>
      </c>
      <c r="AJ9" s="8">
        <f>LN((AVERAGE(H29:H31))/H9)/1.125</f>
        <v>0.12332739644185439</v>
      </c>
      <c r="AK9" s="8">
        <f>LN((AVERAGE(I29:I31))/I9)/1.125</f>
        <v>1.7619415478699108E-2</v>
      </c>
      <c r="AL9" s="8">
        <f>LN((AVERAGE(J29:J31))/J9)/1.125</f>
        <v>-7.0670935884806793E-4</v>
      </c>
      <c r="AM9" s="15">
        <f t="shared" si="20"/>
        <v>1.8634551498045007E-2</v>
      </c>
      <c r="AN9" s="10">
        <v>50</v>
      </c>
      <c r="AO9" s="50">
        <f t="shared" si="14"/>
        <v>1.2170033039272454</v>
      </c>
      <c r="AP9" s="50">
        <f t="shared" si="15"/>
        <v>0.51160292221744741</v>
      </c>
      <c r="AQ9" s="50">
        <f>LN((AVERAGE(AO29:AO31))/AO9)/1.125</f>
        <v>0.12951456490833871</v>
      </c>
      <c r="AR9" s="50">
        <f>LN((AVERAGE(AP29:AP31))/AP9)/1.125</f>
        <v>0.26830929451895724</v>
      </c>
      <c r="AS9" s="8">
        <f t="shared" si="16"/>
        <v>0.31215516031207563</v>
      </c>
      <c r="AT9" s="8">
        <f t="shared" si="17"/>
        <v>0.68784483968792431</v>
      </c>
      <c r="AU9" s="50">
        <f>(AQ9*AS9)+(AR9*AT9)</f>
        <v>0.2249838034468834</v>
      </c>
      <c r="AV9" s="46">
        <f t="shared" si="19"/>
        <v>35730</v>
      </c>
      <c r="AW9" s="46">
        <f t="shared" si="3"/>
        <v>238100</v>
      </c>
      <c r="AX9" s="48">
        <f>LN((AVERAGE(AV29:AV31))/AV9)/1.125</f>
        <v>0.12332739644185439</v>
      </c>
      <c r="AY9" s="48">
        <f>LN((AVERAGE(AW29:AW31))/AW9)/1.125</f>
        <v>1.7619415478699108E-2</v>
      </c>
      <c r="AZ9" s="48">
        <f t="shared" si="4"/>
        <v>5.0616707222518681E-2</v>
      </c>
    </row>
    <row r="10" spans="1:52" x14ac:dyDescent="0.2">
      <c r="A10" s="5" t="s">
        <v>148</v>
      </c>
      <c r="B10" s="10">
        <v>70</v>
      </c>
      <c r="C10" s="5">
        <v>11838</v>
      </c>
      <c r="D10" s="5">
        <v>5183</v>
      </c>
      <c r="E10" s="5">
        <v>584</v>
      </c>
      <c r="F10" s="5">
        <v>91</v>
      </c>
      <c r="G10" s="5">
        <v>24976</v>
      </c>
      <c r="H10" s="5">
        <v>67044</v>
      </c>
      <c r="I10" s="7">
        <v>283600</v>
      </c>
      <c r="J10" s="7">
        <v>291400</v>
      </c>
      <c r="K10" s="5">
        <v>27990</v>
      </c>
      <c r="L10" s="5">
        <v>46570</v>
      </c>
      <c r="M10" s="7">
        <v>351300</v>
      </c>
      <c r="N10" s="7">
        <v>1534000</v>
      </c>
      <c r="O10" s="8">
        <f t="shared" ref="O10:O11" si="21">(224333+K10)/235871</f>
        <v>1.0697499904608876</v>
      </c>
      <c r="P10" s="8">
        <f t="shared" ref="P10:P11" si="22">(224333+L10)/235871</f>
        <v>1.1485218615260036</v>
      </c>
      <c r="Q10" s="8">
        <f t="shared" ref="Q10:Q11" si="23">(224333+M10)/235871</f>
        <v>2.4404568598937555</v>
      </c>
      <c r="R10" s="8">
        <f t="shared" ref="R10:R11" si="24">(224333+N10)/235871</f>
        <v>7.4546383404488044</v>
      </c>
      <c r="S10" s="8">
        <f t="shared" ref="S10:S11" si="25">4/3*3.14*((O10/2)^3)</f>
        <v>0.64065655126376342</v>
      </c>
      <c r="T10" s="8">
        <f t="shared" ref="T10:T11" si="26">4/3*3.14*((P10/2)^3)</f>
        <v>0.79285943060110886</v>
      </c>
      <c r="U10" s="8">
        <f t="shared" ref="U10:U11" si="27">4/3*3.14*((Q10/2)^3)</f>
        <v>7.6066214318211358</v>
      </c>
      <c r="V10" s="8">
        <f t="shared" ref="V10:V11" si="28">4/3*3.14*((R10/2)^3)</f>
        <v>216.79942877691477</v>
      </c>
      <c r="W10" s="8">
        <f t="shared" ref="W10:W11" si="29">(S10*265)/1000</f>
        <v>0.1697739860848973</v>
      </c>
      <c r="X10" s="8">
        <f t="shared" ref="X10:X11" si="30">(10^(-0.665+LOG(T10, 10)*0.959))</f>
        <v>0.17311278855872417</v>
      </c>
      <c r="Y10" s="8">
        <f t="shared" ref="Y10:Y11" si="31">(10^(-0.665+LOG(U10, 10)*0.959))</f>
        <v>1.5137806125965727</v>
      </c>
      <c r="Z10" s="8">
        <f t="shared" ref="Z10:Z11" si="32">(10^(-0.665+LOG(V10, 10)*0.959))</f>
        <v>37.607957735430674</v>
      </c>
      <c r="AA10" s="8">
        <f t="shared" ref="AA10:AA11" si="33">W10*C10</f>
        <v>2009.7844472730142</v>
      </c>
      <c r="AB10" s="8">
        <f t="shared" ref="AB10:AB11" si="34">X10*D10</f>
        <v>897.24358309986735</v>
      </c>
      <c r="AC10" s="8">
        <f t="shared" ref="AC10:AC11" si="35">Y10*E10</f>
        <v>884.04787775639841</v>
      </c>
      <c r="AD10" s="8">
        <f t="shared" ref="AD10:AD11" si="36">Z10*F10</f>
        <v>3422.3241539241913</v>
      </c>
      <c r="AE10" s="8">
        <f t="shared" ref="AE10:AE11" si="37">AA10/(AA10+AB10+AC10+AD10)</f>
        <v>0.27861818698308544</v>
      </c>
      <c r="AF10" s="8">
        <f t="shared" ref="AF10:AF11" si="38">AB10/(AA10+AB10+AC10+AD10)</f>
        <v>0.12438566769918552</v>
      </c>
      <c r="AG10" s="8">
        <f t="shared" ref="AG10:AG11" si="39">AC10/(AA10+AB10+AC10+AD10)</f>
        <v>0.12255633545226277</v>
      </c>
      <c r="AH10" s="8">
        <f t="shared" ref="AH10:AH11" si="40">AD10/(AA10+AB10+AC10+AD10)</f>
        <v>0.47443980986546619</v>
      </c>
      <c r="AI10" s="8"/>
      <c r="AN10" s="10">
        <v>70</v>
      </c>
      <c r="AO10" s="50">
        <f t="shared" si="14"/>
        <v>1.4396392527378141</v>
      </c>
      <c r="AP10" s="50">
        <f t="shared" si="15"/>
        <v>0.80728721890122401</v>
      </c>
      <c r="AQ10" s="51"/>
      <c r="AR10" s="51"/>
      <c r="AU10" s="51"/>
      <c r="AV10" s="46">
        <f t="shared" si="19"/>
        <v>67044</v>
      </c>
      <c r="AW10" s="46">
        <f t="shared" si="3"/>
        <v>283600</v>
      </c>
    </row>
    <row r="11" spans="1:52" x14ac:dyDescent="0.2">
      <c r="A11" s="5" t="s">
        <v>149</v>
      </c>
      <c r="B11" s="10">
        <v>100</v>
      </c>
      <c r="C11" s="5">
        <v>1907</v>
      </c>
      <c r="D11" s="5">
        <v>755</v>
      </c>
      <c r="E11" s="5">
        <v>117</v>
      </c>
      <c r="F11" s="5">
        <v>25</v>
      </c>
      <c r="G11" s="5">
        <v>23784</v>
      </c>
      <c r="H11" s="5">
        <v>71581</v>
      </c>
      <c r="I11" s="7">
        <v>291300</v>
      </c>
      <c r="J11" s="7">
        <v>276800</v>
      </c>
      <c r="K11" s="5">
        <v>42208</v>
      </c>
      <c r="L11" s="5">
        <v>58185</v>
      </c>
      <c r="M11" s="7">
        <v>427700</v>
      </c>
      <c r="N11" s="7">
        <v>2212000</v>
      </c>
      <c r="O11" s="8">
        <f t="shared" si="21"/>
        <v>1.1300287021295539</v>
      </c>
      <c r="P11" s="8">
        <f t="shared" si="22"/>
        <v>1.1977648799555689</v>
      </c>
      <c r="Q11" s="8">
        <f t="shared" si="23"/>
        <v>2.7643627236921877</v>
      </c>
      <c r="R11" s="8">
        <f t="shared" si="24"/>
        <v>10.329090901382536</v>
      </c>
      <c r="S11" s="8">
        <f t="shared" si="25"/>
        <v>0.75517363823449113</v>
      </c>
      <c r="T11" s="8">
        <f t="shared" si="26"/>
        <v>0.89927624677482265</v>
      </c>
      <c r="U11" s="8">
        <f t="shared" si="27"/>
        <v>11.055120528679373</v>
      </c>
      <c r="V11" s="8">
        <f t="shared" si="28"/>
        <v>576.71957977242187</v>
      </c>
      <c r="W11" s="8">
        <f t="shared" si="29"/>
        <v>0.20012101413214015</v>
      </c>
      <c r="X11" s="8">
        <f t="shared" si="30"/>
        <v>0.19533654604464956</v>
      </c>
      <c r="Y11" s="8">
        <f t="shared" si="31"/>
        <v>2.1665932166603343</v>
      </c>
      <c r="Z11" s="8">
        <f t="shared" si="32"/>
        <v>96.109240115019063</v>
      </c>
      <c r="AA11" s="8">
        <f t="shared" si="33"/>
        <v>381.63077394999124</v>
      </c>
      <c r="AB11" s="8">
        <f t="shared" si="34"/>
        <v>147.47909226371041</v>
      </c>
      <c r="AC11" s="8">
        <f t="shared" si="35"/>
        <v>253.49140634925911</v>
      </c>
      <c r="AD11" s="8">
        <f t="shared" si="36"/>
        <v>2402.7310028754764</v>
      </c>
      <c r="AE11" s="8">
        <f t="shared" si="37"/>
        <v>0.11980878004240943</v>
      </c>
      <c r="AF11" s="8">
        <f t="shared" si="38"/>
        <v>4.6299437393359857E-2</v>
      </c>
      <c r="AG11" s="8">
        <f t="shared" si="39"/>
        <v>7.958083629261814E-2</v>
      </c>
      <c r="AH11" s="8">
        <f t="shared" si="40"/>
        <v>0.75431094627161255</v>
      </c>
      <c r="AI11" s="8"/>
      <c r="AN11" s="10">
        <v>100</v>
      </c>
      <c r="AO11" s="50">
        <f t="shared" si="14"/>
        <v>1.2302311592334794</v>
      </c>
      <c r="AP11" s="50">
        <f t="shared" si="15"/>
        <v>0.68108487257423422</v>
      </c>
      <c r="AQ11" s="51"/>
      <c r="AR11" s="51"/>
      <c r="AU11" s="51"/>
      <c r="AV11" s="46">
        <f t="shared" si="19"/>
        <v>71581</v>
      </c>
      <c r="AW11" s="46">
        <f t="shared" si="3"/>
        <v>291300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row>
    <row r="13" spans="1:52" x14ac:dyDescent="0.2">
      <c r="A13" s="5" t="s">
        <v>40</v>
      </c>
      <c r="B13" s="5" t="s">
        <v>115</v>
      </c>
      <c r="C13" s="5" t="s">
        <v>0</v>
      </c>
      <c r="D13" s="5" t="s">
        <v>1</v>
      </c>
      <c r="E13" s="5" t="s">
        <v>2</v>
      </c>
      <c r="F13" s="5" t="s">
        <v>3</v>
      </c>
      <c r="G13" s="5" t="s">
        <v>4</v>
      </c>
      <c r="H13" s="5" t="s">
        <v>5</v>
      </c>
      <c r="I13" s="5" t="s">
        <v>6</v>
      </c>
      <c r="J13" s="5" t="s">
        <v>7</v>
      </c>
      <c r="K13" s="5" t="s">
        <v>8</v>
      </c>
      <c r="L13" s="5" t="s">
        <v>9</v>
      </c>
      <c r="M13" s="5" t="s">
        <v>10</v>
      </c>
      <c r="N13" s="5" t="s">
        <v>11</v>
      </c>
      <c r="O13" s="4" t="s">
        <v>26</v>
      </c>
      <c r="P13" s="4" t="s">
        <v>27</v>
      </c>
      <c r="Q13" s="4" t="s">
        <v>28</v>
      </c>
      <c r="R13" s="4" t="s">
        <v>29</v>
      </c>
      <c r="S13" s="4"/>
      <c r="T13" s="4"/>
      <c r="U13" s="4"/>
      <c r="V13" s="4"/>
      <c r="W13" s="4"/>
      <c r="X13" s="4"/>
      <c r="Y13" s="4"/>
      <c r="Z13" s="4"/>
      <c r="AA13" s="4"/>
      <c r="AB13" s="4"/>
      <c r="AC13" s="4"/>
      <c r="AD13" s="4"/>
      <c r="AE13" s="4"/>
      <c r="AF13" s="4"/>
      <c r="AG13" s="4"/>
      <c r="AH13" s="4"/>
      <c r="AI13" s="4"/>
      <c r="AN13" s="5" t="s">
        <v>115</v>
      </c>
    </row>
    <row r="14" spans="1:52" x14ac:dyDescent="0.2">
      <c r="A14" s="5" t="s">
        <v>150</v>
      </c>
      <c r="B14" s="10">
        <v>5</v>
      </c>
      <c r="C14" s="5">
        <v>3583</v>
      </c>
      <c r="D14" s="5">
        <v>9204</v>
      </c>
      <c r="E14" s="5">
        <v>404</v>
      </c>
      <c r="F14" s="5">
        <v>59</v>
      </c>
      <c r="G14" s="5">
        <v>7849</v>
      </c>
      <c r="H14" s="5">
        <v>29833</v>
      </c>
      <c r="I14" s="7">
        <v>217400</v>
      </c>
      <c r="J14" s="7">
        <v>293000</v>
      </c>
      <c r="K14" s="5">
        <v>10170</v>
      </c>
      <c r="L14" s="5">
        <v>55799</v>
      </c>
      <c r="M14" s="7">
        <v>568800</v>
      </c>
      <c r="N14" s="7">
        <v>3167000</v>
      </c>
      <c r="O14" s="8">
        <f t="shared" ref="O14:R29" si="41">(224333+K14)/235871</f>
        <v>0.99420021961156735</v>
      </c>
      <c r="P14" s="8">
        <f t="shared" si="41"/>
        <v>1.1876491811201886</v>
      </c>
      <c r="Q14" s="8">
        <f t="shared" si="41"/>
        <v>3.3625710663879831</v>
      </c>
      <c r="R14" s="8">
        <f t="shared" si="41"/>
        <v>14.377914198862937</v>
      </c>
      <c r="S14" s="8">
        <f t="shared" ref="S14:V29" si="42">4/3*3.14*((O14/2)^3)</f>
        <v>0.51428038682698884</v>
      </c>
      <c r="T14" s="8">
        <f t="shared" si="42"/>
        <v>0.87668367319975371</v>
      </c>
      <c r="U14" s="8">
        <f t="shared" si="42"/>
        <v>19.897238828400742</v>
      </c>
      <c r="V14" s="8">
        <f t="shared" si="42"/>
        <v>1555.4858347450461</v>
      </c>
      <c r="W14" s="8">
        <f t="shared" ref="W14:W31" si="43">(S14*265)/1000</f>
        <v>0.13628430250915205</v>
      </c>
      <c r="X14" s="8">
        <f t="shared" ref="X14:Z29" si="44">(10^(-0.665+LOG(T14, 10)*0.959))</f>
        <v>0.19062785405634</v>
      </c>
      <c r="Y14" s="8">
        <f t="shared" si="44"/>
        <v>3.8066443885987136</v>
      </c>
      <c r="Z14" s="8">
        <f t="shared" si="44"/>
        <v>248.88547509819156</v>
      </c>
      <c r="AA14" s="8">
        <f t="shared" ref="AA14:AA19" si="45">W14*C14</f>
        <v>488.30665589029178</v>
      </c>
      <c r="AB14" s="8">
        <f t="shared" ref="AB14:AB19" si="46">X14*D14</f>
        <v>1754.5387687345533</v>
      </c>
      <c r="AC14" s="8">
        <f t="shared" ref="AC14:AC19" si="47">Y14*E14</f>
        <v>1537.8843329938802</v>
      </c>
      <c r="AD14" s="8">
        <f t="shared" ref="AD14:AD19" si="48">Z14*F14</f>
        <v>14684.243030793303</v>
      </c>
      <c r="AE14" s="8">
        <f t="shared" ref="AE14:AE19" si="49">AA14/(AA14+AB14+AC14+AD14)</f>
        <v>2.6445024397584595E-2</v>
      </c>
      <c r="AF14" s="8">
        <f t="shared" ref="AF14:AF19" si="50">AB14/(AA14+AB14+AC14+AD14)</f>
        <v>9.5019840475239717E-2</v>
      </c>
      <c r="AG14" s="8">
        <f t="shared" ref="AG14:AG19" si="51">AC14/(AA14+AB14+AC14+AD14)</f>
        <v>8.3286574565601457E-2</v>
      </c>
      <c r="AH14" s="8">
        <f t="shared" ref="AH14:AH19" si="52">AD14/(AA14+AB14+AC14+AD14)</f>
        <v>0.79524856056157411</v>
      </c>
      <c r="AI14" s="8"/>
      <c r="AN14" s="10">
        <v>5</v>
      </c>
      <c r="AO14" s="8">
        <f t="shared" ref="AO14:AO31" si="53">H14/L14</f>
        <v>0.53465115862291435</v>
      </c>
      <c r="AP14" s="8">
        <f t="shared" ref="AP14:AP31" si="54">I14/M14</f>
        <v>0.38220815752461323</v>
      </c>
      <c r="AV14" s="5">
        <f t="shared" ref="AV14:AW29" si="55">H14</f>
        <v>29833</v>
      </c>
      <c r="AW14" s="5">
        <f t="shared" si="55"/>
        <v>217400</v>
      </c>
    </row>
    <row r="15" spans="1:52" x14ac:dyDescent="0.2">
      <c r="A15" s="5" t="s">
        <v>151</v>
      </c>
      <c r="B15" s="10">
        <v>5</v>
      </c>
      <c r="C15" s="5">
        <v>3479</v>
      </c>
      <c r="D15" s="5">
        <v>8978</v>
      </c>
      <c r="E15" s="5">
        <v>365</v>
      </c>
      <c r="F15" s="5">
        <v>65</v>
      </c>
      <c r="G15" s="5">
        <v>9126</v>
      </c>
      <c r="H15" s="5">
        <v>31858</v>
      </c>
      <c r="I15" s="7">
        <v>212900</v>
      </c>
      <c r="J15" s="7">
        <v>296100</v>
      </c>
      <c r="K15" s="5">
        <v>5283</v>
      </c>
      <c r="L15" s="5">
        <v>47273</v>
      </c>
      <c r="M15" s="7">
        <v>604600</v>
      </c>
      <c r="N15" s="7">
        <v>2412000</v>
      </c>
      <c r="O15" s="8">
        <f t="shared" si="41"/>
        <v>0.97348126730289009</v>
      </c>
      <c r="P15" s="8">
        <f t="shared" si="41"/>
        <v>1.1515023042256149</v>
      </c>
      <c r="Q15" s="8">
        <f t="shared" si="41"/>
        <v>3.5143489449741594</v>
      </c>
      <c r="R15" s="8">
        <f t="shared" si="41"/>
        <v>11.177012010802516</v>
      </c>
      <c r="S15" s="8">
        <f t="shared" si="42"/>
        <v>0.48279325509243826</v>
      </c>
      <c r="T15" s="8">
        <f t="shared" si="42"/>
        <v>0.79904793179440969</v>
      </c>
      <c r="U15" s="8">
        <f t="shared" si="42"/>
        <v>22.71501567474396</v>
      </c>
      <c r="V15" s="8">
        <f t="shared" si="42"/>
        <v>730.7276662163938</v>
      </c>
      <c r="W15" s="8">
        <f t="shared" si="43"/>
        <v>0.12794021259949614</v>
      </c>
      <c r="X15" s="8">
        <f t="shared" si="44"/>
        <v>0.17440837899428691</v>
      </c>
      <c r="Y15" s="8">
        <f t="shared" si="44"/>
        <v>4.3221935028068206</v>
      </c>
      <c r="Z15" s="8">
        <f t="shared" si="44"/>
        <v>120.59840749927366</v>
      </c>
      <c r="AA15" s="8">
        <f t="shared" si="45"/>
        <v>445.10399963364711</v>
      </c>
      <c r="AB15" s="8">
        <f t="shared" si="46"/>
        <v>1565.8384266107078</v>
      </c>
      <c r="AC15" s="8">
        <f t="shared" si="47"/>
        <v>1577.6006285244896</v>
      </c>
      <c r="AD15" s="8">
        <f t="shared" si="48"/>
        <v>7838.8964874527883</v>
      </c>
      <c r="AE15" s="8">
        <f t="shared" si="49"/>
        <v>3.895045762343307E-2</v>
      </c>
      <c r="AF15" s="8">
        <f t="shared" si="50"/>
        <v>0.13702443323592414</v>
      </c>
      <c r="AG15" s="8">
        <f t="shared" si="51"/>
        <v>0.13805372784477535</v>
      </c>
      <c r="AH15" s="8">
        <f t="shared" si="52"/>
        <v>0.68597138129586743</v>
      </c>
      <c r="AI15" s="8"/>
      <c r="AN15" s="10">
        <v>5</v>
      </c>
      <c r="AO15" s="8">
        <f t="shared" si="53"/>
        <v>0.67391534279609921</v>
      </c>
      <c r="AP15" s="8">
        <f t="shared" si="54"/>
        <v>0.35213364207740655</v>
      </c>
      <c r="AV15" s="5">
        <f t="shared" si="55"/>
        <v>31858</v>
      </c>
      <c r="AW15" s="5">
        <f t="shared" si="55"/>
        <v>212900</v>
      </c>
    </row>
    <row r="16" spans="1:52" x14ac:dyDescent="0.2">
      <c r="A16" s="5" t="s">
        <v>152</v>
      </c>
      <c r="B16" s="10">
        <v>5</v>
      </c>
      <c r="C16" s="5">
        <v>12235</v>
      </c>
      <c r="D16" s="5">
        <v>25709</v>
      </c>
      <c r="E16" s="5">
        <v>1225</v>
      </c>
      <c r="F16" s="5">
        <v>171</v>
      </c>
      <c r="G16" s="5">
        <v>7496</v>
      </c>
      <c r="H16" s="5">
        <v>28145</v>
      </c>
      <c r="I16" s="7">
        <v>208800</v>
      </c>
      <c r="J16" s="7">
        <v>293400</v>
      </c>
      <c r="K16" s="5">
        <v>7888</v>
      </c>
      <c r="L16" s="5">
        <v>54478</v>
      </c>
      <c r="M16" s="7">
        <v>660300</v>
      </c>
      <c r="N16" s="7">
        <v>2843000</v>
      </c>
      <c r="O16" s="8">
        <f t="shared" si="41"/>
        <v>0.98452543975308537</v>
      </c>
      <c r="P16" s="8">
        <f t="shared" si="41"/>
        <v>1.1820486621924695</v>
      </c>
      <c r="Q16" s="8">
        <f t="shared" si="41"/>
        <v>3.7504949739476241</v>
      </c>
      <c r="R16" s="8">
        <f t="shared" si="41"/>
        <v>13.00428200160257</v>
      </c>
      <c r="S16" s="8">
        <f t="shared" si="42"/>
        <v>0.49941228986099578</v>
      </c>
      <c r="T16" s="8">
        <f t="shared" si="42"/>
        <v>0.86433970808814631</v>
      </c>
      <c r="U16" s="8">
        <f t="shared" si="42"/>
        <v>27.608585789183692</v>
      </c>
      <c r="V16" s="8">
        <f t="shared" si="42"/>
        <v>1150.8998510879567</v>
      </c>
      <c r="W16" s="8">
        <f t="shared" si="43"/>
        <v>0.13234425681316389</v>
      </c>
      <c r="X16" s="8">
        <f t="shared" si="44"/>
        <v>0.18805305886641444</v>
      </c>
      <c r="Y16" s="8">
        <f t="shared" si="44"/>
        <v>5.2114833007006682</v>
      </c>
      <c r="Z16" s="8">
        <f t="shared" si="44"/>
        <v>186.43824021294995</v>
      </c>
      <c r="AA16" s="8">
        <f t="shared" si="45"/>
        <v>1619.2319821090603</v>
      </c>
      <c r="AB16" s="8">
        <f t="shared" si="46"/>
        <v>4834.6560903966483</v>
      </c>
      <c r="AC16" s="8">
        <f t="shared" si="47"/>
        <v>6384.0670433583182</v>
      </c>
      <c r="AD16" s="8">
        <f t="shared" si="48"/>
        <v>31880.939076414441</v>
      </c>
      <c r="AE16" s="8">
        <f t="shared" si="49"/>
        <v>3.6209123936446756E-2</v>
      </c>
      <c r="AF16" s="8">
        <f t="shared" si="50"/>
        <v>0.1081121565665065</v>
      </c>
      <c r="AG16" s="8">
        <f t="shared" si="51"/>
        <v>0.14275994875697626</v>
      </c>
      <c r="AH16" s="8">
        <f t="shared" si="52"/>
        <v>0.71291877074007037</v>
      </c>
      <c r="AI16" s="8"/>
      <c r="AN16" s="10">
        <v>5</v>
      </c>
      <c r="AO16" s="8">
        <f t="shared" si="53"/>
        <v>0.51663056646719774</v>
      </c>
      <c r="AP16" s="8">
        <f t="shared" si="54"/>
        <v>0.31621990004543388</v>
      </c>
      <c r="AV16" s="5">
        <f t="shared" si="55"/>
        <v>28145</v>
      </c>
      <c r="AW16" s="5">
        <f t="shared" si="55"/>
        <v>208800</v>
      </c>
    </row>
    <row r="17" spans="1:49" x14ac:dyDescent="0.2">
      <c r="A17" s="5" t="s">
        <v>153</v>
      </c>
      <c r="B17" s="10">
        <v>12</v>
      </c>
      <c r="C17" s="5">
        <v>12139</v>
      </c>
      <c r="D17" s="5">
        <v>27198</v>
      </c>
      <c r="E17" s="5">
        <v>1019</v>
      </c>
      <c r="F17" s="5">
        <v>138</v>
      </c>
      <c r="G17" s="5">
        <v>8524</v>
      </c>
      <c r="H17" s="5">
        <v>32600</v>
      </c>
      <c r="I17" s="7">
        <v>216900</v>
      </c>
      <c r="J17" s="7">
        <v>290700</v>
      </c>
      <c r="K17" s="5">
        <v>7336</v>
      </c>
      <c r="L17" s="5">
        <v>56774</v>
      </c>
      <c r="M17" s="7">
        <v>686000</v>
      </c>
      <c r="N17" s="7">
        <v>2500000</v>
      </c>
      <c r="O17" s="8">
        <f t="shared" si="41"/>
        <v>0.98218517749108625</v>
      </c>
      <c r="P17" s="8">
        <f t="shared" si="41"/>
        <v>1.191782796528611</v>
      </c>
      <c r="Q17" s="8">
        <f t="shared" si="41"/>
        <v>3.8594528365080913</v>
      </c>
      <c r="R17" s="8">
        <f t="shared" si="41"/>
        <v>11.550097298947305</v>
      </c>
      <c r="S17" s="8">
        <f t="shared" si="42"/>
        <v>0.49585937074930053</v>
      </c>
      <c r="T17" s="8">
        <f t="shared" si="42"/>
        <v>0.88586946828626711</v>
      </c>
      <c r="U17" s="8">
        <f t="shared" si="42"/>
        <v>30.085387668983859</v>
      </c>
      <c r="V17" s="8">
        <f t="shared" si="42"/>
        <v>806.37178990049597</v>
      </c>
      <c r="W17" s="8">
        <f t="shared" si="43"/>
        <v>0.13140273324856463</v>
      </c>
      <c r="X17" s="8">
        <f t="shared" si="44"/>
        <v>0.1925429293036896</v>
      </c>
      <c r="Y17" s="8">
        <f t="shared" si="44"/>
        <v>5.6590434952867144</v>
      </c>
      <c r="Z17" s="8">
        <f t="shared" si="44"/>
        <v>132.5462293898874</v>
      </c>
      <c r="AA17" s="8">
        <f t="shared" si="45"/>
        <v>1595.0977789043261</v>
      </c>
      <c r="AB17" s="8">
        <f t="shared" si="46"/>
        <v>5236.7825912017497</v>
      </c>
      <c r="AC17" s="8">
        <f t="shared" si="47"/>
        <v>5766.5653216971623</v>
      </c>
      <c r="AD17" s="8">
        <f t="shared" si="48"/>
        <v>18291.37965580446</v>
      </c>
      <c r="AE17" s="8">
        <f t="shared" si="49"/>
        <v>5.1638290633063112E-2</v>
      </c>
      <c r="AF17" s="8">
        <f t="shared" si="50"/>
        <v>0.16953098738084382</v>
      </c>
      <c r="AG17" s="8">
        <f t="shared" si="51"/>
        <v>0.18668170689879804</v>
      </c>
      <c r="AH17" s="8">
        <f t="shared" si="52"/>
        <v>0.59214901508729512</v>
      </c>
      <c r="AI17" s="8"/>
      <c r="AN17" s="10">
        <v>12</v>
      </c>
      <c r="AO17" s="8">
        <f t="shared" si="53"/>
        <v>0.57420650297671472</v>
      </c>
      <c r="AP17" s="8">
        <f t="shared" si="54"/>
        <v>0.31618075801749274</v>
      </c>
      <c r="AV17" s="5">
        <f t="shared" si="55"/>
        <v>32600</v>
      </c>
      <c r="AW17" s="5">
        <f t="shared" si="55"/>
        <v>216900</v>
      </c>
    </row>
    <row r="18" spans="1:49" x14ac:dyDescent="0.2">
      <c r="A18" s="5" t="s">
        <v>154</v>
      </c>
      <c r="B18" s="10">
        <v>12</v>
      </c>
      <c r="C18" s="5">
        <v>11580</v>
      </c>
      <c r="D18" s="5">
        <v>26312</v>
      </c>
      <c r="E18" s="5">
        <v>902</v>
      </c>
      <c r="F18" s="5">
        <v>172</v>
      </c>
      <c r="G18" s="5">
        <v>9220</v>
      </c>
      <c r="H18" s="5">
        <v>31281</v>
      </c>
      <c r="I18" s="7">
        <v>211600</v>
      </c>
      <c r="J18" s="7">
        <v>289500</v>
      </c>
      <c r="K18" s="5">
        <v>8828</v>
      </c>
      <c r="L18" s="5">
        <v>53904</v>
      </c>
      <c r="M18" s="7">
        <v>656600</v>
      </c>
      <c r="N18" s="7">
        <v>2494000</v>
      </c>
      <c r="O18" s="8">
        <f t="shared" si="41"/>
        <v>0.98851066896735929</v>
      </c>
      <c r="P18" s="8">
        <f t="shared" si="41"/>
        <v>1.1796151286084342</v>
      </c>
      <c r="Q18" s="8">
        <f t="shared" si="41"/>
        <v>3.7348084334233542</v>
      </c>
      <c r="R18" s="8">
        <f t="shared" si="41"/>
        <v>11.524659665664707</v>
      </c>
      <c r="S18" s="8">
        <f t="shared" si="42"/>
        <v>0.50550153732297076</v>
      </c>
      <c r="T18" s="8">
        <f t="shared" si="42"/>
        <v>0.85901233268848631</v>
      </c>
      <c r="U18" s="8">
        <f t="shared" si="42"/>
        <v>27.263611848390813</v>
      </c>
      <c r="V18" s="8">
        <f t="shared" si="42"/>
        <v>801.05571844155997</v>
      </c>
      <c r="W18" s="8">
        <f t="shared" si="43"/>
        <v>0.13395790739058724</v>
      </c>
      <c r="X18" s="8">
        <f t="shared" si="44"/>
        <v>0.18694137108249248</v>
      </c>
      <c r="Y18" s="8">
        <f t="shared" si="44"/>
        <v>5.1490187238305953</v>
      </c>
      <c r="Z18" s="8">
        <f t="shared" si="44"/>
        <v>131.7081207964552</v>
      </c>
      <c r="AA18" s="8">
        <f t="shared" si="45"/>
        <v>1551.2325675830002</v>
      </c>
      <c r="AB18" s="8">
        <f t="shared" si="46"/>
        <v>4918.8013559225419</v>
      </c>
      <c r="AC18" s="8">
        <f t="shared" si="47"/>
        <v>4644.4148888951968</v>
      </c>
      <c r="AD18" s="8">
        <f t="shared" si="48"/>
        <v>22653.796776990297</v>
      </c>
      <c r="AE18" s="8">
        <f t="shared" si="49"/>
        <v>4.5937612111846007E-2</v>
      </c>
      <c r="AF18" s="8">
        <f t="shared" si="50"/>
        <v>0.14566351523657126</v>
      </c>
      <c r="AG18" s="8">
        <f t="shared" si="51"/>
        <v>0.13753793861160296</v>
      </c>
      <c r="AH18" s="8">
        <f t="shared" si="52"/>
        <v>0.67086093403997971</v>
      </c>
      <c r="AI18" s="8"/>
      <c r="AN18" s="10">
        <v>12</v>
      </c>
      <c r="AO18" s="8">
        <f t="shared" si="53"/>
        <v>0.5803094390026714</v>
      </c>
      <c r="AP18" s="8">
        <f t="shared" si="54"/>
        <v>0.32226621992080412</v>
      </c>
      <c r="AV18" s="5">
        <f t="shared" si="55"/>
        <v>31281</v>
      </c>
      <c r="AW18" s="5">
        <f t="shared" si="55"/>
        <v>211600</v>
      </c>
    </row>
    <row r="19" spans="1:49" x14ac:dyDescent="0.2">
      <c r="A19" s="5" t="s">
        <v>155</v>
      </c>
      <c r="B19" s="10">
        <v>12</v>
      </c>
      <c r="C19" s="5">
        <v>11388</v>
      </c>
      <c r="D19" s="5">
        <v>22139</v>
      </c>
      <c r="E19" s="5">
        <v>1029</v>
      </c>
      <c r="F19" s="5">
        <v>146</v>
      </c>
      <c r="G19" s="5">
        <v>8785</v>
      </c>
      <c r="H19" s="5">
        <v>29696</v>
      </c>
      <c r="I19" s="7">
        <v>210700</v>
      </c>
      <c r="J19" s="7">
        <v>295900</v>
      </c>
      <c r="K19" s="5">
        <v>6394</v>
      </c>
      <c r="L19" s="5">
        <v>49227</v>
      </c>
      <c r="M19" s="7">
        <v>650900</v>
      </c>
      <c r="N19" s="7">
        <v>2661000</v>
      </c>
      <c r="O19" s="8">
        <f t="shared" si="41"/>
        <v>0.97819146906571808</v>
      </c>
      <c r="P19" s="8">
        <f t="shared" si="41"/>
        <v>1.159786493464648</v>
      </c>
      <c r="Q19" s="8">
        <f t="shared" si="41"/>
        <v>3.710642681804885</v>
      </c>
      <c r="R19" s="8">
        <f t="shared" si="41"/>
        <v>12.23267379203039</v>
      </c>
      <c r="S19" s="8">
        <f t="shared" si="42"/>
        <v>0.48983522241788729</v>
      </c>
      <c r="T19" s="8">
        <f t="shared" si="42"/>
        <v>0.81641793748251679</v>
      </c>
      <c r="U19" s="8">
        <f t="shared" si="42"/>
        <v>26.737808283149178</v>
      </c>
      <c r="V19" s="8">
        <f t="shared" si="42"/>
        <v>957.94942579841211</v>
      </c>
      <c r="W19" s="8">
        <f t="shared" si="43"/>
        <v>0.12980633394074012</v>
      </c>
      <c r="X19" s="8">
        <f t="shared" si="44"/>
        <v>0.17804268042930799</v>
      </c>
      <c r="Y19" s="8">
        <f t="shared" si="44"/>
        <v>5.0537487504202687</v>
      </c>
      <c r="Z19" s="8">
        <f t="shared" si="44"/>
        <v>156.35347413555857</v>
      </c>
      <c r="AA19" s="8">
        <f t="shared" si="45"/>
        <v>1478.2345309171485</v>
      </c>
      <c r="AB19" s="8">
        <f t="shared" si="46"/>
        <v>3941.6869020244494</v>
      </c>
      <c r="AC19" s="8">
        <f t="shared" si="47"/>
        <v>5200.3074641824569</v>
      </c>
      <c r="AD19" s="8">
        <f t="shared" si="48"/>
        <v>22827.60722379155</v>
      </c>
      <c r="AE19" s="8">
        <f t="shared" si="49"/>
        <v>4.41952216452286E-2</v>
      </c>
      <c r="AF19" s="8">
        <f t="shared" si="50"/>
        <v>0.11784579689325951</v>
      </c>
      <c r="AG19" s="8">
        <f t="shared" si="51"/>
        <v>0.15547515377027932</v>
      </c>
      <c r="AH19" s="8">
        <f t="shared" si="52"/>
        <v>0.6824838276912325</v>
      </c>
      <c r="AI19" s="8"/>
      <c r="AN19" s="10">
        <v>12</v>
      </c>
      <c r="AO19" s="8">
        <f t="shared" si="53"/>
        <v>0.60324618603611835</v>
      </c>
      <c r="AP19" s="8">
        <f t="shared" si="54"/>
        <v>0.3237056383469043</v>
      </c>
      <c r="AV19" s="5">
        <f t="shared" si="55"/>
        <v>29696</v>
      </c>
      <c r="AW19" s="5">
        <f t="shared" si="55"/>
        <v>210700</v>
      </c>
    </row>
    <row r="20" spans="1:49" x14ac:dyDescent="0.2">
      <c r="A20" s="5" t="s">
        <v>156</v>
      </c>
      <c r="B20" s="10">
        <v>20</v>
      </c>
      <c r="C20" s="5">
        <v>4439</v>
      </c>
      <c r="D20" s="5">
        <v>8794</v>
      </c>
      <c r="E20" s="5">
        <v>299</v>
      </c>
      <c r="F20" s="5">
        <v>43</v>
      </c>
      <c r="G20" s="5">
        <v>10379</v>
      </c>
      <c r="H20" s="5">
        <v>30532</v>
      </c>
      <c r="I20" s="7">
        <v>205100</v>
      </c>
      <c r="J20" s="7">
        <v>291900</v>
      </c>
      <c r="K20" s="5">
        <v>5634</v>
      </c>
      <c r="L20" s="5">
        <v>39568</v>
      </c>
      <c r="M20" s="7">
        <v>567700</v>
      </c>
      <c r="N20" s="7">
        <v>2375000</v>
      </c>
      <c r="O20" s="8">
        <f t="shared" si="41"/>
        <v>0.97496936884992225</v>
      </c>
      <c r="P20" s="8">
        <f t="shared" si="41"/>
        <v>1.1188361434852101</v>
      </c>
      <c r="Q20" s="8">
        <f t="shared" si="41"/>
        <v>3.3579075002861734</v>
      </c>
      <c r="R20" s="8">
        <f t="shared" si="41"/>
        <v>11.020146605559818</v>
      </c>
      <c r="S20" s="8">
        <f t="shared" si="42"/>
        <v>0.48501069126908075</v>
      </c>
      <c r="T20" s="8">
        <f t="shared" si="42"/>
        <v>0.73295592603900861</v>
      </c>
      <c r="U20" s="8">
        <f t="shared" si="42"/>
        <v>19.814566861871096</v>
      </c>
      <c r="V20" s="8">
        <f t="shared" si="42"/>
        <v>700.3909312505848</v>
      </c>
      <c r="W20" s="8">
        <f t="shared" si="43"/>
        <v>0.12852783318630639</v>
      </c>
      <c r="X20" s="8">
        <f t="shared" si="44"/>
        <v>0.16054976278853292</v>
      </c>
      <c r="Y20" s="8">
        <f t="shared" si="44"/>
        <v>3.7914751628790864</v>
      </c>
      <c r="Z20" s="8">
        <f t="shared" si="44"/>
        <v>115.79279927537968</v>
      </c>
      <c r="AA20" s="8">
        <f t="shared" ref="AA20:AA31" si="56">W20*C20</f>
        <v>570.53505151401407</v>
      </c>
      <c r="AB20" s="8">
        <f t="shared" ref="AB20:AB31" si="57">X20*D20</f>
        <v>1411.8746139623586</v>
      </c>
      <c r="AC20" s="8">
        <f t="shared" ref="AC20:AC31" si="58">Y20*E20</f>
        <v>1133.6510737008468</v>
      </c>
      <c r="AD20" s="8">
        <f t="shared" ref="AD20:AD31" si="59">Z20*F20</f>
        <v>4979.0903688413264</v>
      </c>
      <c r="AE20" s="8">
        <f t="shared" ref="AE20:AE31" si="60">AA20/(AA20+AB20+AC20+AD20)</f>
        <v>7.0478616631242136E-2</v>
      </c>
      <c r="AF20" s="8">
        <f t="shared" ref="AF20:AF31" si="61">AB20/(AA20+AB20+AC20+AD20)</f>
        <v>0.17440991466655204</v>
      </c>
      <c r="AG20" s="8">
        <f t="shared" ref="AG20:AG31" si="62">AC20/(AA20+AB20+AC20+AD20)</f>
        <v>0.1400407550858345</v>
      </c>
      <c r="AH20" s="8">
        <f t="shared" ref="AH20:AH31" si="63">AD20/(AA20+AB20+AC20+AD20)</f>
        <v>0.61507071361637145</v>
      </c>
      <c r="AN20" s="10">
        <v>20</v>
      </c>
      <c r="AO20" s="8">
        <f t="shared" si="53"/>
        <v>0.77163364334816009</v>
      </c>
      <c r="AP20" s="8">
        <f t="shared" si="54"/>
        <v>0.36128236744759556</v>
      </c>
      <c r="AV20" s="5">
        <f t="shared" si="55"/>
        <v>30532</v>
      </c>
      <c r="AW20" s="5">
        <f t="shared" si="55"/>
        <v>205100</v>
      </c>
    </row>
    <row r="21" spans="1:49" x14ac:dyDescent="0.2">
      <c r="A21" s="5" t="s">
        <v>157</v>
      </c>
      <c r="B21" s="10">
        <v>20</v>
      </c>
      <c r="C21" s="5">
        <v>14044</v>
      </c>
      <c r="D21" s="5">
        <v>27102</v>
      </c>
      <c r="E21" s="5">
        <v>1054</v>
      </c>
      <c r="F21" s="5">
        <v>192</v>
      </c>
      <c r="G21" s="5">
        <v>11410</v>
      </c>
      <c r="H21" s="5">
        <v>30653</v>
      </c>
      <c r="I21" s="7">
        <v>197300</v>
      </c>
      <c r="J21" s="7">
        <v>292600</v>
      </c>
      <c r="K21" s="5">
        <v>6419</v>
      </c>
      <c r="L21" s="5">
        <v>38755</v>
      </c>
      <c r="M21" s="7">
        <v>469600</v>
      </c>
      <c r="N21" s="7">
        <v>2291000</v>
      </c>
      <c r="O21" s="8">
        <f t="shared" si="41"/>
        <v>0.97829745920439559</v>
      </c>
      <c r="P21" s="8">
        <f t="shared" si="41"/>
        <v>1.1153893441754179</v>
      </c>
      <c r="Q21" s="8">
        <f t="shared" si="41"/>
        <v>2.9420021961156735</v>
      </c>
      <c r="R21" s="8">
        <f t="shared" si="41"/>
        <v>10.664019739603427</v>
      </c>
      <c r="S21" s="8">
        <f t="shared" si="42"/>
        <v>0.48999446525667401</v>
      </c>
      <c r="T21" s="8">
        <f t="shared" si="42"/>
        <v>0.7262027198990797</v>
      </c>
      <c r="U21" s="8">
        <f t="shared" si="42"/>
        <v>13.326232174252389</v>
      </c>
      <c r="V21" s="8">
        <f t="shared" si="42"/>
        <v>634.66013330501028</v>
      </c>
      <c r="W21" s="8">
        <f t="shared" si="43"/>
        <v>0.12984853329301863</v>
      </c>
      <c r="X21" s="8">
        <f t="shared" si="44"/>
        <v>0.15913089246008461</v>
      </c>
      <c r="Y21" s="8">
        <f t="shared" si="44"/>
        <v>2.5917575541214868</v>
      </c>
      <c r="Z21" s="8">
        <f t="shared" si="44"/>
        <v>105.35060370416502</v>
      </c>
      <c r="AA21" s="8">
        <f t="shared" si="56"/>
        <v>1823.5928015671536</v>
      </c>
      <c r="AB21" s="8">
        <f t="shared" si="57"/>
        <v>4312.7654474532128</v>
      </c>
      <c r="AC21" s="8">
        <f t="shared" si="58"/>
        <v>2731.7124620440472</v>
      </c>
      <c r="AD21" s="8">
        <f t="shared" si="59"/>
        <v>20227.315911199687</v>
      </c>
      <c r="AE21" s="8">
        <f t="shared" si="60"/>
        <v>6.2676355713785936E-2</v>
      </c>
      <c r="AF21" s="8">
        <f t="shared" si="61"/>
        <v>0.14822849764618831</v>
      </c>
      <c r="AG21" s="8">
        <f t="shared" si="62"/>
        <v>9.3888165072661789E-2</v>
      </c>
      <c r="AH21" s="8">
        <f t="shared" si="63"/>
        <v>0.69520698156736394</v>
      </c>
      <c r="AN21" s="10">
        <v>20</v>
      </c>
      <c r="AO21" s="8">
        <f t="shared" si="53"/>
        <v>0.79094310411559798</v>
      </c>
      <c r="AP21" s="8">
        <f t="shared" si="54"/>
        <v>0.42014480408858601</v>
      </c>
      <c r="AV21" s="5">
        <f t="shared" si="55"/>
        <v>30653</v>
      </c>
      <c r="AW21" s="5">
        <f t="shared" si="55"/>
        <v>197300</v>
      </c>
    </row>
    <row r="22" spans="1:49" x14ac:dyDescent="0.2">
      <c r="A22" s="5" t="s">
        <v>158</v>
      </c>
      <c r="B22" s="10">
        <v>20</v>
      </c>
      <c r="C22" s="5">
        <v>14863</v>
      </c>
      <c r="D22" s="5">
        <v>23664</v>
      </c>
      <c r="E22" s="5">
        <v>881</v>
      </c>
      <c r="F22" s="5">
        <v>170</v>
      </c>
      <c r="G22" s="5">
        <v>10573</v>
      </c>
      <c r="H22" s="5">
        <v>28173</v>
      </c>
      <c r="I22" s="7">
        <v>203400</v>
      </c>
      <c r="J22" s="7">
        <v>289200</v>
      </c>
      <c r="K22" s="5">
        <v>4312</v>
      </c>
      <c r="L22" s="5">
        <v>41618</v>
      </c>
      <c r="M22" s="7">
        <v>560100</v>
      </c>
      <c r="N22" s="7">
        <v>2169000</v>
      </c>
      <c r="O22" s="8">
        <f t="shared" si="41"/>
        <v>0.96936461031665611</v>
      </c>
      <c r="P22" s="8">
        <f t="shared" si="41"/>
        <v>1.1275273348567649</v>
      </c>
      <c r="Q22" s="8">
        <f t="shared" si="41"/>
        <v>3.3256864981282139</v>
      </c>
      <c r="R22" s="8">
        <f t="shared" si="41"/>
        <v>10.14678786285724</v>
      </c>
      <c r="S22" s="8">
        <f t="shared" si="42"/>
        <v>0.47669421212405033</v>
      </c>
      <c r="T22" s="8">
        <f t="shared" si="42"/>
        <v>0.75016990232104208</v>
      </c>
      <c r="U22" s="8">
        <f t="shared" si="42"/>
        <v>19.249627037864315</v>
      </c>
      <c r="V22" s="8">
        <f t="shared" si="42"/>
        <v>546.71896581958924</v>
      </c>
      <c r="W22" s="8">
        <f t="shared" si="43"/>
        <v>0.12632396621287334</v>
      </c>
      <c r="X22" s="8">
        <f t="shared" si="44"/>
        <v>0.16416406243707005</v>
      </c>
      <c r="Y22" s="8">
        <f t="shared" si="44"/>
        <v>3.6877460317956596</v>
      </c>
      <c r="Z22" s="8">
        <f t="shared" si="44"/>
        <v>91.309467529114372</v>
      </c>
      <c r="AA22" s="8">
        <f t="shared" si="56"/>
        <v>1877.5531098219365</v>
      </c>
      <c r="AB22" s="8">
        <f t="shared" si="57"/>
        <v>3884.7783735108255</v>
      </c>
      <c r="AC22" s="8">
        <f t="shared" si="58"/>
        <v>3248.9042540119763</v>
      </c>
      <c r="AD22" s="8">
        <f t="shared" si="59"/>
        <v>15522.609479949444</v>
      </c>
      <c r="AE22" s="8">
        <f t="shared" si="60"/>
        <v>7.6529100644134984E-2</v>
      </c>
      <c r="AF22" s="8">
        <f t="shared" si="61"/>
        <v>0.15834364075845728</v>
      </c>
      <c r="AG22" s="8">
        <f t="shared" si="62"/>
        <v>0.13242539949350407</v>
      </c>
      <c r="AH22" s="8">
        <f t="shared" si="63"/>
        <v>0.63270185910390364</v>
      </c>
      <c r="AN22" s="10">
        <v>20</v>
      </c>
      <c r="AO22" s="8">
        <f t="shared" si="53"/>
        <v>0.67694266903743572</v>
      </c>
      <c r="AP22" s="8">
        <f t="shared" si="54"/>
        <v>0.3631494376004285</v>
      </c>
      <c r="AV22" s="5">
        <f t="shared" si="55"/>
        <v>28173</v>
      </c>
      <c r="AW22" s="5">
        <f t="shared" si="55"/>
        <v>203400</v>
      </c>
    </row>
    <row r="23" spans="1:49" x14ac:dyDescent="0.2">
      <c r="A23" s="5" t="s">
        <v>159</v>
      </c>
      <c r="B23" s="10">
        <v>30</v>
      </c>
      <c r="C23" s="5">
        <v>26562</v>
      </c>
      <c r="D23" s="5">
        <v>10768</v>
      </c>
      <c r="E23" s="5">
        <v>553</v>
      </c>
      <c r="F23" s="5">
        <v>100</v>
      </c>
      <c r="G23" s="5">
        <v>10477</v>
      </c>
      <c r="H23" s="5">
        <v>22059</v>
      </c>
      <c r="I23" s="7">
        <v>203200</v>
      </c>
      <c r="J23" s="7">
        <v>293000</v>
      </c>
      <c r="K23" s="5">
        <v>22303</v>
      </c>
      <c r="L23" s="5">
        <v>22605</v>
      </c>
      <c r="M23" s="7">
        <v>497500</v>
      </c>
      <c r="N23" s="7">
        <v>2065000</v>
      </c>
      <c r="O23" s="8">
        <f t="shared" si="41"/>
        <v>1.0456393537145303</v>
      </c>
      <c r="P23" s="8">
        <f t="shared" si="41"/>
        <v>1.0469197145897546</v>
      </c>
      <c r="Q23" s="8">
        <f t="shared" si="41"/>
        <v>3.0602871908797606</v>
      </c>
      <c r="R23" s="8">
        <f t="shared" si="41"/>
        <v>9.70586888595885</v>
      </c>
      <c r="S23" s="8">
        <f t="shared" si="42"/>
        <v>0.59830710155078459</v>
      </c>
      <c r="T23" s="8">
        <f t="shared" si="42"/>
        <v>0.60050763291001474</v>
      </c>
      <c r="U23" s="8">
        <f t="shared" si="42"/>
        <v>14.999091386875204</v>
      </c>
      <c r="V23" s="8">
        <f t="shared" si="42"/>
        <v>478.49968744748787</v>
      </c>
      <c r="W23" s="8">
        <f t="shared" si="43"/>
        <v>0.15855138191095794</v>
      </c>
      <c r="X23" s="8">
        <f t="shared" si="44"/>
        <v>0.13261702225995636</v>
      </c>
      <c r="Y23" s="8">
        <f t="shared" si="44"/>
        <v>2.9029950026298366</v>
      </c>
      <c r="Z23" s="8">
        <f t="shared" si="44"/>
        <v>80.353816780750535</v>
      </c>
      <c r="AA23" s="8">
        <f t="shared" si="56"/>
        <v>4211.441806318865</v>
      </c>
      <c r="AB23" s="8">
        <f t="shared" si="57"/>
        <v>1428.0200956952101</v>
      </c>
      <c r="AC23" s="8">
        <f t="shared" si="58"/>
        <v>1605.3562364542995</v>
      </c>
      <c r="AD23" s="8">
        <f t="shared" si="59"/>
        <v>8035.3816780750531</v>
      </c>
      <c r="AE23" s="8">
        <f t="shared" si="60"/>
        <v>0.27561431505360678</v>
      </c>
      <c r="AF23" s="8">
        <f t="shared" si="61"/>
        <v>9.3455590426843399E-2</v>
      </c>
      <c r="AG23" s="8">
        <f t="shared" si="62"/>
        <v>0.10506120703449356</v>
      </c>
      <c r="AH23" s="8">
        <f t="shared" si="63"/>
        <v>0.52586888748505634</v>
      </c>
      <c r="AN23" s="10">
        <v>30</v>
      </c>
      <c r="AO23" s="8">
        <f t="shared" si="53"/>
        <v>0.97584605175846051</v>
      </c>
      <c r="AP23" s="8">
        <f t="shared" si="54"/>
        <v>0.40844221105527639</v>
      </c>
      <c r="AV23" s="5">
        <f t="shared" si="55"/>
        <v>22059</v>
      </c>
      <c r="AW23" s="5">
        <f t="shared" si="55"/>
        <v>203200</v>
      </c>
    </row>
    <row r="24" spans="1:49" x14ac:dyDescent="0.2">
      <c r="A24" s="5" t="s">
        <v>160</v>
      </c>
      <c r="B24" s="10">
        <v>30</v>
      </c>
      <c r="C24" s="5">
        <v>88905</v>
      </c>
      <c r="D24" s="5">
        <v>26677</v>
      </c>
      <c r="E24" s="5">
        <v>1771</v>
      </c>
      <c r="F24" s="5">
        <v>227</v>
      </c>
      <c r="G24" s="5">
        <v>11470</v>
      </c>
      <c r="H24" s="5">
        <v>22832</v>
      </c>
      <c r="I24" s="7">
        <v>201600</v>
      </c>
      <c r="J24" s="7">
        <v>289600</v>
      </c>
      <c r="K24" s="5">
        <v>2798</v>
      </c>
      <c r="L24" s="5">
        <v>21751</v>
      </c>
      <c r="M24" s="7">
        <v>445300</v>
      </c>
      <c r="N24" s="7">
        <v>2237000</v>
      </c>
      <c r="O24" s="8">
        <f t="shared" si="41"/>
        <v>0.96294584751834689</v>
      </c>
      <c r="P24" s="8">
        <f t="shared" si="41"/>
        <v>1.0432990914525313</v>
      </c>
      <c r="Q24" s="8">
        <f t="shared" si="41"/>
        <v>2.8389797813211457</v>
      </c>
      <c r="R24" s="8">
        <f t="shared" si="41"/>
        <v>10.435081040060032</v>
      </c>
      <c r="S24" s="8">
        <f t="shared" si="42"/>
        <v>0.46728731501114945</v>
      </c>
      <c r="T24" s="8">
        <f t="shared" si="42"/>
        <v>0.59429884364521224</v>
      </c>
      <c r="U24" s="8">
        <f t="shared" si="42"/>
        <v>11.974718046067187</v>
      </c>
      <c r="V24" s="8">
        <f t="shared" si="42"/>
        <v>594.65609730342794</v>
      </c>
      <c r="W24" s="8">
        <f t="shared" si="43"/>
        <v>0.12383113847795461</v>
      </c>
      <c r="X24" s="8">
        <f t="shared" si="44"/>
        <v>0.13130180154747881</v>
      </c>
      <c r="Y24" s="8">
        <f t="shared" si="44"/>
        <v>2.3391410970698669</v>
      </c>
      <c r="Z24" s="8">
        <f t="shared" si="44"/>
        <v>98.973966469668426</v>
      </c>
      <c r="AA24" s="8">
        <f t="shared" si="56"/>
        <v>11009.207366382554</v>
      </c>
      <c r="AB24" s="8">
        <f t="shared" si="57"/>
        <v>3502.7381598820921</v>
      </c>
      <c r="AC24" s="8">
        <f t="shared" si="58"/>
        <v>4142.6188829107341</v>
      </c>
      <c r="AD24" s="8">
        <f t="shared" si="59"/>
        <v>22467.090388614732</v>
      </c>
      <c r="AE24" s="8">
        <f t="shared" si="60"/>
        <v>0.26772286817052393</v>
      </c>
      <c r="AF24" s="8">
        <f t="shared" si="61"/>
        <v>8.5179893102704865E-2</v>
      </c>
      <c r="AG24" s="8">
        <f t="shared" si="62"/>
        <v>0.10074056852238739</v>
      </c>
      <c r="AH24" s="8">
        <f t="shared" si="63"/>
        <v>0.54635667020438394</v>
      </c>
      <c r="AN24" s="10">
        <v>30</v>
      </c>
      <c r="AO24" s="8">
        <f t="shared" si="53"/>
        <v>1.0496988644200267</v>
      </c>
      <c r="AP24" s="8">
        <f t="shared" si="54"/>
        <v>0.4527284976420391</v>
      </c>
      <c r="AV24" s="5">
        <f t="shared" si="55"/>
        <v>22832</v>
      </c>
      <c r="AW24" s="5">
        <f t="shared" si="55"/>
        <v>201600</v>
      </c>
    </row>
    <row r="25" spans="1:49" x14ac:dyDescent="0.2">
      <c r="A25" s="5" t="s">
        <v>161</v>
      </c>
      <c r="B25" s="10">
        <v>30</v>
      </c>
      <c r="C25" s="5">
        <v>86799</v>
      </c>
      <c r="D25" s="5">
        <v>31306</v>
      </c>
      <c r="E25" s="5">
        <v>1657</v>
      </c>
      <c r="F25" s="5">
        <v>214</v>
      </c>
      <c r="G25" s="5">
        <v>11325</v>
      </c>
      <c r="H25" s="5">
        <v>20569</v>
      </c>
      <c r="I25" s="7">
        <v>202800</v>
      </c>
      <c r="J25" s="7">
        <v>289300</v>
      </c>
      <c r="K25" s="5">
        <v>3955</v>
      </c>
      <c r="L25" s="5">
        <v>20887</v>
      </c>
      <c r="M25" s="7">
        <v>412600</v>
      </c>
      <c r="N25" s="7">
        <v>2278000</v>
      </c>
      <c r="O25" s="8">
        <f t="shared" si="41"/>
        <v>0.9678510711363415</v>
      </c>
      <c r="P25" s="8">
        <f t="shared" si="41"/>
        <v>1.039636072259837</v>
      </c>
      <c r="Q25" s="8">
        <f t="shared" si="41"/>
        <v>2.7003446799309794</v>
      </c>
      <c r="R25" s="8">
        <f t="shared" si="41"/>
        <v>10.608904867491129</v>
      </c>
      <c r="S25" s="8">
        <f t="shared" si="42"/>
        <v>0.4744648050792416</v>
      </c>
      <c r="T25" s="8">
        <f t="shared" si="42"/>
        <v>0.58806105283232213</v>
      </c>
      <c r="U25" s="8">
        <f t="shared" si="42"/>
        <v>10.304715468846705</v>
      </c>
      <c r="V25" s="8">
        <f t="shared" si="42"/>
        <v>624.87055828871837</v>
      </c>
      <c r="W25" s="8">
        <f t="shared" si="43"/>
        <v>0.12573317334599901</v>
      </c>
      <c r="X25" s="8">
        <f t="shared" si="44"/>
        <v>0.12997986992374214</v>
      </c>
      <c r="Y25" s="8">
        <f t="shared" si="44"/>
        <v>2.0253567348830526</v>
      </c>
      <c r="Z25" s="8">
        <f t="shared" si="44"/>
        <v>103.79171071689868</v>
      </c>
      <c r="AA25" s="8">
        <f t="shared" si="56"/>
        <v>10913.513713259368</v>
      </c>
      <c r="AB25" s="8">
        <f t="shared" si="57"/>
        <v>4069.1498078326713</v>
      </c>
      <c r="AC25" s="8">
        <f t="shared" si="58"/>
        <v>3356.0161097012183</v>
      </c>
      <c r="AD25" s="8">
        <f t="shared" si="59"/>
        <v>22211.426093416318</v>
      </c>
      <c r="AE25" s="8">
        <f t="shared" si="60"/>
        <v>0.26913650453798171</v>
      </c>
      <c r="AF25" s="8">
        <f t="shared" si="61"/>
        <v>0.10034868553753912</v>
      </c>
      <c r="AG25" s="8">
        <f t="shared" si="62"/>
        <v>8.2762203692543793E-2</v>
      </c>
      <c r="AH25" s="8">
        <f t="shared" si="63"/>
        <v>0.54775260623193545</v>
      </c>
      <c r="AN25" s="10">
        <v>30</v>
      </c>
      <c r="AO25" s="8">
        <f t="shared" si="53"/>
        <v>0.98477521903576393</v>
      </c>
      <c r="AP25" s="8">
        <f t="shared" si="54"/>
        <v>0.49151720794958798</v>
      </c>
      <c r="AV25" s="5">
        <f t="shared" si="55"/>
        <v>20569</v>
      </c>
      <c r="AW25" s="5">
        <f t="shared" si="55"/>
        <v>202800</v>
      </c>
    </row>
    <row r="26" spans="1:49" x14ac:dyDescent="0.2">
      <c r="A26" s="5" t="s">
        <v>162</v>
      </c>
      <c r="B26" s="10">
        <v>40</v>
      </c>
      <c r="C26" s="5">
        <v>9644</v>
      </c>
      <c r="D26" s="5">
        <v>3844</v>
      </c>
      <c r="E26" s="5">
        <v>532</v>
      </c>
      <c r="F26" s="5">
        <v>54</v>
      </c>
      <c r="G26" s="5">
        <v>13052</v>
      </c>
      <c r="H26" s="5">
        <v>36123</v>
      </c>
      <c r="I26" s="7">
        <v>204500</v>
      </c>
      <c r="J26" s="7">
        <v>293600</v>
      </c>
      <c r="K26" s="5">
        <v>4270</v>
      </c>
      <c r="L26" s="5">
        <v>31329</v>
      </c>
      <c r="M26" s="7">
        <v>354400</v>
      </c>
      <c r="N26" s="7">
        <v>2341000</v>
      </c>
      <c r="O26" s="8">
        <f t="shared" si="41"/>
        <v>0.96918654688367789</v>
      </c>
      <c r="P26" s="8">
        <f t="shared" si="41"/>
        <v>1.083906033382654</v>
      </c>
      <c r="Q26" s="8">
        <f t="shared" si="41"/>
        <v>2.453599637089765</v>
      </c>
      <c r="R26" s="8">
        <f t="shared" si="41"/>
        <v>10.876000016958422</v>
      </c>
      <c r="S26" s="8">
        <f t="shared" si="42"/>
        <v>0.4764315672453443</v>
      </c>
      <c r="T26" s="8">
        <f t="shared" si="42"/>
        <v>0.6664280969411378</v>
      </c>
      <c r="U26" s="8">
        <f t="shared" si="42"/>
        <v>7.7301779916268671</v>
      </c>
      <c r="V26" s="8">
        <f t="shared" si="42"/>
        <v>673.26493553614182</v>
      </c>
      <c r="W26" s="8">
        <f t="shared" si="43"/>
        <v>0.12625436532001624</v>
      </c>
      <c r="X26" s="8">
        <f t="shared" si="44"/>
        <v>0.14654783728072618</v>
      </c>
      <c r="Y26" s="8">
        <f t="shared" si="44"/>
        <v>1.5373534424198294</v>
      </c>
      <c r="Z26" s="8">
        <f t="shared" si="44"/>
        <v>111.48857656241975</v>
      </c>
      <c r="AA26" s="8">
        <f t="shared" si="56"/>
        <v>1217.5970991462366</v>
      </c>
      <c r="AB26" s="8">
        <f t="shared" si="57"/>
        <v>563.32988650711138</v>
      </c>
      <c r="AC26" s="8">
        <f t="shared" si="58"/>
        <v>817.87203136734922</v>
      </c>
      <c r="AD26" s="8">
        <f t="shared" si="59"/>
        <v>6020.383134370667</v>
      </c>
      <c r="AE26" s="8">
        <f t="shared" si="60"/>
        <v>0.14126596674252723</v>
      </c>
      <c r="AF26" s="8">
        <f t="shared" si="61"/>
        <v>6.5357695963784115E-2</v>
      </c>
      <c r="AG26" s="8">
        <f t="shared" si="62"/>
        <v>9.4889749050647815E-2</v>
      </c>
      <c r="AH26" s="8">
        <f t="shared" si="63"/>
        <v>0.69848658824304088</v>
      </c>
      <c r="AN26" s="10">
        <v>40</v>
      </c>
      <c r="AO26" s="8">
        <f t="shared" si="53"/>
        <v>1.153021162501197</v>
      </c>
      <c r="AP26" s="8">
        <f t="shared" si="54"/>
        <v>0.5770316027088036</v>
      </c>
      <c r="AV26" s="5">
        <f t="shared" si="55"/>
        <v>36123</v>
      </c>
      <c r="AW26" s="5">
        <f t="shared" si="55"/>
        <v>204500</v>
      </c>
    </row>
    <row r="27" spans="1:49" x14ac:dyDescent="0.2">
      <c r="A27" s="5" t="s">
        <v>163</v>
      </c>
      <c r="B27" s="10">
        <v>40</v>
      </c>
      <c r="C27" s="5">
        <v>29614</v>
      </c>
      <c r="D27" s="5">
        <v>11252</v>
      </c>
      <c r="E27" s="5">
        <v>1473</v>
      </c>
      <c r="F27" s="5">
        <v>137</v>
      </c>
      <c r="G27" s="5">
        <v>14537</v>
      </c>
      <c r="H27" s="5">
        <v>38111</v>
      </c>
      <c r="I27" s="7">
        <v>200900</v>
      </c>
      <c r="J27" s="7">
        <v>292800</v>
      </c>
      <c r="K27" s="5">
        <v>4856</v>
      </c>
      <c r="L27" s="5">
        <v>30742</v>
      </c>
      <c r="M27" s="7">
        <v>317000</v>
      </c>
      <c r="N27" s="7">
        <v>2015000</v>
      </c>
      <c r="O27" s="8">
        <f t="shared" si="41"/>
        <v>0.97167095573427853</v>
      </c>
      <c r="P27" s="8">
        <f t="shared" si="41"/>
        <v>1.0814173849265065</v>
      </c>
      <c r="Q27" s="8">
        <f t="shared" si="41"/>
        <v>2.2950383896282291</v>
      </c>
      <c r="R27" s="8">
        <f t="shared" si="41"/>
        <v>9.4938886086038554</v>
      </c>
      <c r="S27" s="8">
        <f t="shared" si="42"/>
        <v>0.48010481538655697</v>
      </c>
      <c r="T27" s="8">
        <f t="shared" si="42"/>
        <v>0.66184827122862455</v>
      </c>
      <c r="U27" s="8">
        <f t="shared" si="42"/>
        <v>6.3262778341968691</v>
      </c>
      <c r="V27" s="8">
        <f t="shared" si="42"/>
        <v>447.82753528371302</v>
      </c>
      <c r="W27" s="8">
        <f t="shared" si="43"/>
        <v>0.1272277760774376</v>
      </c>
      <c r="X27" s="8">
        <f t="shared" si="44"/>
        <v>0.14558188649861176</v>
      </c>
      <c r="Y27" s="8">
        <f t="shared" si="44"/>
        <v>1.2685312849645309</v>
      </c>
      <c r="Z27" s="8">
        <f t="shared" si="44"/>
        <v>75.407622923292919</v>
      </c>
      <c r="AA27" s="8">
        <f t="shared" si="56"/>
        <v>3767.7233607572371</v>
      </c>
      <c r="AB27" s="8">
        <f t="shared" si="57"/>
        <v>1638.0873868823794</v>
      </c>
      <c r="AC27" s="8">
        <f t="shared" si="58"/>
        <v>1868.5465827527541</v>
      </c>
      <c r="AD27" s="8">
        <f t="shared" si="59"/>
        <v>10330.84434049113</v>
      </c>
      <c r="AE27" s="8">
        <f t="shared" si="60"/>
        <v>0.21401193983415229</v>
      </c>
      <c r="AF27" s="8">
        <f t="shared" si="61"/>
        <v>9.3045647389063596E-2</v>
      </c>
      <c r="AG27" s="8">
        <f t="shared" si="62"/>
        <v>0.1061360510196861</v>
      </c>
      <c r="AH27" s="8">
        <f t="shared" si="63"/>
        <v>0.5868063617570981</v>
      </c>
      <c r="AN27" s="10">
        <v>40</v>
      </c>
      <c r="AO27" s="8">
        <f t="shared" si="53"/>
        <v>1.2397046386051656</v>
      </c>
      <c r="AP27" s="8">
        <f t="shared" si="54"/>
        <v>0.63375394321766565</v>
      </c>
      <c r="AV27" s="5">
        <f t="shared" si="55"/>
        <v>38111</v>
      </c>
      <c r="AW27" s="5">
        <f t="shared" si="55"/>
        <v>200900</v>
      </c>
    </row>
    <row r="28" spans="1:49" x14ac:dyDescent="0.2">
      <c r="A28" s="5" t="s">
        <v>164</v>
      </c>
      <c r="B28" s="10">
        <v>40</v>
      </c>
      <c r="C28" s="5">
        <v>32821</v>
      </c>
      <c r="D28" s="5">
        <v>11882</v>
      </c>
      <c r="E28" s="5">
        <v>1664</v>
      </c>
      <c r="F28" s="5">
        <v>113</v>
      </c>
      <c r="G28" s="5">
        <v>14590</v>
      </c>
      <c r="H28" s="5">
        <v>36928</v>
      </c>
      <c r="I28" s="7">
        <v>207300</v>
      </c>
      <c r="J28" s="7">
        <v>295800</v>
      </c>
      <c r="K28" s="5">
        <v>6395</v>
      </c>
      <c r="L28" s="5">
        <v>28878</v>
      </c>
      <c r="M28" s="7">
        <v>321400</v>
      </c>
      <c r="N28" s="7">
        <v>1918000</v>
      </c>
      <c r="O28" s="8">
        <f t="shared" si="41"/>
        <v>0.97819570867126526</v>
      </c>
      <c r="P28" s="8">
        <f t="shared" si="41"/>
        <v>1.0735147601867123</v>
      </c>
      <c r="Q28" s="8">
        <f t="shared" si="41"/>
        <v>2.3136926540354685</v>
      </c>
      <c r="R28" s="8">
        <f t="shared" si="41"/>
        <v>9.0826468705351662</v>
      </c>
      <c r="S28" s="8">
        <f t="shared" si="42"/>
        <v>0.48984159146891432</v>
      </c>
      <c r="T28" s="8">
        <f t="shared" si="42"/>
        <v>0.64744436893240331</v>
      </c>
      <c r="U28" s="8">
        <f t="shared" si="42"/>
        <v>6.4817966317035269</v>
      </c>
      <c r="V28" s="8">
        <f t="shared" si="42"/>
        <v>392.11701299663429</v>
      </c>
      <c r="W28" s="8">
        <f t="shared" si="43"/>
        <v>0.12980802173926231</v>
      </c>
      <c r="X28" s="8">
        <f t="shared" si="44"/>
        <v>0.14254210146834528</v>
      </c>
      <c r="Y28" s="8">
        <f t="shared" si="44"/>
        <v>1.2984220715963135</v>
      </c>
      <c r="Z28" s="8">
        <f t="shared" si="44"/>
        <v>66.38739729801506</v>
      </c>
      <c r="AA28" s="8">
        <f t="shared" si="56"/>
        <v>4260.4290815043287</v>
      </c>
      <c r="AB28" s="8">
        <f t="shared" si="57"/>
        <v>1693.6852496468787</v>
      </c>
      <c r="AC28" s="8">
        <f t="shared" si="58"/>
        <v>2160.5743271362658</v>
      </c>
      <c r="AD28" s="8">
        <f t="shared" si="59"/>
        <v>7501.7758946757021</v>
      </c>
      <c r="AE28" s="8">
        <f t="shared" si="60"/>
        <v>0.27281649230240945</v>
      </c>
      <c r="AF28" s="8">
        <f t="shared" si="61"/>
        <v>0.10845510159503466</v>
      </c>
      <c r="AG28" s="8">
        <f t="shared" si="62"/>
        <v>0.13835233447421386</v>
      </c>
      <c r="AH28" s="8">
        <f t="shared" si="63"/>
        <v>0.48037607162834195</v>
      </c>
      <c r="AN28" s="10">
        <v>40</v>
      </c>
      <c r="AO28" s="8">
        <f t="shared" si="53"/>
        <v>1.2787589168224947</v>
      </c>
      <c r="AP28" s="8">
        <f t="shared" si="54"/>
        <v>0.6449906658369633</v>
      </c>
      <c r="AV28" s="5">
        <f t="shared" si="55"/>
        <v>36928</v>
      </c>
      <c r="AW28" s="5">
        <f t="shared" si="55"/>
        <v>207300</v>
      </c>
    </row>
    <row r="29" spans="1:49" x14ac:dyDescent="0.2">
      <c r="A29" s="5" t="s">
        <v>165</v>
      </c>
      <c r="B29" s="10">
        <v>50</v>
      </c>
      <c r="C29" s="5">
        <v>7894</v>
      </c>
      <c r="D29" s="5">
        <v>3341</v>
      </c>
      <c r="E29" s="5">
        <v>317</v>
      </c>
      <c r="F29" s="5">
        <v>44</v>
      </c>
      <c r="G29" s="5">
        <v>14946</v>
      </c>
      <c r="H29" s="5">
        <v>41892</v>
      </c>
      <c r="I29" s="7">
        <v>242200</v>
      </c>
      <c r="J29" s="7">
        <v>299200</v>
      </c>
      <c r="K29" s="5">
        <v>12906</v>
      </c>
      <c r="L29" s="5">
        <v>33104</v>
      </c>
      <c r="M29" s="7">
        <v>397800</v>
      </c>
      <c r="N29" s="7">
        <v>3374000</v>
      </c>
      <c r="O29" s="8">
        <f t="shared" si="41"/>
        <v>1.0057997803884327</v>
      </c>
      <c r="P29" s="8">
        <f t="shared" si="41"/>
        <v>1.0914313332287564</v>
      </c>
      <c r="Q29" s="8">
        <f t="shared" si="41"/>
        <v>2.6375985178339008</v>
      </c>
      <c r="R29" s="8">
        <f t="shared" si="41"/>
        <v>15.255512547112616</v>
      </c>
      <c r="S29" s="8">
        <f t="shared" si="42"/>
        <v>0.53249190144069747</v>
      </c>
      <c r="T29" s="8">
        <f t="shared" si="42"/>
        <v>0.68040524103787403</v>
      </c>
      <c r="U29" s="8">
        <f t="shared" si="42"/>
        <v>9.6029455852322787</v>
      </c>
      <c r="V29" s="8">
        <f t="shared" si="42"/>
        <v>1858.0560381683642</v>
      </c>
      <c r="W29" s="8">
        <f t="shared" si="43"/>
        <v>0.14111035388178481</v>
      </c>
      <c r="X29" s="8">
        <f t="shared" si="44"/>
        <v>0.14949414256091789</v>
      </c>
      <c r="Y29" s="8">
        <f t="shared" si="44"/>
        <v>1.8928922136155246</v>
      </c>
      <c r="Z29" s="8">
        <f t="shared" si="44"/>
        <v>295.13954054572832</v>
      </c>
      <c r="AA29" s="8">
        <f t="shared" si="56"/>
        <v>1113.9251335428094</v>
      </c>
      <c r="AB29" s="8">
        <f t="shared" si="57"/>
        <v>499.4599302960267</v>
      </c>
      <c r="AC29" s="8">
        <f t="shared" si="58"/>
        <v>600.04683171612135</v>
      </c>
      <c r="AD29" s="8">
        <f t="shared" si="59"/>
        <v>12986.139784012046</v>
      </c>
      <c r="AE29" s="8">
        <f t="shared" si="60"/>
        <v>7.3286613401104886E-2</v>
      </c>
      <c r="AF29" s="8">
        <f t="shared" si="61"/>
        <v>3.286013190539163E-2</v>
      </c>
      <c r="AG29" s="8">
        <f t="shared" si="62"/>
        <v>3.9477877690643919E-2</v>
      </c>
      <c r="AH29" s="8">
        <f t="shared" si="63"/>
        <v>0.85437537700285959</v>
      </c>
      <c r="AN29" s="10">
        <v>50</v>
      </c>
      <c r="AO29" s="8">
        <f t="shared" si="53"/>
        <v>1.2654664088931851</v>
      </c>
      <c r="AP29" s="8">
        <f t="shared" si="54"/>
        <v>0.60884866767219703</v>
      </c>
      <c r="AV29" s="5">
        <f t="shared" si="55"/>
        <v>41892</v>
      </c>
      <c r="AW29" s="5">
        <f t="shared" si="55"/>
        <v>242200</v>
      </c>
    </row>
    <row r="30" spans="1:49" x14ac:dyDescent="0.2">
      <c r="A30" s="5" t="s">
        <v>166</v>
      </c>
      <c r="B30" s="10">
        <v>50</v>
      </c>
      <c r="C30" s="5">
        <v>28790</v>
      </c>
      <c r="D30" s="5">
        <v>11814</v>
      </c>
      <c r="E30" s="5">
        <v>1097</v>
      </c>
      <c r="F30" s="5">
        <v>130</v>
      </c>
      <c r="G30" s="5">
        <v>16596</v>
      </c>
      <c r="H30" s="5">
        <v>41691</v>
      </c>
      <c r="I30" s="7">
        <v>240000</v>
      </c>
      <c r="J30" s="7">
        <v>288300</v>
      </c>
      <c r="K30" s="5">
        <v>8798</v>
      </c>
      <c r="L30" s="5">
        <v>31349</v>
      </c>
      <c r="M30" s="7">
        <v>352400</v>
      </c>
      <c r="N30" s="7">
        <v>2047000</v>
      </c>
      <c r="O30" s="8">
        <f t="shared" ref="O30:O31" si="64">(224333+K30)/235871</f>
        <v>0.98838348080094629</v>
      </c>
      <c r="P30" s="8">
        <f t="shared" ref="P30:P31" si="65">(224333+L30)/235871</f>
        <v>1.0839908254935962</v>
      </c>
      <c r="Q30" s="8">
        <f t="shared" ref="Q30:Q31" si="66">(224333+M30)/235871</f>
        <v>2.4451204259955652</v>
      </c>
      <c r="R30" s="8">
        <f t="shared" ref="R30:R31" si="67">(224333+N30)/235871</f>
        <v>9.6295559861110522</v>
      </c>
      <c r="S30" s="8">
        <f t="shared" ref="S30:S31" si="68">4/3*3.14*((O30/2)^3)</f>
        <v>0.50530643915084161</v>
      </c>
      <c r="T30" s="8">
        <f t="shared" ref="T30:T31" si="69">4/3*3.14*((P30/2)^3)</f>
        <v>0.66658450975927175</v>
      </c>
      <c r="U30" s="8">
        <f t="shared" ref="U30:U31" si="70">4/3*3.14*((Q30/2)^3)</f>
        <v>7.6503122025116879</v>
      </c>
      <c r="V30" s="8">
        <f t="shared" ref="V30:V31" si="71">4/3*3.14*((R30/2)^3)</f>
        <v>467.30151085021942</v>
      </c>
      <c r="W30" s="8">
        <f t="shared" si="43"/>
        <v>0.13390620637497302</v>
      </c>
      <c r="X30" s="8">
        <f t="shared" ref="X30:X31" si="72">(10^(-0.665+LOG(T30, 10)*0.959))</f>
        <v>0.14658082216566076</v>
      </c>
      <c r="Y30" s="8">
        <f t="shared" ref="Y30:Y31" si="73">(10^(-0.665+LOG(U30, 10)*0.959))</f>
        <v>1.5221179698323242</v>
      </c>
      <c r="Z30" s="8">
        <f t="shared" ref="Z30:Z31" si="74">(10^(-0.665+LOG(V30, 10)*0.959))</f>
        <v>78.549549855589817</v>
      </c>
      <c r="AA30" s="8">
        <f t="shared" si="56"/>
        <v>3855.1596815354733</v>
      </c>
      <c r="AB30" s="8">
        <f t="shared" si="57"/>
        <v>1731.7058330651162</v>
      </c>
      <c r="AC30" s="8">
        <f t="shared" si="58"/>
        <v>1669.7634129060596</v>
      </c>
      <c r="AD30" s="8">
        <f t="shared" si="59"/>
        <v>10211.441481226677</v>
      </c>
      <c r="AE30" s="8">
        <f t="shared" si="60"/>
        <v>0.22069751216528474</v>
      </c>
      <c r="AF30" s="8">
        <f t="shared" si="61"/>
        <v>9.9135496511356724E-2</v>
      </c>
      <c r="AG30" s="8">
        <f t="shared" si="62"/>
        <v>9.5589459730551912E-2</v>
      </c>
      <c r="AH30" s="8">
        <f t="shared" si="63"/>
        <v>0.58457753159280668</v>
      </c>
      <c r="AN30" s="10">
        <v>50</v>
      </c>
      <c r="AO30" s="8">
        <f t="shared" si="53"/>
        <v>1.3298988803470606</v>
      </c>
      <c r="AP30" s="8">
        <f t="shared" si="54"/>
        <v>0.68104426787741201</v>
      </c>
      <c r="AV30" s="5">
        <f t="shared" ref="AV30:AW31" si="75">H30</f>
        <v>41691</v>
      </c>
      <c r="AW30" s="5">
        <f t="shared" si="75"/>
        <v>240000</v>
      </c>
    </row>
    <row r="31" spans="1:49" x14ac:dyDescent="0.2">
      <c r="A31" s="5" t="s">
        <v>167</v>
      </c>
      <c r="B31" s="10">
        <v>50</v>
      </c>
      <c r="C31" s="5">
        <v>28076</v>
      </c>
      <c r="D31" s="5">
        <v>11194</v>
      </c>
      <c r="E31" s="5">
        <v>1098</v>
      </c>
      <c r="F31" s="5">
        <v>177</v>
      </c>
      <c r="G31" s="5">
        <v>16757</v>
      </c>
      <c r="H31" s="5">
        <v>39560</v>
      </c>
      <c r="I31" s="7">
        <v>246400</v>
      </c>
      <c r="J31" s="7">
        <v>292600</v>
      </c>
      <c r="K31" s="5">
        <v>4917</v>
      </c>
      <c r="L31" s="5">
        <v>24295</v>
      </c>
      <c r="M31" s="7">
        <v>313600</v>
      </c>
      <c r="N31" s="7">
        <v>1616000</v>
      </c>
      <c r="O31" s="8">
        <f t="shared" si="64"/>
        <v>0.97192957167265159</v>
      </c>
      <c r="P31" s="8">
        <f t="shared" si="65"/>
        <v>1.0540846479643533</v>
      </c>
      <c r="Q31" s="8">
        <f t="shared" si="66"/>
        <v>2.2806237307680894</v>
      </c>
      <c r="R31" s="8">
        <f t="shared" si="67"/>
        <v>7.8022859953109966</v>
      </c>
      <c r="S31" s="8">
        <f t="shared" si="68"/>
        <v>0.48048826558498731</v>
      </c>
      <c r="T31" s="8">
        <f t="shared" si="69"/>
        <v>0.61292150909201837</v>
      </c>
      <c r="U31" s="8">
        <f t="shared" si="70"/>
        <v>6.2078228439138208</v>
      </c>
      <c r="V31" s="8">
        <f t="shared" si="71"/>
        <v>248.5672995299991</v>
      </c>
      <c r="W31" s="8">
        <f t="shared" si="43"/>
        <v>0.12732939038002164</v>
      </c>
      <c r="X31" s="8">
        <f t="shared" si="72"/>
        <v>0.13524501389446231</v>
      </c>
      <c r="Y31" s="8">
        <f t="shared" si="73"/>
        <v>1.24574399629373</v>
      </c>
      <c r="Z31" s="8">
        <f t="shared" si="74"/>
        <v>42.877631777975196</v>
      </c>
      <c r="AA31" s="8">
        <f t="shared" si="56"/>
        <v>3574.8999643094876</v>
      </c>
      <c r="AB31" s="8">
        <f t="shared" si="57"/>
        <v>1513.932685534611</v>
      </c>
      <c r="AC31" s="8">
        <f t="shared" si="58"/>
        <v>1367.8269079305155</v>
      </c>
      <c r="AD31" s="8">
        <f t="shared" si="59"/>
        <v>7589.3408247016096</v>
      </c>
      <c r="AE31" s="8">
        <f t="shared" si="60"/>
        <v>0.25451373109526104</v>
      </c>
      <c r="AF31" s="8">
        <f t="shared" si="61"/>
        <v>0.10778389892566084</v>
      </c>
      <c r="AG31" s="8">
        <f t="shared" si="62"/>
        <v>9.7381950070072262E-2</v>
      </c>
      <c r="AH31" s="8">
        <f t="shared" si="63"/>
        <v>0.54032041990900581</v>
      </c>
      <c r="AN31" s="10">
        <v>50</v>
      </c>
      <c r="AO31" s="8">
        <f t="shared" si="53"/>
        <v>1.6283185840707965</v>
      </c>
      <c r="AP31" s="8">
        <f t="shared" si="54"/>
        <v>0.7857142857142857</v>
      </c>
      <c r="AV31" s="5">
        <f t="shared" si="75"/>
        <v>39560</v>
      </c>
      <c r="AW31" s="5">
        <f t="shared" si="75"/>
        <v>246400</v>
      </c>
    </row>
    <row r="32" spans="1:49" s="28" customFormat="1" x14ac:dyDescent="0.2"/>
    <row r="33" spans="1:28" x14ac:dyDescent="0.2">
      <c r="A33" s="4" t="s">
        <v>526</v>
      </c>
      <c r="S33" s="6" t="s">
        <v>538</v>
      </c>
      <c r="T33" s="6"/>
    </row>
    <row r="34" spans="1:28" x14ac:dyDescent="0.2">
      <c r="A34" s="4" t="s">
        <v>527</v>
      </c>
      <c r="L34" s="6"/>
      <c r="N34" s="6" t="s">
        <v>525</v>
      </c>
      <c r="R34" s="6" t="s">
        <v>530</v>
      </c>
      <c r="S34" s="6" t="s">
        <v>529</v>
      </c>
      <c r="T34" s="6" t="s">
        <v>537</v>
      </c>
    </row>
    <row r="35" spans="1:28" x14ac:dyDescent="0.2">
      <c r="L35" s="6"/>
      <c r="N35" s="27" t="s">
        <v>523</v>
      </c>
      <c r="R35" s="6" t="s">
        <v>536</v>
      </c>
      <c r="S35" s="6" t="s">
        <v>533</v>
      </c>
      <c r="T35" s="6" t="s">
        <v>532</v>
      </c>
    </row>
    <row r="36" spans="1:28" x14ac:dyDescent="0.2">
      <c r="L36" s="6"/>
      <c r="N36" s="27"/>
      <c r="R36" s="6" t="s">
        <v>551</v>
      </c>
      <c r="S36" s="6" t="s">
        <v>551</v>
      </c>
      <c r="T36" s="6" t="s">
        <v>551</v>
      </c>
      <c r="V36" s="6" t="s">
        <v>552</v>
      </c>
      <c r="W36" s="6" t="s">
        <v>552</v>
      </c>
      <c r="X36" s="6" t="s">
        <v>552</v>
      </c>
      <c r="Z36" s="6" t="s">
        <v>553</v>
      </c>
      <c r="AA36" s="6" t="s">
        <v>554</v>
      </c>
      <c r="AB36" s="6" t="s">
        <v>554</v>
      </c>
    </row>
    <row r="37" spans="1:28" x14ac:dyDescent="0.2">
      <c r="A37" s="4" t="s">
        <v>39</v>
      </c>
      <c r="B37" s="4"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142</v>
      </c>
      <c r="B38" s="10">
        <v>5</v>
      </c>
      <c r="C38" s="6">
        <f>1-0.275-0.025</f>
        <v>0.7</v>
      </c>
      <c r="D38" s="12">
        <f>H38/$C38</f>
        <v>15077.142857142859</v>
      </c>
      <c r="E38" s="12">
        <f t="shared" ref="E38:G45" si="76">I38/$C38</f>
        <v>28272.857142857145</v>
      </c>
      <c r="F38" s="12">
        <f t="shared" si="76"/>
        <v>1328.5714285714287</v>
      </c>
      <c r="G38" s="12">
        <f>K38/$C38</f>
        <v>281.42857142857144</v>
      </c>
      <c r="H38" s="5">
        <v>10554</v>
      </c>
      <c r="I38" s="5">
        <v>19791</v>
      </c>
      <c r="J38" s="5">
        <v>930</v>
      </c>
      <c r="K38" s="5">
        <v>197</v>
      </c>
      <c r="L38" s="26">
        <f t="shared" ref="L38:O45" si="77">W4*D38*1000/1000000</f>
        <v>2.2874852740008844</v>
      </c>
      <c r="M38" s="26">
        <f t="shared" si="77"/>
        <v>4.6254383706505315</v>
      </c>
      <c r="N38" s="26">
        <f t="shared" si="77"/>
        <v>5.3565110973702179</v>
      </c>
      <c r="O38" s="26">
        <f t="shared" si="77"/>
        <v>58.171828817946547</v>
      </c>
      <c r="P38" s="26">
        <f>SUM(L38:O38)</f>
        <v>70.441263559968178</v>
      </c>
      <c r="Q38" s="26">
        <f>SUM(L38:N38)</f>
        <v>12.269434742021634</v>
      </c>
      <c r="R38" s="26">
        <f>(LN(L48/(L38*0.25)))/$B$1</f>
        <v>0.20239296365580095</v>
      </c>
      <c r="S38" s="26">
        <f>(R38-R39)/(1-0.25)</f>
        <v>1.7528059270300413</v>
      </c>
      <c r="T38" s="26">
        <f>S38+R40</f>
        <v>1.7885049065615588</v>
      </c>
      <c r="V38" s="26">
        <f>(LN(L51/(L39*0.25)))/$B$1</f>
        <v>1.4135805894144311</v>
      </c>
      <c r="W38" s="26">
        <f>(V38-V39)/(1-0.25)</f>
        <v>1.6585060660922724</v>
      </c>
      <c r="X38" s="26">
        <f>W38+V40</f>
        <v>1.7853614805081743</v>
      </c>
      <c r="Z38" s="26">
        <f>(LN(L54/(L40*0.25)))/$B$1</f>
        <v>0.24981694641321311</v>
      </c>
      <c r="AA38" s="26">
        <f>(Z38-Z39)/(1-0.25)</f>
        <v>0.26584304304303746</v>
      </c>
      <c r="AB38" s="26">
        <f>AA38+Z40</f>
        <v>0.34219839144354502</v>
      </c>
    </row>
    <row r="39" spans="1:28" x14ac:dyDescent="0.2">
      <c r="A39" s="5" t="s">
        <v>143</v>
      </c>
      <c r="B39" s="10">
        <v>12</v>
      </c>
      <c r="C39" s="6">
        <f>1-0.29-0.025</f>
        <v>0.68499999999999994</v>
      </c>
      <c r="D39" s="12">
        <f t="shared" ref="D39:D44" si="78">H39/$C39</f>
        <v>14363.503649635039</v>
      </c>
      <c r="E39" s="12">
        <f t="shared" si="76"/>
        <v>29030.656934306571</v>
      </c>
      <c r="F39" s="12">
        <f t="shared" si="76"/>
        <v>1216.0583941605842</v>
      </c>
      <c r="G39" s="12">
        <f t="shared" si="76"/>
        <v>242.33576642335768</v>
      </c>
      <c r="H39" s="5">
        <v>9839</v>
      </c>
      <c r="I39" s="5">
        <v>19886</v>
      </c>
      <c r="J39" s="5">
        <v>833</v>
      </c>
      <c r="K39" s="5">
        <v>166</v>
      </c>
      <c r="L39" s="26">
        <f t="shared" si="77"/>
        <v>1.9128871863106676</v>
      </c>
      <c r="M39" s="26">
        <f t="shared" si="77"/>
        <v>4.646905475660664</v>
      </c>
      <c r="N39" s="26">
        <f t="shared" si="77"/>
        <v>4.406019166840009</v>
      </c>
      <c r="O39" s="26">
        <f t="shared" si="77"/>
        <v>51.003191132409405</v>
      </c>
      <c r="P39" s="26">
        <f t="shared" ref="P39:P45" si="79">SUM(L39:O39)</f>
        <v>61.969002961220745</v>
      </c>
      <c r="Q39" s="26">
        <f t="shared" ref="Q39:Q45" si="80">SUM(L39:N39)</f>
        <v>10.96581182881134</v>
      </c>
      <c r="R39" s="26">
        <f>(LN(L49/L38))/$B$1</f>
        <v>-1.1122114816167299</v>
      </c>
      <c r="V39" s="26">
        <f>(LN(L52/L39))/$B$1</f>
        <v>0.16970103984522683</v>
      </c>
      <c r="Z39" s="26">
        <f>(LN(L55/L40))/$B$1</f>
        <v>5.0434664130934996E-2</v>
      </c>
    </row>
    <row r="40" spans="1:28" x14ac:dyDescent="0.2">
      <c r="A40" s="5" t="s">
        <v>144</v>
      </c>
      <c r="B40" s="10">
        <v>20</v>
      </c>
      <c r="C40" s="6">
        <f>1-0.29-0.025</f>
        <v>0.68499999999999994</v>
      </c>
      <c r="D40" s="12">
        <f t="shared" si="78"/>
        <v>18354.744525547449</v>
      </c>
      <c r="E40" s="12">
        <f t="shared" si="76"/>
        <v>33871.53284671533</v>
      </c>
      <c r="F40" s="12">
        <f t="shared" si="76"/>
        <v>1369.3430656934308</v>
      </c>
      <c r="G40" s="12">
        <f t="shared" si="76"/>
        <v>245.25547445255478</v>
      </c>
      <c r="H40" s="5">
        <v>12573</v>
      </c>
      <c r="I40" s="5">
        <v>23202</v>
      </c>
      <c r="J40" s="5">
        <v>938</v>
      </c>
      <c r="K40" s="5">
        <v>168</v>
      </c>
      <c r="L40" s="26">
        <f t="shared" si="77"/>
        <v>2.5716486503461775</v>
      </c>
      <c r="M40" s="26">
        <f t="shared" si="77"/>
        <v>5.3308066635534832</v>
      </c>
      <c r="N40" s="26">
        <f t="shared" si="77"/>
        <v>6.1959038396468644</v>
      </c>
      <c r="O40" s="26">
        <f t="shared" si="77"/>
        <v>54.982392685379629</v>
      </c>
      <c r="P40" s="26">
        <f t="shared" si="79"/>
        <v>69.080751838926147</v>
      </c>
      <c r="Q40" s="26">
        <f t="shared" si="80"/>
        <v>14.098359153546525</v>
      </c>
      <c r="R40" s="26">
        <f>LN(L50/L38)/$B$1</f>
        <v>3.5698979531517447E-2</v>
      </c>
      <c r="V40" s="26">
        <f>LN(L53/L39)/$B$1</f>
        <v>0.12685541441590195</v>
      </c>
      <c r="Z40" s="26">
        <f>LN(L56/L40)/$B$1</f>
        <v>7.6355348400507589E-2</v>
      </c>
    </row>
    <row r="41" spans="1:28" x14ac:dyDescent="0.2">
      <c r="A41" s="5" t="s">
        <v>145</v>
      </c>
      <c r="B41" s="10">
        <v>30</v>
      </c>
      <c r="C41" s="6">
        <f t="shared" ref="C41:C44" si="81">1-0.29-0.025</f>
        <v>0.68499999999999994</v>
      </c>
      <c r="D41" s="12">
        <f t="shared" si="78"/>
        <v>123205.8394160584</v>
      </c>
      <c r="E41" s="12">
        <f t="shared" si="76"/>
        <v>47448.175182481755</v>
      </c>
      <c r="F41" s="12">
        <f t="shared" si="76"/>
        <v>2766.4233576642337</v>
      </c>
      <c r="G41" s="12">
        <f t="shared" si="76"/>
        <v>345.98540145985402</v>
      </c>
      <c r="H41" s="5">
        <v>84396</v>
      </c>
      <c r="I41" s="5">
        <v>32502</v>
      </c>
      <c r="J41" s="5">
        <v>1895</v>
      </c>
      <c r="K41" s="5">
        <v>237</v>
      </c>
      <c r="L41" s="26">
        <f t="shared" si="77"/>
        <v>15.377339923879228</v>
      </c>
      <c r="M41" s="26">
        <f t="shared" si="77"/>
        <v>6.007040829911686</v>
      </c>
      <c r="N41" s="26">
        <f t="shared" si="77"/>
        <v>6.3412435269100325</v>
      </c>
      <c r="O41" s="26">
        <f t="shared" si="77"/>
        <v>49.687818723647261</v>
      </c>
      <c r="P41" s="26">
        <f t="shared" si="79"/>
        <v>77.41344300434821</v>
      </c>
      <c r="Q41" s="26">
        <f t="shared" si="80"/>
        <v>27.725624280700949</v>
      </c>
      <c r="R41" s="5" t="s">
        <v>535</v>
      </c>
      <c r="V41" s="5" t="s">
        <v>535</v>
      </c>
      <c r="Z41" s="5" t="s">
        <v>535</v>
      </c>
    </row>
    <row r="42" spans="1:28" x14ac:dyDescent="0.2">
      <c r="A42" s="5" t="s">
        <v>146</v>
      </c>
      <c r="B42" s="10">
        <v>40</v>
      </c>
      <c r="C42" s="6">
        <f t="shared" si="81"/>
        <v>0.68499999999999994</v>
      </c>
      <c r="D42" s="12">
        <f t="shared" si="78"/>
        <v>47421.897810218979</v>
      </c>
      <c r="E42" s="12">
        <f t="shared" si="76"/>
        <v>21912.40875912409</v>
      </c>
      <c r="F42" s="12">
        <f t="shared" si="76"/>
        <v>2115.3284671532847</v>
      </c>
      <c r="G42" s="12">
        <f t="shared" si="76"/>
        <v>334.30656934306575</v>
      </c>
      <c r="H42" s="5">
        <v>32484</v>
      </c>
      <c r="I42" s="5">
        <v>15010</v>
      </c>
      <c r="J42" s="5">
        <v>1449</v>
      </c>
      <c r="K42" s="5">
        <v>229</v>
      </c>
      <c r="L42" s="26">
        <f t="shared" si="77"/>
        <v>6.8525861823222334</v>
      </c>
      <c r="M42" s="26">
        <f t="shared" si="77"/>
        <v>3.101770915263387</v>
      </c>
      <c r="N42" s="26">
        <f t="shared" si="77"/>
        <v>3.5824825697848901</v>
      </c>
      <c r="O42" s="26">
        <f t="shared" si="77"/>
        <v>74.15777264414649</v>
      </c>
      <c r="P42" s="26">
        <f t="shared" si="79"/>
        <v>87.694612311517005</v>
      </c>
      <c r="Q42" s="26">
        <f t="shared" si="80"/>
        <v>13.536839667370511</v>
      </c>
      <c r="R42" s="6" t="s">
        <v>539</v>
      </c>
      <c r="S42" s="6" t="s">
        <v>540</v>
      </c>
      <c r="T42" s="6" t="s">
        <v>541</v>
      </c>
      <c r="V42" s="6" t="s">
        <v>539</v>
      </c>
      <c r="W42" s="6" t="s">
        <v>540</v>
      </c>
      <c r="X42" s="6" t="s">
        <v>541</v>
      </c>
      <c r="Z42" s="6" t="s">
        <v>539</v>
      </c>
      <c r="AA42" s="6" t="s">
        <v>540</v>
      </c>
      <c r="AB42" s="6" t="s">
        <v>541</v>
      </c>
    </row>
    <row r="43" spans="1:28" x14ac:dyDescent="0.2">
      <c r="A43" s="5" t="s">
        <v>147</v>
      </c>
      <c r="B43" s="10">
        <v>50</v>
      </c>
      <c r="C43" s="6">
        <f t="shared" si="81"/>
        <v>0.68499999999999994</v>
      </c>
      <c r="D43" s="12">
        <f t="shared" si="78"/>
        <v>46532.846715328473</v>
      </c>
      <c r="E43" s="12">
        <f t="shared" si="76"/>
        <v>16988.321167883212</v>
      </c>
      <c r="F43" s="12">
        <f t="shared" si="76"/>
        <v>2106.5693430656938</v>
      </c>
      <c r="G43" s="12">
        <f t="shared" si="76"/>
        <v>407.29927007299273</v>
      </c>
      <c r="H43" s="5">
        <v>31875</v>
      </c>
      <c r="I43" s="5">
        <v>11637</v>
      </c>
      <c r="J43" s="5">
        <v>1443</v>
      </c>
      <c r="K43" s="5">
        <v>279</v>
      </c>
      <c r="L43" s="26">
        <f t="shared" si="77"/>
        <v>7.1226602231057914</v>
      </c>
      <c r="M43" s="26">
        <f t="shared" si="77"/>
        <v>2.4348087543972996</v>
      </c>
      <c r="N43" s="26">
        <f t="shared" si="77"/>
        <v>5.3651864529960731</v>
      </c>
      <c r="O43" s="26">
        <f t="shared" si="77"/>
        <v>41.309484660095087</v>
      </c>
      <c r="P43" s="26">
        <f t="shared" si="79"/>
        <v>56.232140090594257</v>
      </c>
      <c r="Q43" s="26">
        <f t="shared" si="80"/>
        <v>14.922655430499166</v>
      </c>
      <c r="R43" s="26">
        <f>(LN(M48/(M38*0.25)))/$B$1</f>
        <v>0.71341484902679908</v>
      </c>
      <c r="S43" s="26">
        <f>(R43-R44)/(1-0.25)</f>
        <v>1.7778713567631594</v>
      </c>
      <c r="T43" s="26">
        <f>S43+R45</f>
        <v>2.1600058711521122</v>
      </c>
      <c r="V43" s="26">
        <f>(LN(M51/(M39*0.25)))/$B$1</f>
        <v>1.6813001185896912</v>
      </c>
      <c r="W43" s="26">
        <f>(V43-V44)/(1-0.25)</f>
        <v>1.6996997947221073</v>
      </c>
      <c r="X43" s="26">
        <f>W43+V45</f>
        <v>1.9093752054260731</v>
      </c>
      <c r="Z43" s="26">
        <f>(LN(M54/(M40*0.25)))/$B$1</f>
        <v>0.40727794826884839</v>
      </c>
      <c r="AA43" s="26">
        <f>(Z43-Z44)/(1-0.25)</f>
        <v>0.31956546659818491</v>
      </c>
      <c r="AB43" s="26">
        <f>AA43+Z45</f>
        <v>0.39426851667948593</v>
      </c>
    </row>
    <row r="44" spans="1:28" x14ac:dyDescent="0.2">
      <c r="A44" s="5" t="s">
        <v>148</v>
      </c>
      <c r="B44" s="10">
        <v>70</v>
      </c>
      <c r="C44" s="6">
        <f t="shared" si="81"/>
        <v>0.68499999999999994</v>
      </c>
      <c r="D44" s="12">
        <f t="shared" si="78"/>
        <v>17281.751824817518</v>
      </c>
      <c r="E44" s="12">
        <f t="shared" si="76"/>
        <v>7566.4233576642346</v>
      </c>
      <c r="F44" s="12">
        <f t="shared" si="76"/>
        <v>852.55474452554756</v>
      </c>
      <c r="G44" s="12">
        <f t="shared" si="76"/>
        <v>132.84671532846716</v>
      </c>
      <c r="H44" s="5">
        <v>11838</v>
      </c>
      <c r="I44" s="5">
        <v>5183</v>
      </c>
      <c r="J44" s="5">
        <v>584</v>
      </c>
      <c r="K44" s="5">
        <v>91</v>
      </c>
      <c r="L44" s="26">
        <f t="shared" si="77"/>
        <v>2.933991893829218</v>
      </c>
      <c r="M44" s="26">
        <f t="shared" si="77"/>
        <v>1.3098446468611207</v>
      </c>
      <c r="N44" s="26">
        <f t="shared" si="77"/>
        <v>1.2905808434399981</v>
      </c>
      <c r="O44" s="26">
        <f t="shared" si="77"/>
        <v>4.9960936553637829</v>
      </c>
      <c r="P44" s="26">
        <f t="shared" si="79"/>
        <v>10.530511039494119</v>
      </c>
      <c r="Q44" s="26">
        <f t="shared" si="80"/>
        <v>5.5344173841303368</v>
      </c>
      <c r="R44" s="26">
        <f>(LN(M49/M38))/$B$1</f>
        <v>-0.61998866854557044</v>
      </c>
      <c r="V44" s="26">
        <f>(LN(M52/M39))/$B$1</f>
        <v>0.40652527254811083</v>
      </c>
      <c r="Z44" s="26">
        <f>(LN(M55/M40))/$B$1</f>
        <v>0.16760384832020969</v>
      </c>
    </row>
    <row r="45" spans="1:28" x14ac:dyDescent="0.2">
      <c r="A45" s="5" t="s">
        <v>149</v>
      </c>
      <c r="B45" s="10">
        <v>100</v>
      </c>
      <c r="C45" s="6">
        <f>1-0.27-0.025</f>
        <v>0.70499999999999996</v>
      </c>
      <c r="D45" s="12">
        <f>H45/$C45</f>
        <v>2704.9645390070923</v>
      </c>
      <c r="E45" s="12">
        <f t="shared" si="76"/>
        <v>1070.921985815603</v>
      </c>
      <c r="F45" s="12">
        <f t="shared" si="76"/>
        <v>165.95744680851064</v>
      </c>
      <c r="G45" s="12">
        <f t="shared" si="76"/>
        <v>35.460992907801419</v>
      </c>
      <c r="H45" s="5">
        <v>1907</v>
      </c>
      <c r="I45" s="5">
        <v>755</v>
      </c>
      <c r="J45" s="5">
        <v>117</v>
      </c>
      <c r="K45" s="5">
        <v>25</v>
      </c>
      <c r="L45" s="26">
        <f t="shared" si="77"/>
        <v>0.54132024673757628</v>
      </c>
      <c r="M45" s="26">
        <f t="shared" si="77"/>
        <v>0.20919020179249706</v>
      </c>
      <c r="N45" s="26">
        <f t="shared" si="77"/>
        <v>0.35956227850958744</v>
      </c>
      <c r="O45" s="26">
        <f t="shared" si="77"/>
        <v>3.4081290820928745</v>
      </c>
      <c r="P45" s="26">
        <f t="shared" si="79"/>
        <v>4.5182018091325347</v>
      </c>
      <c r="Q45" s="26">
        <f t="shared" si="80"/>
        <v>1.1100727270396606</v>
      </c>
      <c r="R45" s="26">
        <f>LN(M50/M38)/$B$1</f>
        <v>0.38213451438895252</v>
      </c>
      <c r="V45" s="26">
        <f>LN(M53/M39)/$B$1</f>
        <v>0.2096754107039657</v>
      </c>
      <c r="Z45" s="26">
        <f>LN(M56/M40)/$B$1</f>
        <v>7.4703050081301001E-2</v>
      </c>
    </row>
    <row r="46" spans="1:28" x14ac:dyDescent="0.2">
      <c r="A46" s="30"/>
      <c r="B46" s="10"/>
      <c r="Q46" s="10"/>
    </row>
    <row r="47" spans="1:28" x14ac:dyDescent="0.2">
      <c r="A47" s="5" t="s">
        <v>40</v>
      </c>
      <c r="B47" s="5"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150</v>
      </c>
      <c r="B48" s="10">
        <v>5</v>
      </c>
      <c r="C48" s="31">
        <f>1-0.295-0.025</f>
        <v>0.68</v>
      </c>
      <c r="D48" s="12">
        <f t="shared" ref="D48:G65" si="82">H48/$C48</f>
        <v>5269.1176470588234</v>
      </c>
      <c r="E48" s="12">
        <f t="shared" si="82"/>
        <v>13535.294117647058</v>
      </c>
      <c r="F48" s="12">
        <f t="shared" si="82"/>
        <v>594.11764705882354</v>
      </c>
      <c r="G48" s="12">
        <f>K48/$C48</f>
        <v>86.764705882352942</v>
      </c>
      <c r="H48" s="5">
        <v>3583</v>
      </c>
      <c r="I48" s="5">
        <v>9204</v>
      </c>
      <c r="J48" s="5">
        <v>404</v>
      </c>
      <c r="K48" s="5">
        <v>59</v>
      </c>
      <c r="L48" s="26">
        <f>W14*D48*1000/1000000</f>
        <v>0.71809802336807615</v>
      </c>
      <c r="M48" s="26">
        <f>X14*E48*1000/1000000</f>
        <v>2.5802040716684607</v>
      </c>
      <c r="N48" s="26">
        <f>Y14*F48*1000/1000000</f>
        <v>2.2615946073439419</v>
      </c>
      <c r="O48" s="26">
        <f>Z14*G48*1000/1000000</f>
        <v>21.594475045284266</v>
      </c>
      <c r="P48" s="26">
        <f>SUM(L48:O48)</f>
        <v>27.154371747664747</v>
      </c>
      <c r="Q48" s="26">
        <f>SUM(L48:N48)</f>
        <v>5.5598967023804793</v>
      </c>
      <c r="R48" s="26">
        <f>(LN(N48/(N38*0.25)))/$B$1</f>
        <v>0.46582369386252925</v>
      </c>
      <c r="S48" s="26">
        <f>(R48-R49)/(1-0.25)</f>
        <v>1.6127963496151365</v>
      </c>
      <c r="T48" s="26">
        <f>S48+R50</f>
        <v>2.11160078891068</v>
      </c>
      <c r="V48" s="26">
        <f>(LN(N51/(N39*0.25)))/$B$1</f>
        <v>1.8142772282686725</v>
      </c>
      <c r="W48" s="26">
        <f>(V48-V49)/(1-0.25)</f>
        <v>1.8819443143164893</v>
      </c>
      <c r="X48" s="26">
        <f>W48+V50</f>
        <v>2.3852542873167408</v>
      </c>
      <c r="Z48" s="26">
        <f>(LN(N54/(N40*0.25)))/$B$1</f>
        <v>7.8512878078642698E-2</v>
      </c>
      <c r="AA48" s="26">
        <f>(Z48-Z49)/(1-0.25)</f>
        <v>0.60066267960008157</v>
      </c>
      <c r="AB48" s="26">
        <f>AA48+Z50</f>
        <v>0.38280219141455163</v>
      </c>
    </row>
    <row r="49" spans="1:28" x14ac:dyDescent="0.2">
      <c r="A49" s="5" t="s">
        <v>151</v>
      </c>
      <c r="B49" s="10">
        <v>5</v>
      </c>
      <c r="C49" s="31">
        <f t="shared" ref="C49:C51" si="83">1-0.295-0.025</f>
        <v>0.68</v>
      </c>
      <c r="D49" s="12">
        <f t="shared" si="82"/>
        <v>5116.1764705882351</v>
      </c>
      <c r="E49" s="12">
        <f t="shared" si="82"/>
        <v>13202.941176470587</v>
      </c>
      <c r="F49" s="12">
        <f t="shared" si="82"/>
        <v>536.76470588235293</v>
      </c>
      <c r="G49" s="12">
        <f t="shared" si="82"/>
        <v>95.588235294117638</v>
      </c>
      <c r="H49" s="5">
        <v>3479</v>
      </c>
      <c r="I49" s="5">
        <v>8978</v>
      </c>
      <c r="J49" s="5">
        <v>365</v>
      </c>
      <c r="K49" s="5">
        <v>65</v>
      </c>
      <c r="L49" s="26">
        <f t="shared" ref="L49:O64" si="84">W15*D49*1000/1000000</f>
        <v>0.65456470534359878</v>
      </c>
      <c r="M49" s="26">
        <f t="shared" si="84"/>
        <v>2.3027035685451587</v>
      </c>
      <c r="N49" s="26">
        <f t="shared" si="84"/>
        <v>2.3200009243007198</v>
      </c>
      <c r="O49" s="26">
        <f t="shared" si="84"/>
        <v>11.527788952136451</v>
      </c>
      <c r="P49" s="26">
        <f t="shared" ref="P49:P65" si="85">SUM(L49:O49)</f>
        <v>16.805058150325927</v>
      </c>
      <c r="Q49" s="26">
        <f t="shared" ref="Q49:Q65" si="86">SUM(L49:N49)</f>
        <v>5.2772691981894777</v>
      </c>
      <c r="R49" s="26">
        <f>(LN(N49/N38))/$B$1</f>
        <v>-0.74377356834882313</v>
      </c>
      <c r="V49" s="26">
        <f>(LN(N52/N39))/$B$1</f>
        <v>0.40281899253130549</v>
      </c>
      <c r="Z49" s="26">
        <f>(LN(N55/N40))/$B$1</f>
        <v>-0.37198413162141847</v>
      </c>
    </row>
    <row r="50" spans="1:28" x14ac:dyDescent="0.2">
      <c r="A50" s="5" t="s">
        <v>152</v>
      </c>
      <c r="B50" s="10">
        <v>5</v>
      </c>
      <c r="C50" s="31">
        <f t="shared" si="83"/>
        <v>0.68</v>
      </c>
      <c r="D50" s="12">
        <f t="shared" si="82"/>
        <v>17992.647058823528</v>
      </c>
      <c r="E50" s="12">
        <f t="shared" si="82"/>
        <v>37807.352941176468</v>
      </c>
      <c r="F50" s="12">
        <f t="shared" si="82"/>
        <v>1801.4705882352939</v>
      </c>
      <c r="G50" s="12">
        <f t="shared" si="82"/>
        <v>251.47058823529409</v>
      </c>
      <c r="H50" s="5">
        <v>12235</v>
      </c>
      <c r="I50" s="5">
        <v>25709</v>
      </c>
      <c r="J50" s="5">
        <v>1225</v>
      </c>
      <c r="K50" s="5">
        <v>171</v>
      </c>
      <c r="L50" s="26">
        <f t="shared" si="84"/>
        <v>2.3812235031015589</v>
      </c>
      <c r="M50" s="26">
        <f t="shared" si="84"/>
        <v>7.1097883682303653</v>
      </c>
      <c r="N50" s="26">
        <f t="shared" si="84"/>
        <v>9.3883338872916458</v>
      </c>
      <c r="O50" s="26">
        <f t="shared" si="84"/>
        <v>46.883733935903585</v>
      </c>
      <c r="P50" s="26">
        <f t="shared" si="85"/>
        <v>65.763079694527164</v>
      </c>
      <c r="Q50" s="26">
        <f t="shared" si="86"/>
        <v>18.879345758623572</v>
      </c>
      <c r="R50" s="26">
        <f>LN(N50/N38)/$B$1</f>
        <v>0.49880443929554347</v>
      </c>
      <c r="V50" s="26">
        <f>LN(N53/N39)/$B$1</f>
        <v>0.50330997300025138</v>
      </c>
      <c r="Z50" s="26">
        <f>LN(N56/N40)/$B$1</f>
        <v>-0.21786048818552992</v>
      </c>
    </row>
    <row r="51" spans="1:28" x14ac:dyDescent="0.2">
      <c r="A51" s="5" t="s">
        <v>153</v>
      </c>
      <c r="B51" s="10">
        <v>12</v>
      </c>
      <c r="C51" s="31">
        <f t="shared" si="83"/>
        <v>0.68</v>
      </c>
      <c r="D51" s="12">
        <f>H51/$C51</f>
        <v>17851.470588235294</v>
      </c>
      <c r="E51" s="12">
        <f t="shared" si="82"/>
        <v>39997.058823529405</v>
      </c>
      <c r="F51" s="12">
        <f t="shared" si="82"/>
        <v>1498.5294117647059</v>
      </c>
      <c r="G51" s="12">
        <f t="shared" si="82"/>
        <v>202.94117647058823</v>
      </c>
      <c r="H51" s="5">
        <v>12139</v>
      </c>
      <c r="I51" s="5">
        <v>27198</v>
      </c>
      <c r="J51" s="5">
        <v>1019</v>
      </c>
      <c r="K51" s="5">
        <v>138</v>
      </c>
      <c r="L51" s="26">
        <f t="shared" si="84"/>
        <v>2.3457320278004796</v>
      </c>
      <c r="M51" s="26">
        <f t="shared" si="84"/>
        <v>7.7011508694143371</v>
      </c>
      <c r="N51" s="26">
        <f t="shared" si="84"/>
        <v>8.4802431201428838</v>
      </c>
      <c r="O51" s="26">
        <f t="shared" si="84"/>
        <v>26.899087729124208</v>
      </c>
      <c r="P51" s="26">
        <f t="shared" si="85"/>
        <v>45.426213746481906</v>
      </c>
      <c r="Q51" s="26">
        <f t="shared" si="86"/>
        <v>18.527126017357702</v>
      </c>
    </row>
    <row r="52" spans="1:28" x14ac:dyDescent="0.2">
      <c r="A52" s="5" t="s">
        <v>154</v>
      </c>
      <c r="B52" s="10">
        <v>12</v>
      </c>
      <c r="C52" s="31">
        <f>1-0.305-0.025</f>
        <v>0.67</v>
      </c>
      <c r="D52" s="12">
        <f t="shared" si="82"/>
        <v>17283.582089552237</v>
      </c>
      <c r="E52" s="12">
        <f t="shared" si="82"/>
        <v>39271.641791044771</v>
      </c>
      <c r="F52" s="12">
        <f t="shared" si="82"/>
        <v>1346.2686567164178</v>
      </c>
      <c r="G52" s="12">
        <f t="shared" si="82"/>
        <v>256.71641791044777</v>
      </c>
      <c r="H52" s="5">
        <v>11580</v>
      </c>
      <c r="I52" s="5">
        <v>26312</v>
      </c>
      <c r="J52" s="5">
        <v>902</v>
      </c>
      <c r="K52" s="5">
        <v>172</v>
      </c>
      <c r="L52" s="26">
        <f t="shared" si="84"/>
        <v>2.315272488929851</v>
      </c>
      <c r="M52" s="26">
        <f t="shared" si="84"/>
        <v>7.3414945610784201</v>
      </c>
      <c r="N52" s="26">
        <f t="shared" si="84"/>
        <v>6.9319625207390994</v>
      </c>
      <c r="O52" s="26">
        <f t="shared" si="84"/>
        <v>33.811636980582527</v>
      </c>
      <c r="P52" s="26">
        <f t="shared" si="85"/>
        <v>50.400366551329896</v>
      </c>
      <c r="Q52" s="26">
        <f t="shared" si="86"/>
        <v>16.588729570747372</v>
      </c>
      <c r="R52" s="6" t="s">
        <v>545</v>
      </c>
      <c r="S52" s="6" t="s">
        <v>546</v>
      </c>
      <c r="T52" s="6" t="s">
        <v>547</v>
      </c>
      <c r="V52" s="6" t="s">
        <v>545</v>
      </c>
      <c r="W52" s="6" t="s">
        <v>546</v>
      </c>
      <c r="X52" s="6" t="s">
        <v>547</v>
      </c>
      <c r="Z52" s="6" t="s">
        <v>545</v>
      </c>
      <c r="AA52" s="6" t="s">
        <v>546</v>
      </c>
      <c r="AB52" s="6" t="s">
        <v>547</v>
      </c>
    </row>
    <row r="53" spans="1:28" x14ac:dyDescent="0.2">
      <c r="A53" s="5" t="s">
        <v>155</v>
      </c>
      <c r="B53" s="10">
        <v>12</v>
      </c>
      <c r="C53" s="31">
        <f>1-0.305-0.025</f>
        <v>0.67</v>
      </c>
      <c r="D53" s="12">
        <f t="shared" si="82"/>
        <v>16997.014925373132</v>
      </c>
      <c r="E53" s="12">
        <f t="shared" si="82"/>
        <v>33043.283582089549</v>
      </c>
      <c r="F53" s="12">
        <f t="shared" si="82"/>
        <v>1535.8208955223879</v>
      </c>
      <c r="G53" s="12">
        <f t="shared" si="82"/>
        <v>217.91044776119401</v>
      </c>
      <c r="H53" s="5">
        <v>11388</v>
      </c>
      <c r="I53" s="5">
        <v>22139</v>
      </c>
      <c r="J53" s="5">
        <v>1029</v>
      </c>
      <c r="K53" s="5">
        <v>146</v>
      </c>
      <c r="L53" s="26">
        <f t="shared" si="84"/>
        <v>2.206320195398729</v>
      </c>
      <c r="M53" s="26">
        <f t="shared" si="84"/>
        <v>5.8831147791409686</v>
      </c>
      <c r="N53" s="26">
        <f t="shared" si="84"/>
        <v>7.7616529316156058</v>
      </c>
      <c r="O53" s="26">
        <f t="shared" si="84"/>
        <v>34.071055557897829</v>
      </c>
      <c r="P53" s="26">
        <f t="shared" si="85"/>
        <v>49.922143464053136</v>
      </c>
      <c r="Q53" s="26">
        <f t="shared" si="86"/>
        <v>15.851087906155303</v>
      </c>
      <c r="R53" s="26">
        <f>(LN(O48/(O38*0.25)))/$B$1</f>
        <v>0.35140503246925126</v>
      </c>
      <c r="S53" s="26">
        <f>(R53-R54)/(1-0.25)</f>
        <v>2.3869289564857405</v>
      </c>
      <c r="T53" s="26">
        <f>S53+R55</f>
        <v>2.1951685958433869</v>
      </c>
      <c r="V53" s="26">
        <f>(LN(O51/(O39*0.25)))/$B$1</f>
        <v>0.6635542504414329</v>
      </c>
      <c r="W53" s="26">
        <f>(V53-V54)/(1-0.25)</f>
        <v>1.3719486828276366</v>
      </c>
      <c r="X53" s="26">
        <f>W53+V55</f>
        <v>1.0133353594821997</v>
      </c>
      <c r="Z53" s="26">
        <f>(LN(O54/(O40*0.25)))/$B$1</f>
        <v>-0.54666120513356198</v>
      </c>
      <c r="AA53" s="26">
        <f>(Z53-Z54)/(1-0.25)</f>
        <v>-1.8361345336740758E-2</v>
      </c>
      <c r="AB53" s="26">
        <f>AA53+Z55</f>
        <v>-0.78657272060106254</v>
      </c>
    </row>
    <row r="54" spans="1:28" x14ac:dyDescent="0.2">
      <c r="A54" s="5" t="s">
        <v>156</v>
      </c>
      <c r="B54" s="10">
        <v>20</v>
      </c>
      <c r="C54" s="31">
        <f t="shared" ref="C54:C56" si="87">1-0.305-0.025</f>
        <v>0.67</v>
      </c>
      <c r="D54" s="12">
        <f t="shared" si="82"/>
        <v>6625.373134328358</v>
      </c>
      <c r="E54" s="12">
        <f t="shared" si="82"/>
        <v>13125.373134328358</v>
      </c>
      <c r="F54" s="12">
        <f t="shared" si="82"/>
        <v>446.26865671641787</v>
      </c>
      <c r="G54" s="12">
        <f t="shared" si="82"/>
        <v>64.179104477611943</v>
      </c>
      <c r="H54" s="5">
        <v>4439</v>
      </c>
      <c r="I54" s="5">
        <v>8794</v>
      </c>
      <c r="J54" s="5">
        <v>299</v>
      </c>
      <c r="K54" s="5">
        <v>43</v>
      </c>
      <c r="L54" s="26">
        <f t="shared" si="84"/>
        <v>0.85154485300599125</v>
      </c>
      <c r="M54" s="26">
        <f t="shared" si="84"/>
        <v>2.1072755432274008</v>
      </c>
      <c r="N54" s="26">
        <f t="shared" si="84"/>
        <v>1.6920165279117114</v>
      </c>
      <c r="O54" s="26">
        <f t="shared" si="84"/>
        <v>7.431478162449741</v>
      </c>
      <c r="P54" s="26">
        <f t="shared" si="85"/>
        <v>12.082315086594845</v>
      </c>
      <c r="Q54" s="26">
        <f t="shared" si="86"/>
        <v>4.6508369241451035</v>
      </c>
      <c r="R54" s="26">
        <f>(LN(O49/O38))/$B$1</f>
        <v>-1.4387916848950542</v>
      </c>
      <c r="V54" s="26">
        <f>(LN(O52/O39))/$B$1</f>
        <v>-0.36540726167929438</v>
      </c>
      <c r="Z54" s="26">
        <f>(LN(O55/O40))/$B$1</f>
        <v>-0.53289019613100641</v>
      </c>
    </row>
    <row r="55" spans="1:28" x14ac:dyDescent="0.2">
      <c r="A55" s="5" t="s">
        <v>157</v>
      </c>
      <c r="B55" s="10">
        <v>20</v>
      </c>
      <c r="C55" s="31">
        <f t="shared" si="87"/>
        <v>0.67</v>
      </c>
      <c r="D55" s="12">
        <f t="shared" si="82"/>
        <v>20961.194029850743</v>
      </c>
      <c r="E55" s="12">
        <f t="shared" si="82"/>
        <v>40450.746268656716</v>
      </c>
      <c r="F55" s="12">
        <f t="shared" si="82"/>
        <v>1573.1343283582089</v>
      </c>
      <c r="G55" s="12">
        <f t="shared" si="82"/>
        <v>286.56716417910445</v>
      </c>
      <c r="H55" s="5">
        <v>14044</v>
      </c>
      <c r="I55" s="5">
        <v>27102</v>
      </c>
      <c r="J55" s="5">
        <v>1054</v>
      </c>
      <c r="K55" s="5">
        <v>192</v>
      </c>
      <c r="L55" s="26">
        <f t="shared" si="84"/>
        <v>2.7217803008464974</v>
      </c>
      <c r="M55" s="26">
        <f t="shared" si="84"/>
        <v>6.4369633544077809</v>
      </c>
      <c r="N55" s="26">
        <f t="shared" si="84"/>
        <v>4.0771827791702195</v>
      </c>
      <c r="O55" s="26">
        <f t="shared" si="84"/>
        <v>30.190023748059229</v>
      </c>
      <c r="P55" s="26">
        <f t="shared" si="85"/>
        <v>43.425950182483732</v>
      </c>
      <c r="Q55" s="26">
        <f t="shared" si="86"/>
        <v>13.235926434424499</v>
      </c>
      <c r="R55" s="26">
        <f>LN(O50/O38)/$B$1</f>
        <v>-0.19176036064235372</v>
      </c>
      <c r="V55" s="26">
        <f>LN(O53/O39)/$B$1</f>
        <v>-0.35861332334543689</v>
      </c>
      <c r="Z55" s="26">
        <f>LN(O56/O40)/$B$1</f>
        <v>-0.76821137526432182</v>
      </c>
    </row>
    <row r="56" spans="1:28" x14ac:dyDescent="0.2">
      <c r="A56" s="5" t="s">
        <v>158</v>
      </c>
      <c r="B56" s="10">
        <v>20</v>
      </c>
      <c r="C56" s="31">
        <f t="shared" si="87"/>
        <v>0.67</v>
      </c>
      <c r="D56" s="12">
        <f t="shared" si="82"/>
        <v>22183.582089552237</v>
      </c>
      <c r="E56" s="12">
        <f t="shared" si="82"/>
        <v>35319.402985074623</v>
      </c>
      <c r="F56" s="12">
        <f t="shared" si="82"/>
        <v>1314.9253731343283</v>
      </c>
      <c r="G56" s="12">
        <f t="shared" si="82"/>
        <v>253.73134328358208</v>
      </c>
      <c r="H56" s="5">
        <v>14863</v>
      </c>
      <c r="I56" s="5">
        <v>23664</v>
      </c>
      <c r="J56" s="5">
        <v>881</v>
      </c>
      <c r="K56" s="5">
        <v>170</v>
      </c>
      <c r="L56" s="26">
        <f t="shared" si="84"/>
        <v>2.8023180743610996</v>
      </c>
      <c r="M56" s="26">
        <f t="shared" si="84"/>
        <v>5.7981766768818295</v>
      </c>
      <c r="N56" s="26">
        <f t="shared" si="84"/>
        <v>4.8491108268835461</v>
      </c>
      <c r="O56" s="26">
        <f t="shared" si="84"/>
        <v>23.168073850670812</v>
      </c>
      <c r="P56" s="26">
        <f t="shared" si="85"/>
        <v>36.617679428797288</v>
      </c>
      <c r="Q56" s="26">
        <f t="shared" si="86"/>
        <v>13.449605578126475</v>
      </c>
    </row>
    <row r="57" spans="1:28" x14ac:dyDescent="0.2">
      <c r="A57" s="5" t="s">
        <v>159</v>
      </c>
      <c r="B57" s="10">
        <v>30</v>
      </c>
      <c r="C57" s="31">
        <f>1-0.3-0.025</f>
        <v>0.67499999999999993</v>
      </c>
      <c r="D57" s="12">
        <f t="shared" si="82"/>
        <v>39351.111111111117</v>
      </c>
      <c r="E57" s="12">
        <f t="shared" si="82"/>
        <v>15952.592592592595</v>
      </c>
      <c r="F57" s="12">
        <f t="shared" si="82"/>
        <v>819.25925925925935</v>
      </c>
      <c r="G57" s="12">
        <f t="shared" si="82"/>
        <v>148.14814814814815</v>
      </c>
      <c r="H57" s="5">
        <v>26562</v>
      </c>
      <c r="I57" s="5">
        <v>10768</v>
      </c>
      <c r="J57" s="5">
        <v>553</v>
      </c>
      <c r="K57" s="5">
        <v>100</v>
      </c>
      <c r="L57" s="26">
        <f t="shared" si="84"/>
        <v>6.239173046398319</v>
      </c>
      <c r="M57" s="26">
        <f t="shared" si="84"/>
        <v>2.1155853269558671</v>
      </c>
      <c r="N57" s="26">
        <f t="shared" si="84"/>
        <v>2.3783055354878515</v>
      </c>
      <c r="O57" s="26">
        <f t="shared" si="84"/>
        <v>11.904269152703785</v>
      </c>
      <c r="P57" s="26">
        <f t="shared" si="85"/>
        <v>22.637333061545824</v>
      </c>
      <c r="Q57" s="26">
        <f t="shared" si="86"/>
        <v>10.733063908842038</v>
      </c>
      <c r="R57" s="4"/>
      <c r="S57" s="4"/>
      <c r="T57" s="4"/>
      <c r="V57" s="4"/>
      <c r="W57" s="4"/>
      <c r="X57" s="4"/>
      <c r="Z57" s="4"/>
      <c r="AA57" s="4"/>
      <c r="AB57" s="4"/>
    </row>
    <row r="58" spans="1:28" x14ac:dyDescent="0.2">
      <c r="A58" s="5" t="s">
        <v>160</v>
      </c>
      <c r="B58" s="10">
        <v>30</v>
      </c>
      <c r="C58" s="31">
        <f>1-0.3-0.025</f>
        <v>0.67499999999999993</v>
      </c>
      <c r="D58" s="12">
        <f t="shared" si="82"/>
        <v>131711.11111111112</v>
      </c>
      <c r="E58" s="12">
        <f t="shared" si="82"/>
        <v>39521.481481481482</v>
      </c>
      <c r="F58" s="12">
        <f t="shared" si="82"/>
        <v>2623.7037037037039</v>
      </c>
      <c r="G58" s="12">
        <f t="shared" si="82"/>
        <v>336.2962962962963</v>
      </c>
      <c r="H58" s="5">
        <v>88905</v>
      </c>
      <c r="I58" s="5">
        <v>26677</v>
      </c>
      <c r="J58" s="5">
        <v>1771</v>
      </c>
      <c r="K58" s="5">
        <v>227</v>
      </c>
      <c r="L58" s="26">
        <f t="shared" si="84"/>
        <v>16.309936839085267</v>
      </c>
      <c r="M58" s="26">
        <f t="shared" si="84"/>
        <v>5.1892417183438404</v>
      </c>
      <c r="N58" s="26">
        <f t="shared" si="84"/>
        <v>6.1372131598677555</v>
      </c>
      <c r="O58" s="26">
        <f t="shared" si="84"/>
        <v>33.284578353503314</v>
      </c>
      <c r="P58" s="26">
        <f t="shared" si="85"/>
        <v>60.92097007080018</v>
      </c>
      <c r="Q58" s="26">
        <f t="shared" si="86"/>
        <v>27.636391717296863</v>
      </c>
      <c r="R58" s="6" t="s">
        <v>548</v>
      </c>
      <c r="S58" s="6" t="s">
        <v>549</v>
      </c>
      <c r="T58" s="6" t="s">
        <v>550</v>
      </c>
      <c r="V58" s="6" t="s">
        <v>548</v>
      </c>
      <c r="W58" s="6" t="s">
        <v>549</v>
      </c>
      <c r="X58" s="6" t="s">
        <v>550</v>
      </c>
      <c r="Z58" s="6" t="s">
        <v>548</v>
      </c>
      <c r="AA58" s="6" t="s">
        <v>549</v>
      </c>
      <c r="AB58" s="6" t="s">
        <v>550</v>
      </c>
    </row>
    <row r="59" spans="1:28" x14ac:dyDescent="0.2">
      <c r="A59" s="5" t="s">
        <v>161</v>
      </c>
      <c r="B59" s="10">
        <v>30</v>
      </c>
      <c r="C59" s="31">
        <f>1-0.3-0.025</f>
        <v>0.67499999999999993</v>
      </c>
      <c r="D59" s="12">
        <f t="shared" si="82"/>
        <v>128591.11111111112</v>
      </c>
      <c r="E59" s="12">
        <f t="shared" si="82"/>
        <v>46379.259259259263</v>
      </c>
      <c r="F59" s="12">
        <f t="shared" si="82"/>
        <v>2454.8148148148152</v>
      </c>
      <c r="G59" s="12">
        <f t="shared" si="82"/>
        <v>317.03703703703707</v>
      </c>
      <c r="H59" s="5">
        <v>86799</v>
      </c>
      <c r="I59" s="5">
        <v>31306</v>
      </c>
      <c r="J59" s="5">
        <v>1657</v>
      </c>
      <c r="K59" s="5">
        <v>214</v>
      </c>
      <c r="L59" s="26">
        <f t="shared" si="84"/>
        <v>16.168168464087955</v>
      </c>
      <c r="M59" s="26">
        <f t="shared" si="84"/>
        <v>6.0283700856780325</v>
      </c>
      <c r="N59" s="26">
        <f t="shared" si="84"/>
        <v>4.9718757180758786</v>
      </c>
      <c r="O59" s="26">
        <f t="shared" si="84"/>
        <v>32.905816434690841</v>
      </c>
      <c r="P59" s="26">
        <f t="shared" si="85"/>
        <v>60.074230702532709</v>
      </c>
      <c r="Q59" s="26">
        <f t="shared" si="86"/>
        <v>27.168414267841868</v>
      </c>
      <c r="R59" s="26">
        <f>(LN(Q48/(Q38*0.25)))/$B$1</f>
        <v>0.52867795656400007</v>
      </c>
      <c r="S59" s="26">
        <f>(R59-R60)/(1-0.25)</f>
        <v>1.7048475542380335</v>
      </c>
      <c r="T59" s="26">
        <f>S59+R61</f>
        <v>2.0879207259135124</v>
      </c>
      <c r="V59" s="26">
        <f>(LN(Q51/(Q39*0.25)))/$B$1</f>
        <v>1.6984425539220152</v>
      </c>
      <c r="W59" s="26">
        <f>(V59-V60)/(1-0.25)</f>
        <v>1.773993205606673</v>
      </c>
      <c r="X59" s="26">
        <f>W59+V61</f>
        <v>2.1015093996117487</v>
      </c>
      <c r="Z59" s="26">
        <f>(LN(Q54/(Q40*0.25)))/$B$1</f>
        <v>0.24647389305572207</v>
      </c>
      <c r="AA59" s="26">
        <f>(Z59-Z60)/(1-0.25)</f>
        <v>0.40344499692887065</v>
      </c>
      <c r="AB59" s="26">
        <f>AA59+Z61</f>
        <v>0.36157065208267958</v>
      </c>
    </row>
    <row r="60" spans="1:28" x14ac:dyDescent="0.2">
      <c r="A60" s="5" t="s">
        <v>162</v>
      </c>
      <c r="B60" s="10">
        <v>40</v>
      </c>
      <c r="C60" s="31">
        <f>1-0.28-0.025</f>
        <v>0.69499999999999995</v>
      </c>
      <c r="D60" s="12">
        <f t="shared" si="82"/>
        <v>13876.258992805757</v>
      </c>
      <c r="E60" s="12">
        <f t="shared" si="82"/>
        <v>5530.9352517985617</v>
      </c>
      <c r="F60" s="12">
        <f t="shared" si="82"/>
        <v>765.46762589928062</v>
      </c>
      <c r="G60" s="12">
        <f t="shared" si="82"/>
        <v>77.697841726618705</v>
      </c>
      <c r="H60" s="5">
        <v>9644</v>
      </c>
      <c r="I60" s="5">
        <v>3844</v>
      </c>
      <c r="J60" s="5">
        <v>532</v>
      </c>
      <c r="K60" s="5">
        <v>54</v>
      </c>
      <c r="L60" s="26">
        <f t="shared" si="84"/>
        <v>1.7519382721528585</v>
      </c>
      <c r="M60" s="26">
        <f t="shared" si="84"/>
        <v>0.81054659929080786</v>
      </c>
      <c r="N60" s="26">
        <f t="shared" si="84"/>
        <v>1.1767942897371932</v>
      </c>
      <c r="O60" s="26">
        <f t="shared" si="84"/>
        <v>8.6624217760729003</v>
      </c>
      <c r="P60" s="26">
        <f t="shared" si="85"/>
        <v>12.401700937253761</v>
      </c>
      <c r="Q60" s="26">
        <f t="shared" si="86"/>
        <v>3.7392791611808596</v>
      </c>
      <c r="R60" s="26">
        <f>(LN(Q49/Q38))/$B$1</f>
        <v>-0.74995770911452497</v>
      </c>
      <c r="S60" s="10"/>
      <c r="T60" s="10"/>
      <c r="V60" s="26">
        <f>(LN(Q52/Q39))/$B$1</f>
        <v>0.36794764971701049</v>
      </c>
      <c r="W60" s="10"/>
      <c r="X60" s="10"/>
      <c r="Z60" s="26">
        <f>(LN(Q55/Q40))/$B$1</f>
        <v>-5.6109854640930906E-2</v>
      </c>
      <c r="AA60" s="10"/>
      <c r="AB60" s="10"/>
    </row>
    <row r="61" spans="1:28" x14ac:dyDescent="0.2">
      <c r="A61" s="5" t="s">
        <v>163</v>
      </c>
      <c r="B61" s="10">
        <v>40</v>
      </c>
      <c r="C61" s="31">
        <f>1-0.28-0.025</f>
        <v>0.69499999999999995</v>
      </c>
      <c r="D61" s="12">
        <f t="shared" si="82"/>
        <v>42610.071942446048</v>
      </c>
      <c r="E61" s="12">
        <f t="shared" si="82"/>
        <v>16189.928057553958</v>
      </c>
      <c r="F61" s="12">
        <f t="shared" si="82"/>
        <v>2119.424460431655</v>
      </c>
      <c r="G61" s="12">
        <f t="shared" si="82"/>
        <v>197.12230215827338</v>
      </c>
      <c r="H61" s="5">
        <v>29614</v>
      </c>
      <c r="I61" s="5">
        <v>11252</v>
      </c>
      <c r="J61" s="5">
        <v>1473</v>
      </c>
      <c r="K61" s="5">
        <v>137</v>
      </c>
      <c r="L61" s="26">
        <f t="shared" si="84"/>
        <v>5.4211846917370323</v>
      </c>
      <c r="M61" s="26">
        <f t="shared" si="84"/>
        <v>2.3569602688955102</v>
      </c>
      <c r="N61" s="26">
        <f t="shared" si="84"/>
        <v>2.6885562341766249</v>
      </c>
      <c r="O61" s="26">
        <f t="shared" si="84"/>
        <v>14.864524230922488</v>
      </c>
      <c r="P61" s="26">
        <f t="shared" si="85"/>
        <v>25.331225425731656</v>
      </c>
      <c r="Q61" s="26">
        <f t="shared" si="86"/>
        <v>10.466701194809168</v>
      </c>
      <c r="R61" s="26">
        <f>LN(Q50/Q38)/$B$1</f>
        <v>0.38307317167547889</v>
      </c>
      <c r="S61" s="10"/>
      <c r="T61" s="10"/>
      <c r="V61" s="26">
        <f>LN(Q53/Q39)/$B$1</f>
        <v>0.32751619400507576</v>
      </c>
      <c r="W61" s="10"/>
      <c r="X61" s="10"/>
      <c r="Z61" s="26">
        <f>LN(Q56/Q40)/$B$1</f>
        <v>-4.1874344846191063E-2</v>
      </c>
      <c r="AA61" s="10"/>
      <c r="AB61" s="10"/>
    </row>
    <row r="62" spans="1:28" x14ac:dyDescent="0.2">
      <c r="A62" s="5" t="s">
        <v>164</v>
      </c>
      <c r="B62" s="10">
        <v>40</v>
      </c>
      <c r="C62" s="31">
        <f>1-0.25-0.025</f>
        <v>0.72499999999999998</v>
      </c>
      <c r="D62" s="12">
        <f t="shared" si="82"/>
        <v>45270.34482758621</v>
      </c>
      <c r="E62" s="12">
        <f t="shared" si="82"/>
        <v>16388.96551724138</v>
      </c>
      <c r="F62" s="12">
        <f t="shared" si="82"/>
        <v>2295.1724137931037</v>
      </c>
      <c r="G62" s="12">
        <f t="shared" si="82"/>
        <v>155.86206896551724</v>
      </c>
      <c r="H62" s="5">
        <v>32821</v>
      </c>
      <c r="I62" s="5">
        <v>11882</v>
      </c>
      <c r="J62" s="5">
        <v>1664</v>
      </c>
      <c r="K62" s="5">
        <v>113</v>
      </c>
      <c r="L62" s="26">
        <f t="shared" si="84"/>
        <v>5.8764539055232117</v>
      </c>
      <c r="M62" s="26">
        <f t="shared" si="84"/>
        <v>2.3361175857198329</v>
      </c>
      <c r="N62" s="26">
        <f t="shared" si="84"/>
        <v>2.9801025201879532</v>
      </c>
      <c r="O62" s="26">
        <f t="shared" si="84"/>
        <v>10.347277096104415</v>
      </c>
      <c r="P62" s="26">
        <f t="shared" si="85"/>
        <v>21.539951107535416</v>
      </c>
      <c r="Q62" s="26">
        <f t="shared" si="86"/>
        <v>11.192674011430999</v>
      </c>
    </row>
    <row r="63" spans="1:28" x14ac:dyDescent="0.2">
      <c r="A63" s="5" t="s">
        <v>165</v>
      </c>
      <c r="B63" s="10">
        <v>50</v>
      </c>
      <c r="C63" s="31">
        <f>1-0.27-0.025</f>
        <v>0.70499999999999996</v>
      </c>
      <c r="D63" s="12">
        <f t="shared" si="82"/>
        <v>11197.163120567377</v>
      </c>
      <c r="E63" s="12">
        <f t="shared" si="82"/>
        <v>4739.0070921985816</v>
      </c>
      <c r="F63" s="12">
        <f t="shared" si="82"/>
        <v>449.64539007092202</v>
      </c>
      <c r="G63" s="12">
        <f t="shared" si="82"/>
        <v>62.411347517730498</v>
      </c>
      <c r="H63" s="5">
        <v>7894</v>
      </c>
      <c r="I63" s="5">
        <v>3341</v>
      </c>
      <c r="J63" s="5">
        <v>317</v>
      </c>
      <c r="K63" s="5">
        <v>44</v>
      </c>
      <c r="L63" s="26">
        <f t="shared" si="84"/>
        <v>1.5800356504153323</v>
      </c>
      <c r="M63" s="26">
        <f t="shared" si="84"/>
        <v>0.70845380183833573</v>
      </c>
      <c r="N63" s="26">
        <f t="shared" si="84"/>
        <v>0.85113025775336359</v>
      </c>
      <c r="O63" s="26">
        <f t="shared" si="84"/>
        <v>18.420056431222761</v>
      </c>
      <c r="P63" s="26">
        <f t="shared" si="85"/>
        <v>21.559676141229794</v>
      </c>
      <c r="Q63" s="26">
        <f t="shared" si="86"/>
        <v>3.1396197100070315</v>
      </c>
    </row>
    <row r="64" spans="1:28" x14ac:dyDescent="0.2">
      <c r="A64" s="5" t="s">
        <v>166</v>
      </c>
      <c r="B64" s="10">
        <v>50</v>
      </c>
      <c r="C64" s="31">
        <f>1-0.285-0.025</f>
        <v>0.69000000000000006</v>
      </c>
      <c r="D64" s="12">
        <f t="shared" si="82"/>
        <v>41724.637681159416</v>
      </c>
      <c r="E64" s="12">
        <f t="shared" si="82"/>
        <v>17121.73913043478</v>
      </c>
      <c r="F64" s="12">
        <f t="shared" si="82"/>
        <v>1589.855072463768</v>
      </c>
      <c r="G64" s="12">
        <f t="shared" si="82"/>
        <v>188.40579710144925</v>
      </c>
      <c r="H64" s="5">
        <v>28790</v>
      </c>
      <c r="I64" s="5">
        <v>11814</v>
      </c>
      <c r="J64" s="5">
        <v>1097</v>
      </c>
      <c r="K64" s="5">
        <v>130</v>
      </c>
      <c r="L64" s="26">
        <f t="shared" si="84"/>
        <v>5.5871879442543086</v>
      </c>
      <c r="M64" s="26">
        <f t="shared" si="84"/>
        <v>2.5097185986450956</v>
      </c>
      <c r="N64" s="26">
        <f t="shared" si="84"/>
        <v>2.4199469752261731</v>
      </c>
      <c r="O64" s="26">
        <f t="shared" si="84"/>
        <v>14.799190552502427</v>
      </c>
      <c r="P64" s="26">
        <f t="shared" si="85"/>
        <v>25.316044070628003</v>
      </c>
      <c r="Q64" s="26">
        <f t="shared" si="86"/>
        <v>10.516853518125577</v>
      </c>
      <c r="R64" s="6" t="s">
        <v>555</v>
      </c>
      <c r="S64" s="6" t="s">
        <v>555</v>
      </c>
      <c r="T64" s="6" t="s">
        <v>555</v>
      </c>
      <c r="V64" s="6" t="s">
        <v>556</v>
      </c>
      <c r="W64" s="6" t="s">
        <v>556</v>
      </c>
      <c r="X64" s="6" t="s">
        <v>556</v>
      </c>
      <c r="Z64" s="6" t="s">
        <v>558</v>
      </c>
      <c r="AA64" s="6" t="s">
        <v>557</v>
      </c>
      <c r="AB64" s="6" t="s">
        <v>557</v>
      </c>
    </row>
    <row r="65" spans="1:28" x14ac:dyDescent="0.2">
      <c r="A65" s="5" t="s">
        <v>167</v>
      </c>
      <c r="B65" s="10">
        <v>50</v>
      </c>
      <c r="C65" s="31">
        <f>1-0.265-0.025</f>
        <v>0.71</v>
      </c>
      <c r="D65" s="12">
        <f t="shared" si="82"/>
        <v>39543.661971830988</v>
      </c>
      <c r="E65" s="12">
        <f t="shared" si="82"/>
        <v>15766.197183098593</v>
      </c>
      <c r="F65" s="12">
        <f t="shared" si="82"/>
        <v>1546.4788732394368</v>
      </c>
      <c r="G65" s="12">
        <f t="shared" si="82"/>
        <v>249.29577464788733</v>
      </c>
      <c r="H65" s="5">
        <v>28076</v>
      </c>
      <c r="I65" s="5">
        <v>11194</v>
      </c>
      <c r="J65" s="5">
        <v>1098</v>
      </c>
      <c r="K65" s="5">
        <v>177</v>
      </c>
      <c r="L65" s="26">
        <f>W31*D65*1000/1000000</f>
        <v>5.0350703722668841</v>
      </c>
      <c r="M65" s="26">
        <f t="shared" ref="M65:O65" si="88">X31*E65*1000/1000000</f>
        <v>2.1322995570910015</v>
      </c>
      <c r="N65" s="26">
        <f t="shared" si="88"/>
        <v>1.9265167717331209</v>
      </c>
      <c r="O65" s="26">
        <f t="shared" si="88"/>
        <v>10.689212429157196</v>
      </c>
      <c r="P65" s="26">
        <f t="shared" si="85"/>
        <v>19.783099130248203</v>
      </c>
      <c r="Q65" s="26">
        <f t="shared" si="86"/>
        <v>9.0938867010910069</v>
      </c>
      <c r="R65" s="6" t="s">
        <v>534</v>
      </c>
      <c r="S65" s="6" t="s">
        <v>529</v>
      </c>
      <c r="T65" s="6" t="s">
        <v>531</v>
      </c>
      <c r="V65" s="6" t="s">
        <v>534</v>
      </c>
      <c r="W65" s="6" t="s">
        <v>529</v>
      </c>
      <c r="X65" s="6" t="s">
        <v>531</v>
      </c>
      <c r="Z65" s="6" t="s">
        <v>534</v>
      </c>
      <c r="AA65" s="6" t="s">
        <v>529</v>
      </c>
      <c r="AB65" s="6" t="s">
        <v>531</v>
      </c>
    </row>
    <row r="66" spans="1:28" x14ac:dyDescent="0.2">
      <c r="M66" s="12"/>
      <c r="N66" s="12"/>
      <c r="R66" s="26">
        <f>(LN(L57/(L41*0.25)))/$B$1</f>
        <v>0.43044179361739648</v>
      </c>
      <c r="S66" s="26">
        <f>(R66-R67)/(1-0.25)</f>
        <v>0.50413921896882596</v>
      </c>
      <c r="T66" s="26">
        <f>S66+R68</f>
        <v>0.54871646995806811</v>
      </c>
      <c r="V66" s="26">
        <f>(LN(L60/(L42*0.25)))/$B$1</f>
        <v>1.9903106077664087E-2</v>
      </c>
      <c r="W66" s="26">
        <f>(V66-V67)/(1-0.25)</f>
        <v>0.30424029729869112</v>
      </c>
      <c r="X66" s="26">
        <f>W66+V68</f>
        <v>0.16764241001668539</v>
      </c>
      <c r="Z66" s="26">
        <f>(LN(L63/(L43*0.25)))/$B$1</f>
        <v>-0.10625734313354454</v>
      </c>
      <c r="AA66" s="26">
        <f>(Z66-Z67)/(1-0.25)</f>
        <v>0.14609263642213152</v>
      </c>
      <c r="AB66" s="26">
        <f>AA66+Z68</f>
        <v>-0.16222183450546604</v>
      </c>
    </row>
    <row r="67" spans="1:28" x14ac:dyDescent="0.2">
      <c r="M67" s="12"/>
      <c r="N67" s="12"/>
      <c r="R67" s="26">
        <f>(LN(L58/L41))/$B$1</f>
        <v>5.2337379390777039E-2</v>
      </c>
      <c r="V67" s="26">
        <f>(LN(L61/L42))/$B$1</f>
        <v>-0.20827711689635428</v>
      </c>
      <c r="Z67" s="26">
        <f>(LN(L64/L43))/$B$1</f>
        <v>-0.21582682045014318</v>
      </c>
    </row>
    <row r="68" spans="1:28" x14ac:dyDescent="0.2">
      <c r="M68" s="12"/>
      <c r="N68" s="12"/>
      <c r="R68" s="26">
        <f>LN(L59/L41)/$B$1</f>
        <v>4.4577250989242173E-2</v>
      </c>
      <c r="V68" s="26">
        <f>LN(L62/L42)/$B$1</f>
        <v>-0.13659788728200573</v>
      </c>
      <c r="Z68" s="26">
        <f>LN(L65/L43)/$B$1</f>
        <v>-0.30831447092759756</v>
      </c>
    </row>
    <row r="69" spans="1:28" x14ac:dyDescent="0.2">
      <c r="M69" s="12"/>
      <c r="N69" s="12"/>
      <c r="R69" s="5" t="s">
        <v>535</v>
      </c>
      <c r="V69" s="5" t="s">
        <v>535</v>
      </c>
      <c r="Z69" s="5" t="s">
        <v>535</v>
      </c>
    </row>
    <row r="70" spans="1:28" x14ac:dyDescent="0.2">
      <c r="M70" s="12"/>
      <c r="N70" s="12"/>
      <c r="R70" s="6" t="s">
        <v>539</v>
      </c>
      <c r="S70" s="6" t="s">
        <v>540</v>
      </c>
      <c r="T70" s="6" t="s">
        <v>541</v>
      </c>
      <c r="V70" s="6" t="s">
        <v>539</v>
      </c>
      <c r="W70" s="6" t="s">
        <v>540</v>
      </c>
      <c r="X70" s="6" t="s">
        <v>541</v>
      </c>
      <c r="Z70" s="6" t="s">
        <v>539</v>
      </c>
      <c r="AA70" s="6" t="s">
        <v>540</v>
      </c>
      <c r="AB70" s="6" t="s">
        <v>541</v>
      </c>
    </row>
    <row r="71" spans="1:28" x14ac:dyDescent="0.2">
      <c r="M71" s="12"/>
      <c r="N71" s="12"/>
      <c r="R71" s="26">
        <f>(LN(M57/(M41*0.25)))/$B$1</f>
        <v>0.30461656245622948</v>
      </c>
      <c r="S71" s="26">
        <f>(R71-R72)/(1-0.25)</f>
        <v>0.57960095232639952</v>
      </c>
      <c r="T71" s="26">
        <f>S71+R73</f>
        <v>0.58275154825381015</v>
      </c>
      <c r="V71" s="26">
        <f>(LN(M60/(M42*0.25)))/$B$1</f>
        <v>3.9355293145115509E-2</v>
      </c>
      <c r="W71" s="26">
        <f>(V71-V72)/(1-0.25)</f>
        <v>0.37792610250517522</v>
      </c>
      <c r="X71" s="26">
        <f>W71+V73</f>
        <v>0.12594138133283067</v>
      </c>
      <c r="Z71" s="26">
        <f>(LN(M63/(M43*0.25)))/$B$1</f>
        <v>0.13489397367943984</v>
      </c>
      <c r="AA71" s="26">
        <f>(Z71-Z72)/(1-0.25)</f>
        <v>0.14394465041281776</v>
      </c>
      <c r="AB71" s="26">
        <f>AA71+Z73</f>
        <v>2.6018240167755738E-2</v>
      </c>
    </row>
    <row r="72" spans="1:28" x14ac:dyDescent="0.2">
      <c r="M72" s="12"/>
      <c r="N72" s="12"/>
      <c r="R72" s="26">
        <f>(LN(M58/M41))/$B$1</f>
        <v>-0.13008415178857016</v>
      </c>
      <c r="V72" s="26">
        <f>(LN(M61/M42))/$B$1</f>
        <v>-0.24408928373376593</v>
      </c>
      <c r="Z72" s="26">
        <f>(LN(M64/M43))/$B$1</f>
        <v>2.6935485869826525E-2</v>
      </c>
    </row>
    <row r="73" spans="1:28" x14ac:dyDescent="0.2">
      <c r="M73" s="12"/>
      <c r="N73" s="12"/>
      <c r="R73" s="26">
        <f>LN(M59/M41)/$B$1</f>
        <v>3.1505959274106253E-3</v>
      </c>
      <c r="V73" s="26">
        <f>LN(M62/M42)/$B$1</f>
        <v>-0.25198472117234455</v>
      </c>
      <c r="Z73" s="26">
        <f>LN(M65/M43)/$B$1</f>
        <v>-0.11792641024506202</v>
      </c>
    </row>
    <row r="74" spans="1:28" x14ac:dyDescent="0.2">
      <c r="M74" s="12"/>
      <c r="N74" s="12"/>
    </row>
    <row r="75" spans="1:28" x14ac:dyDescent="0.2">
      <c r="M75" s="12"/>
      <c r="N75" s="12"/>
      <c r="R75" s="6" t="s">
        <v>542</v>
      </c>
      <c r="S75" s="6" t="s">
        <v>543</v>
      </c>
      <c r="T75" s="6" t="s">
        <v>544</v>
      </c>
      <c r="V75" s="6" t="s">
        <v>542</v>
      </c>
      <c r="W75" s="6" t="s">
        <v>543</v>
      </c>
      <c r="X75" s="6" t="s">
        <v>544</v>
      </c>
      <c r="Z75" s="6" t="s">
        <v>542</v>
      </c>
      <c r="AA75" s="6" t="s">
        <v>543</v>
      </c>
      <c r="AB75" s="6" t="s">
        <v>544</v>
      </c>
    </row>
    <row r="76" spans="1:28" x14ac:dyDescent="0.2">
      <c r="M76" s="12"/>
      <c r="N76" s="12"/>
      <c r="R76" s="26">
        <f>(LN(N57/(N41*0.25)))/$B$1</f>
        <v>0.36054021889158516</v>
      </c>
      <c r="S76" s="26">
        <f>(R76-R77)/(1-0.25)</f>
        <v>0.5194807454755882</v>
      </c>
      <c r="T76" s="26">
        <f>S76+R78</f>
        <v>0.30323389024375869</v>
      </c>
      <c r="V76" s="26">
        <f>(LN(N60/(N42*0.25)))/$B$1</f>
        <v>0.24269545219350341</v>
      </c>
      <c r="W76" s="26">
        <f>(V76-V77)/(1-0.25)</f>
        <v>0.66380333681511516</v>
      </c>
      <c r="X76" s="26">
        <f>W76+V78</f>
        <v>0.5001603922305764</v>
      </c>
      <c r="Z76" s="26">
        <f>(LN(N63/(N43*0.25)))/$B$1</f>
        <v>-0.40429054731387032</v>
      </c>
      <c r="AA76" s="26">
        <f>(Z76-Z77)/(1-0.25)</f>
        <v>0.40457319641247441</v>
      </c>
      <c r="AB76" s="26">
        <f>AA76+Z78</f>
        <v>-0.50584239311200441</v>
      </c>
    </row>
    <row r="77" spans="1:28" x14ac:dyDescent="0.2">
      <c r="M77" s="12"/>
      <c r="N77" s="12"/>
      <c r="R77" s="26">
        <f>(LN(N58/N41))/$B$1</f>
        <v>-2.9070340215106009E-2</v>
      </c>
      <c r="V77" s="26">
        <f>(LN(N61/N42))/$B$1</f>
        <v>-0.25515705041783299</v>
      </c>
      <c r="Z77" s="26">
        <f>(LN(N64/N43))/$B$1</f>
        <v>-0.70772044462322614</v>
      </c>
    </row>
    <row r="78" spans="1:28" x14ac:dyDescent="0.2">
      <c r="M78" s="12"/>
      <c r="N78" s="12"/>
      <c r="R78" s="26">
        <f>LN(N59/N41)/$B$1</f>
        <v>-0.21624685523182949</v>
      </c>
      <c r="V78" s="26">
        <f>LN(N62/N42)/$B$1</f>
        <v>-0.16364294458453876</v>
      </c>
      <c r="Z78" s="26">
        <f>LN(N65/N43)/$B$1</f>
        <v>-0.91041558952447887</v>
      </c>
    </row>
    <row r="79" spans="1:28" x14ac:dyDescent="0.2">
      <c r="M79" s="12"/>
      <c r="N79" s="12"/>
    </row>
    <row r="80" spans="1:28" x14ac:dyDescent="0.2">
      <c r="M80" s="12"/>
      <c r="N80" s="12"/>
      <c r="R80" s="6" t="s">
        <v>545</v>
      </c>
      <c r="S80" s="6" t="s">
        <v>546</v>
      </c>
      <c r="T80" s="6" t="s">
        <v>547</v>
      </c>
      <c r="V80" s="6" t="s">
        <v>545</v>
      </c>
      <c r="W80" s="6" t="s">
        <v>546</v>
      </c>
      <c r="X80" s="6" t="s">
        <v>547</v>
      </c>
      <c r="Z80" s="6" t="s">
        <v>545</v>
      </c>
      <c r="AA80" s="6" t="s">
        <v>546</v>
      </c>
      <c r="AB80" s="6" t="s">
        <v>547</v>
      </c>
    </row>
    <row r="81" spans="13:28" x14ac:dyDescent="0.2">
      <c r="M81" s="12"/>
      <c r="N81" s="12"/>
      <c r="R81" s="26">
        <f>(LN(O57/(O41*0.25)))/$B$1</f>
        <v>-3.7838540203336678E-2</v>
      </c>
      <c r="S81" s="26">
        <f>(R81-R82)/(1-0.25)</f>
        <v>0.42441158165323939</v>
      </c>
      <c r="T81" s="26">
        <f>S81+R83</f>
        <v>5.8091249667126144E-2</v>
      </c>
      <c r="V81" s="26">
        <f>(LN(O60/(O42*0.25)))/$B$1</f>
        <v>-0.67636105860137485</v>
      </c>
      <c r="W81" s="26">
        <f>(V81-V82)/(1-0.25)</f>
        <v>1.0030355501873067</v>
      </c>
      <c r="X81" s="26">
        <f>W81+V83</f>
        <v>-0.74760576869748885</v>
      </c>
      <c r="Z81" s="26">
        <f>(LN(O63/(O43*0.25)))/$B$1</f>
        <v>0.51434873701246919</v>
      </c>
      <c r="AA81" s="26">
        <f>(Z81-Z82)/(1-0.25)</f>
        <v>1.9024141850675622</v>
      </c>
      <c r="AB81" s="26">
        <f>AA81+Z83</f>
        <v>0.70076344936071</v>
      </c>
    </row>
    <row r="82" spans="13:28" x14ac:dyDescent="0.2">
      <c r="M82" s="12"/>
      <c r="N82" s="12"/>
      <c r="R82" s="26">
        <f>(LN(O58/O41))/$B$1</f>
        <v>-0.35614722644326618</v>
      </c>
      <c r="V82" s="26">
        <f>(LN(O61/O42))/$B$1</f>
        <v>-1.4286377212418548</v>
      </c>
      <c r="Z82" s="26">
        <f>(LN(O64/O43))/$B$1</f>
        <v>-0.9124619017882023</v>
      </c>
    </row>
    <row r="83" spans="13:28" x14ac:dyDescent="0.2">
      <c r="M83" s="12"/>
      <c r="N83" s="12"/>
      <c r="R83" s="26">
        <f>LN(O59/O41)/$B$1</f>
        <v>-0.36632033198611325</v>
      </c>
      <c r="V83" s="26">
        <f>LN(O62/O42)/$B$1</f>
        <v>-1.7506413188847956</v>
      </c>
      <c r="Z83" s="26">
        <f>LN(O65/O43)/$B$1</f>
        <v>-1.2016507357068522</v>
      </c>
    </row>
    <row r="84" spans="13:28" x14ac:dyDescent="0.2">
      <c r="M84" s="12"/>
      <c r="N84" s="12"/>
    </row>
    <row r="85" spans="13:28" x14ac:dyDescent="0.2">
      <c r="M85" s="12"/>
      <c r="N85" s="12"/>
      <c r="R85" s="4"/>
      <c r="S85" s="4"/>
      <c r="T85" s="4"/>
      <c r="V85" s="4"/>
      <c r="W85" s="4"/>
      <c r="X85" s="4"/>
      <c r="Z85" s="4"/>
      <c r="AA85" s="4"/>
      <c r="AB85" s="4"/>
    </row>
    <row r="86" spans="13:28" x14ac:dyDescent="0.2">
      <c r="M86" s="12"/>
      <c r="N86" s="12"/>
      <c r="R86" s="6" t="s">
        <v>548</v>
      </c>
      <c r="S86" s="6" t="s">
        <v>549</v>
      </c>
      <c r="T86" s="6" t="s">
        <v>550</v>
      </c>
      <c r="V86" s="6" t="s">
        <v>548</v>
      </c>
      <c r="W86" s="6" t="s">
        <v>549</v>
      </c>
      <c r="X86" s="6" t="s">
        <v>550</v>
      </c>
      <c r="Z86" s="6" t="s">
        <v>548</v>
      </c>
      <c r="AA86" s="6" t="s">
        <v>549</v>
      </c>
      <c r="AB86" s="6" t="s">
        <v>550</v>
      </c>
    </row>
    <row r="87" spans="13:28" x14ac:dyDescent="0.2">
      <c r="M87" s="12"/>
      <c r="N87" s="12"/>
      <c r="R87" s="26">
        <f>(LN(Q57/(Q41*0.25)))/$B$1</f>
        <v>0.38868122058325549</v>
      </c>
      <c r="S87" s="26">
        <f>(R87-R88)/(1-0.25)</f>
        <v>0.52206219654243236</v>
      </c>
      <c r="T87" s="26">
        <f>S87+R89</f>
        <v>0.50401598189092933</v>
      </c>
      <c r="V87" s="26">
        <f>(LN(Q60/(Q42*0.25)))/$B$1</f>
        <v>8.8686562856903961E-2</v>
      </c>
      <c r="W87" s="26">
        <f>(V87-V88)/(1-0.25)</f>
        <v>0.42309726010084936</v>
      </c>
      <c r="X87" s="26">
        <f>W87+V89</f>
        <v>0.25407026014904871</v>
      </c>
      <c r="Z87" s="26">
        <f>(LN(Q63/(Q43*0.25)))/$B$1</f>
        <v>-0.15331956854415985</v>
      </c>
      <c r="AA87" s="26">
        <f>(Z87-Z88)/(1-0.25)</f>
        <v>0.21027197025930264</v>
      </c>
      <c r="AB87" s="26">
        <f>AA87+Z89</f>
        <v>-0.22997528322848329</v>
      </c>
    </row>
    <row r="88" spans="13:28" x14ac:dyDescent="0.2">
      <c r="M88" s="12"/>
      <c r="N88" s="12"/>
      <c r="R88" s="26">
        <f>(LN(Q58/Q41))/$B$1</f>
        <v>-2.8654268235687964E-3</v>
      </c>
      <c r="S88" s="10"/>
      <c r="T88" s="10"/>
      <c r="V88" s="26">
        <f>(LN(Q61/Q42))/$B$1</f>
        <v>-0.22863638221873306</v>
      </c>
      <c r="W88" s="10"/>
      <c r="X88" s="10"/>
      <c r="Z88" s="26">
        <f>(LN(Q64/Q43))/$B$1</f>
        <v>-0.31102354623863682</v>
      </c>
      <c r="AA88" s="10"/>
      <c r="AB88" s="10"/>
    </row>
    <row r="89" spans="13:28" x14ac:dyDescent="0.2">
      <c r="M89" s="12"/>
      <c r="N89" s="12"/>
      <c r="R89" s="26">
        <f>LN(Q59/Q41)/$B$1</f>
        <v>-1.8046214651503054E-2</v>
      </c>
      <c r="S89" s="10"/>
      <c r="T89" s="10"/>
      <c r="V89" s="26">
        <f>LN(Q62/Q42)/$B$1</f>
        <v>-0.16902699995180065</v>
      </c>
      <c r="W89" s="10"/>
      <c r="X89" s="10"/>
      <c r="Z89" s="26">
        <f>LN(Q65/Q43)/$B$1</f>
        <v>-0.44024725348778593</v>
      </c>
      <c r="AA89" s="10"/>
      <c r="AB89"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90"/>
  <sheetViews>
    <sheetView topLeftCell="B1" workbookViewId="0">
      <selection activeCell="L3" sqref="L3"/>
    </sheetView>
  </sheetViews>
  <sheetFormatPr baseColWidth="10" defaultRowHeight="16" x14ac:dyDescent="0.2"/>
  <cols>
    <col min="1" max="1" width="19" style="5" customWidth="1"/>
    <col min="2" max="2" width="19" style="10" customWidth="1"/>
    <col min="3" max="6" width="10.83203125" style="5"/>
    <col min="7" max="7" width="13.6640625" style="5" bestFit="1" customWidth="1"/>
    <col min="8" max="8" width="16" style="5" bestFit="1" customWidth="1"/>
    <col min="9" max="9" width="15.6640625" style="5" bestFit="1" customWidth="1"/>
    <col min="10" max="10" width="16.1640625" style="5" bestFit="1" customWidth="1"/>
    <col min="11" max="11" width="12.1640625" style="5" bestFit="1" customWidth="1"/>
    <col min="12" max="12" width="14.5" style="5" bestFit="1" customWidth="1"/>
    <col min="13" max="13" width="14" style="5" bestFit="1" customWidth="1"/>
    <col min="14" max="14" width="14.6640625" style="5" bestFit="1" customWidth="1"/>
    <col min="15" max="15" width="19.33203125" style="5" bestFit="1" customWidth="1"/>
    <col min="16" max="17" width="17.1640625" style="5" bestFit="1" customWidth="1"/>
    <col min="18" max="18" width="17.83203125" style="5" bestFit="1" customWidth="1"/>
    <col min="19" max="35" width="17.83203125" style="5" customWidth="1"/>
    <col min="36" max="38" width="10.83203125" style="5"/>
    <col min="39" max="39" width="22.1640625" style="5" bestFit="1" customWidth="1"/>
    <col min="40" max="16384" width="10.83203125" style="5"/>
  </cols>
  <sheetData>
    <row r="1" spans="1:52" x14ac:dyDescent="0.2">
      <c r="A1" s="4" t="s">
        <v>562</v>
      </c>
      <c r="B1" s="6">
        <v>1.21</v>
      </c>
      <c r="C1" s="4" t="s">
        <v>561</v>
      </c>
      <c r="AI1" s="4" t="s">
        <v>41</v>
      </c>
    </row>
    <row r="2" spans="1:52" s="4" customFormat="1" x14ac:dyDescent="0.2">
      <c r="B2" s="6"/>
      <c r="C2" s="4" t="s">
        <v>38</v>
      </c>
      <c r="G2" s="4" t="s">
        <v>37</v>
      </c>
      <c r="K2" s="4" t="s">
        <v>36</v>
      </c>
      <c r="O2" s="4" t="s">
        <v>34</v>
      </c>
      <c r="S2" s="4" t="s">
        <v>35</v>
      </c>
      <c r="W2" s="4" t="s">
        <v>55</v>
      </c>
      <c r="AA2" s="4" t="s">
        <v>54</v>
      </c>
      <c r="AE2" s="4" t="s">
        <v>53</v>
      </c>
      <c r="AI2" s="4" t="s">
        <v>42</v>
      </c>
      <c r="AM2" s="4" t="s">
        <v>47</v>
      </c>
      <c r="AO2" s="4" t="s">
        <v>604</v>
      </c>
      <c r="AS2" s="4" t="s">
        <v>593</v>
      </c>
      <c r="AV2" s="4" t="s">
        <v>603</v>
      </c>
      <c r="AZ2" s="4" t="s">
        <v>602</v>
      </c>
    </row>
    <row r="3" spans="1:52" s="4" customFormat="1" x14ac:dyDescent="0.2">
      <c r="A3" s="4" t="s">
        <v>39</v>
      </c>
      <c r="B3" s="6" t="s">
        <v>114</v>
      </c>
      <c r="C3" s="4" t="s">
        <v>0</v>
      </c>
      <c r="D3" s="4" t="s">
        <v>1</v>
      </c>
      <c r="E3" s="4" t="s">
        <v>2</v>
      </c>
      <c r="F3" s="4" t="s">
        <v>3</v>
      </c>
      <c r="G3" s="4" t="s">
        <v>4</v>
      </c>
      <c r="H3" s="4" t="s">
        <v>5</v>
      </c>
      <c r="I3" s="4" t="s">
        <v>6</v>
      </c>
      <c r="J3" s="4" t="s">
        <v>7</v>
      </c>
      <c r="K3" s="4" t="s">
        <v>8</v>
      </c>
      <c r="L3" s="4" t="s">
        <v>9</v>
      </c>
      <c r="M3" s="4" t="s">
        <v>10</v>
      </c>
      <c r="N3" s="4" t="s">
        <v>11</v>
      </c>
      <c r="O3" s="4" t="s">
        <v>26</v>
      </c>
      <c r="P3" s="4" t="s">
        <v>27</v>
      </c>
      <c r="Q3" s="4" t="s">
        <v>28</v>
      </c>
      <c r="R3" s="4" t="s">
        <v>29</v>
      </c>
      <c r="S3" s="4" t="s">
        <v>30</v>
      </c>
      <c r="T3" s="4" t="s">
        <v>31</v>
      </c>
      <c r="U3" s="4" t="s">
        <v>32</v>
      </c>
      <c r="V3" s="4" t="s">
        <v>33</v>
      </c>
      <c r="W3" s="4" t="s">
        <v>56</v>
      </c>
      <c r="X3" s="4" t="s">
        <v>57</v>
      </c>
      <c r="Y3" s="4" t="s">
        <v>58</v>
      </c>
      <c r="Z3" s="4" t="s">
        <v>59</v>
      </c>
      <c r="AA3" s="4" t="s">
        <v>60</v>
      </c>
      <c r="AB3" s="4" t="s">
        <v>61</v>
      </c>
      <c r="AC3" s="4" t="s">
        <v>62</v>
      </c>
      <c r="AD3" s="4" t="s">
        <v>63</v>
      </c>
      <c r="AE3" s="4" t="s">
        <v>49</v>
      </c>
      <c r="AF3" s="4" t="s">
        <v>50</v>
      </c>
      <c r="AG3" s="4" t="s">
        <v>51</v>
      </c>
      <c r="AH3" s="4" t="s">
        <v>52</v>
      </c>
      <c r="AI3" s="6" t="s">
        <v>43</v>
      </c>
      <c r="AJ3" s="4" t="s">
        <v>44</v>
      </c>
      <c r="AK3" s="4" t="s">
        <v>45</v>
      </c>
      <c r="AL3" s="4" t="s">
        <v>46</v>
      </c>
      <c r="AM3" s="4" t="s">
        <v>48</v>
      </c>
      <c r="AN3" s="6" t="s">
        <v>115</v>
      </c>
      <c r="AO3" s="49" t="s">
        <v>588</v>
      </c>
      <c r="AP3" s="49" t="s">
        <v>589</v>
      </c>
      <c r="AQ3" s="49" t="s">
        <v>44</v>
      </c>
      <c r="AR3" s="49" t="s">
        <v>45</v>
      </c>
      <c r="AS3" s="4" t="s">
        <v>590</v>
      </c>
      <c r="AT3" s="4" t="s">
        <v>591</v>
      </c>
      <c r="AU3" s="49" t="s">
        <v>592</v>
      </c>
      <c r="AV3" s="45" t="s">
        <v>600</v>
      </c>
      <c r="AW3" s="45" t="s">
        <v>601</v>
      </c>
      <c r="AX3" s="45" t="s">
        <v>44</v>
      </c>
      <c r="AY3" s="45" t="s">
        <v>45</v>
      </c>
      <c r="AZ3" s="45" t="s">
        <v>592</v>
      </c>
    </row>
    <row r="4" spans="1:52" x14ac:dyDescent="0.2">
      <c r="A4" s="5" t="s">
        <v>168</v>
      </c>
      <c r="B4" s="10">
        <v>5</v>
      </c>
      <c r="C4" s="5">
        <v>10296</v>
      </c>
      <c r="D4" s="5">
        <v>10628</v>
      </c>
      <c r="E4" s="5">
        <v>1043</v>
      </c>
      <c r="F4" s="5">
        <v>210</v>
      </c>
      <c r="G4" s="5">
        <v>6505</v>
      </c>
      <c r="H4" s="5">
        <v>16663</v>
      </c>
      <c r="I4" s="7">
        <v>186500</v>
      </c>
      <c r="J4" s="7">
        <v>290000</v>
      </c>
      <c r="K4" s="5">
        <v>7731</v>
      </c>
      <c r="L4" s="5">
        <v>35083</v>
      </c>
      <c r="M4" s="7">
        <v>572100</v>
      </c>
      <c r="N4" s="7">
        <v>3122000</v>
      </c>
      <c r="O4" s="8">
        <f>(224333+K4)/235871</f>
        <v>0.98385982168219066</v>
      </c>
      <c r="P4" s="8">
        <f>(224333+L4)/235871</f>
        <v>1.099821512606467</v>
      </c>
      <c r="Q4" s="8">
        <f t="shared" ref="Q4:R9" si="0">(224333+M4)/235871</f>
        <v>3.3765617646934127</v>
      </c>
      <c r="R4" s="8">
        <f t="shared" si="0"/>
        <v>14.187131949243442</v>
      </c>
      <c r="S4" s="8">
        <f>4/3*3.14*((O4/2)^3)</f>
        <v>0.49840004637464647</v>
      </c>
      <c r="T4" s="8">
        <f t="shared" ref="T4:V9" si="1">4/3*3.14*((P4/2)^3)</f>
        <v>0.69621764918052975</v>
      </c>
      <c r="U4" s="8">
        <f t="shared" si="1"/>
        <v>20.146633809730748</v>
      </c>
      <c r="V4" s="8">
        <f>4/3*3.14*((R4/2)^3)</f>
        <v>1494.3840432141435</v>
      </c>
      <c r="W4" s="8">
        <f>(S4*265)/1000</f>
        <v>0.13207601228928131</v>
      </c>
      <c r="X4" s="8">
        <f>(10^(-0.665+LOG(T4, 10)*0.959))</f>
        <v>0.15282432361552981</v>
      </c>
      <c r="Y4" s="8">
        <f>(10^(-0.665+LOG(U4, 10)*0.959))</f>
        <v>3.8523894998002026</v>
      </c>
      <c r="Z4" s="8">
        <f>(10^(-0.665+LOG(V4, 10)*0.959))</f>
        <v>239.50206953497053</v>
      </c>
      <c r="AA4" s="8">
        <f>W4*C4</f>
        <v>1359.8546225304403</v>
      </c>
      <c r="AB4" s="8">
        <f>X4*D4</f>
        <v>1624.2169113858508</v>
      </c>
      <c r="AC4" s="8">
        <f t="shared" ref="AC4:AD9" si="2">Y4*E4</f>
        <v>4018.0422482916115</v>
      </c>
      <c r="AD4" s="8">
        <f>Z4*F4</f>
        <v>50295.434602343812</v>
      </c>
      <c r="AE4" s="8">
        <f>AA4/(AA4+AB4+AC4+AD4)</f>
        <v>2.3733207805049433E-2</v>
      </c>
      <c r="AF4" s="8">
        <f>AB4/(AA4+AB4+AC4+AD4)</f>
        <v>2.8347057721997828E-2</v>
      </c>
      <c r="AG4" s="8">
        <f>AC4/(AA4+AB4+AC4+AD4)</f>
        <v>7.0125901745822977E-2</v>
      </c>
      <c r="AH4" s="8">
        <f>AD4/(AA4+AB4+AC4+AD4)</f>
        <v>0.87779383272712974</v>
      </c>
      <c r="AI4" s="8"/>
      <c r="AJ4" s="8"/>
      <c r="AK4" s="8"/>
      <c r="AL4" s="8"/>
      <c r="AM4" s="8"/>
      <c r="AN4" s="10">
        <v>5</v>
      </c>
      <c r="AO4" s="50">
        <f>H4/L4</f>
        <v>0.47495938203688398</v>
      </c>
      <c r="AP4" s="50">
        <f>I4/M4</f>
        <v>0.32599195944764903</v>
      </c>
      <c r="AQ4" s="50"/>
      <c r="AR4" s="50"/>
      <c r="AS4" s="8"/>
      <c r="AT4" s="8"/>
      <c r="AU4" s="50"/>
      <c r="AV4" s="46">
        <f>H4</f>
        <v>16663</v>
      </c>
      <c r="AW4" s="46">
        <f t="shared" ref="AW4:AW11" si="3">I4</f>
        <v>186500</v>
      </c>
      <c r="AX4" s="48" t="e">
        <f>LN((AVERAGE(AV14:AV16))/AV4)/1.25</f>
        <v>#NUM!</v>
      </c>
      <c r="AY4" s="48" t="e">
        <f>LN((AVERAGE(AW14:AW16))/AW4)/1.25</f>
        <v>#NUM!</v>
      </c>
      <c r="AZ4" s="48" t="e">
        <f t="shared" ref="AZ4:AZ9" si="4">(AX4*AS4)+(AY4*AT4)</f>
        <v>#NUM!</v>
      </c>
    </row>
    <row r="5" spans="1:52" x14ac:dyDescent="0.2">
      <c r="A5" s="5" t="s">
        <v>169</v>
      </c>
      <c r="B5" s="10">
        <v>12</v>
      </c>
      <c r="C5" s="5">
        <v>10635</v>
      </c>
      <c r="D5" s="5">
        <v>10568</v>
      </c>
      <c r="E5" s="5">
        <v>837</v>
      </c>
      <c r="F5" s="5">
        <v>174</v>
      </c>
      <c r="G5" s="5">
        <v>6529</v>
      </c>
      <c r="H5" s="5">
        <v>17324</v>
      </c>
      <c r="I5" s="7">
        <v>179900</v>
      </c>
      <c r="J5" s="7">
        <v>293800</v>
      </c>
      <c r="K5" s="5">
        <v>9321</v>
      </c>
      <c r="L5" s="5">
        <v>36241</v>
      </c>
      <c r="M5" s="7">
        <v>610000</v>
      </c>
      <c r="N5" s="7">
        <v>2553000</v>
      </c>
      <c r="O5" s="8">
        <f t="shared" ref="O5:P9" si="5">(224333+K5)/235871</f>
        <v>0.9906007945020795</v>
      </c>
      <c r="P5" s="8">
        <f t="shared" si="5"/>
        <v>1.1047309758300088</v>
      </c>
      <c r="Q5" s="8">
        <f t="shared" si="0"/>
        <v>3.5372428149284989</v>
      </c>
      <c r="R5" s="8">
        <f t="shared" si="0"/>
        <v>11.7747963929436</v>
      </c>
      <c r="S5" s="8">
        <f t="shared" ref="S5:S9" si="6">4/3*3.14*((O5/2)^3)</f>
        <v>0.50871484788998056</v>
      </c>
      <c r="T5" s="8">
        <f t="shared" si="1"/>
        <v>0.705582810808838</v>
      </c>
      <c r="U5" s="8">
        <f t="shared" si="1"/>
        <v>23.161837853318762</v>
      </c>
      <c r="V5" s="8">
        <f t="shared" si="1"/>
        <v>854.35549318699896</v>
      </c>
      <c r="W5" s="8">
        <f t="shared" ref="W5:W9" si="7">(S5*265)/1000</f>
        <v>0.13480943469084486</v>
      </c>
      <c r="X5" s="8">
        <f t="shared" ref="X5:Z9" si="8">(10^(-0.665+LOG(T5, 10)*0.959))</f>
        <v>0.15479521239853261</v>
      </c>
      <c r="Y5" s="8">
        <f t="shared" si="8"/>
        <v>4.4036959245016405</v>
      </c>
      <c r="Z5" s="8">
        <f t="shared" si="8"/>
        <v>140.10106377781369</v>
      </c>
      <c r="AA5" s="8">
        <f t="shared" ref="AA5:AB9" si="9">W5*C5</f>
        <v>1433.698337937135</v>
      </c>
      <c r="AB5" s="8">
        <f t="shared" si="9"/>
        <v>1635.8758046276926</v>
      </c>
      <c r="AC5" s="8">
        <f t="shared" si="2"/>
        <v>3685.8934888078729</v>
      </c>
      <c r="AD5" s="8">
        <f t="shared" si="2"/>
        <v>24377.585097339583</v>
      </c>
      <c r="AE5" s="8">
        <f t="shared" ref="AE5:AE9" si="10">AA5/(AA5+AB5+AC5+AD5)</f>
        <v>4.6050682868465219E-2</v>
      </c>
      <c r="AF5" s="8">
        <f t="shared" ref="AF5:AF9" si="11">AB5/(AA5+AB5+AC5+AD5)</f>
        <v>5.2544664311669487E-2</v>
      </c>
      <c r="AG5" s="8">
        <f t="shared" ref="AG5:AG9" si="12">AC5/(AA5+AB5+AC5+AD5)</f>
        <v>0.11839165021580356</v>
      </c>
      <c r="AH5" s="8">
        <f t="shared" ref="AH5:AH9" si="13">AD5/(AA5+AB5+AC5+AD5)</f>
        <v>0.78301300260406181</v>
      </c>
      <c r="AI5" s="8"/>
      <c r="AJ5" s="8"/>
      <c r="AK5" s="8"/>
      <c r="AL5" s="8"/>
      <c r="AM5" s="8"/>
      <c r="AN5" s="10">
        <v>12</v>
      </c>
      <c r="AO5" s="50">
        <f t="shared" ref="AO5:AO11" si="14">H5/L5</f>
        <v>0.47802212963218454</v>
      </c>
      <c r="AP5" s="50">
        <f t="shared" ref="AP5:AP11" si="15">I5/M5</f>
        <v>0.29491803278688522</v>
      </c>
      <c r="AQ5" s="50"/>
      <c r="AR5" s="50"/>
      <c r="AS5" s="8"/>
      <c r="AT5" s="8"/>
      <c r="AU5" s="50"/>
      <c r="AV5" s="46">
        <f t="shared" ref="AV5:AV11" si="16">H5</f>
        <v>17324</v>
      </c>
      <c r="AW5" s="46">
        <f t="shared" si="3"/>
        <v>179900</v>
      </c>
      <c r="AX5" s="48" t="e">
        <f>LN((AVERAGE(AV17:AV19))/AV5)/1.25</f>
        <v>#NUM!</v>
      </c>
      <c r="AY5" s="48" t="e">
        <f>LN((AVERAGE(AW17:AW19))/AW5)/1.25</f>
        <v>#NUM!</v>
      </c>
      <c r="AZ5" s="48" t="e">
        <f t="shared" si="4"/>
        <v>#NUM!</v>
      </c>
    </row>
    <row r="6" spans="1:52" x14ac:dyDescent="0.2">
      <c r="A6" s="5" t="s">
        <v>170</v>
      </c>
      <c r="B6" s="10">
        <v>20</v>
      </c>
      <c r="C6" s="5">
        <v>19032</v>
      </c>
      <c r="D6" s="5">
        <v>15355</v>
      </c>
      <c r="E6" s="5">
        <v>1107</v>
      </c>
      <c r="F6" s="5">
        <v>199</v>
      </c>
      <c r="G6" s="5">
        <v>7386</v>
      </c>
      <c r="H6" s="5">
        <v>17271</v>
      </c>
      <c r="I6" s="7">
        <v>194000</v>
      </c>
      <c r="J6" s="7">
        <v>289800</v>
      </c>
      <c r="K6" s="5">
        <v>7493</v>
      </c>
      <c r="L6" s="5">
        <v>30082</v>
      </c>
      <c r="M6" s="7">
        <v>692600</v>
      </c>
      <c r="N6" s="7">
        <v>2593000</v>
      </c>
      <c r="O6" s="8">
        <f t="shared" si="5"/>
        <v>0.98285079556198096</v>
      </c>
      <c r="P6" s="8">
        <f t="shared" si="5"/>
        <v>1.0786192452654204</v>
      </c>
      <c r="Q6" s="8">
        <f t="shared" si="0"/>
        <v>3.8874342331189506</v>
      </c>
      <c r="R6" s="8">
        <f t="shared" si="0"/>
        <v>11.944380614827596</v>
      </c>
      <c r="S6" s="8">
        <f t="shared" si="6"/>
        <v>0.49686817241872239</v>
      </c>
      <c r="T6" s="8">
        <f t="shared" si="1"/>
        <v>0.65672400690985011</v>
      </c>
      <c r="U6" s="8">
        <f t="shared" si="1"/>
        <v>30.744509030755736</v>
      </c>
      <c r="V6" s="8">
        <f t="shared" si="1"/>
        <v>891.80376119734399</v>
      </c>
      <c r="W6" s="8">
        <f t="shared" si="7"/>
        <v>0.13167006569096143</v>
      </c>
      <c r="X6" s="8">
        <f t="shared" si="8"/>
        <v>0.14450078082774073</v>
      </c>
      <c r="Y6" s="8">
        <f t="shared" si="8"/>
        <v>5.7778876392067335</v>
      </c>
      <c r="Z6" s="8">
        <f t="shared" si="8"/>
        <v>145.9850081277624</v>
      </c>
      <c r="AA6" s="8">
        <f t="shared" si="9"/>
        <v>2505.944690230378</v>
      </c>
      <c r="AB6" s="8">
        <f t="shared" si="9"/>
        <v>2218.8094896099587</v>
      </c>
      <c r="AC6" s="8">
        <f t="shared" si="2"/>
        <v>6396.1216166018539</v>
      </c>
      <c r="AD6" s="8">
        <f t="shared" si="2"/>
        <v>29051.016617424717</v>
      </c>
      <c r="AE6" s="8">
        <f t="shared" si="10"/>
        <v>6.2380548678492242E-2</v>
      </c>
      <c r="AF6" s="8">
        <f t="shared" si="11"/>
        <v>5.5232884394663201E-2</v>
      </c>
      <c r="AG6" s="8">
        <f t="shared" si="12"/>
        <v>0.15921882769938867</v>
      </c>
      <c r="AH6" s="8">
        <f t="shared" si="13"/>
        <v>0.72316773922745581</v>
      </c>
      <c r="AI6" s="8"/>
      <c r="AM6" s="8"/>
      <c r="AN6" s="10">
        <v>20</v>
      </c>
      <c r="AO6" s="50">
        <f t="shared" si="14"/>
        <v>0.5741307093943222</v>
      </c>
      <c r="AP6" s="50">
        <f t="shared" si="15"/>
        <v>0.28010395610742134</v>
      </c>
      <c r="AQ6" s="50"/>
      <c r="AR6" s="50"/>
      <c r="AS6" s="8"/>
      <c r="AT6" s="8"/>
      <c r="AU6" s="50"/>
      <c r="AV6" s="46">
        <f t="shared" si="16"/>
        <v>17271</v>
      </c>
      <c r="AW6" s="46">
        <f t="shared" si="3"/>
        <v>194000</v>
      </c>
      <c r="AX6" s="48" t="e">
        <f>LN((AVERAGE(AV20:AV22))/AV6)/1.25</f>
        <v>#NUM!</v>
      </c>
      <c r="AY6" s="48" t="e">
        <f>LN((AVERAGE(AW20:AW22))/AW6)/1.25</f>
        <v>#NUM!</v>
      </c>
      <c r="AZ6" s="48" t="e">
        <f t="shared" si="4"/>
        <v>#NUM!</v>
      </c>
    </row>
    <row r="7" spans="1:52" x14ac:dyDescent="0.2">
      <c r="A7" s="5" t="s">
        <v>171</v>
      </c>
      <c r="B7" s="10">
        <v>30</v>
      </c>
      <c r="C7" s="5">
        <v>48767</v>
      </c>
      <c r="D7" s="5">
        <v>20259</v>
      </c>
      <c r="E7" s="5">
        <v>1263</v>
      </c>
      <c r="F7" s="5">
        <v>214</v>
      </c>
      <c r="G7" s="5">
        <v>7639</v>
      </c>
      <c r="H7" s="5">
        <v>15345</v>
      </c>
      <c r="I7" s="7">
        <v>187800</v>
      </c>
      <c r="J7" s="7">
        <v>286300</v>
      </c>
      <c r="K7" s="5">
        <v>23350</v>
      </c>
      <c r="L7" s="5">
        <v>22990</v>
      </c>
      <c r="M7" s="7">
        <v>530800</v>
      </c>
      <c r="N7" s="7">
        <v>2615000</v>
      </c>
      <c r="O7" s="8">
        <f t="shared" si="5"/>
        <v>1.050078220722344</v>
      </c>
      <c r="P7" s="8">
        <f t="shared" si="5"/>
        <v>1.0485519627253881</v>
      </c>
      <c r="Q7" s="8">
        <f t="shared" si="0"/>
        <v>3.2014660555981873</v>
      </c>
      <c r="R7" s="8">
        <f t="shared" si="0"/>
        <v>12.037651936863794</v>
      </c>
      <c r="S7" s="8">
        <f t="shared" si="6"/>
        <v>0.60595915429039038</v>
      </c>
      <c r="T7" s="8">
        <f t="shared" si="1"/>
        <v>0.60332076108596266</v>
      </c>
      <c r="U7" s="8">
        <f t="shared" si="1"/>
        <v>17.172166949135381</v>
      </c>
      <c r="V7" s="8">
        <f t="shared" si="1"/>
        <v>912.85908669233822</v>
      </c>
      <c r="W7" s="8">
        <f t="shared" si="7"/>
        <v>0.16057917588695345</v>
      </c>
      <c r="X7" s="8">
        <f t="shared" si="8"/>
        <v>0.13321274918120984</v>
      </c>
      <c r="Y7" s="8">
        <f t="shared" si="8"/>
        <v>3.3051964139558927</v>
      </c>
      <c r="Z7" s="8">
        <f t="shared" si="8"/>
        <v>149.28878704879406</v>
      </c>
      <c r="AA7" s="8">
        <f t="shared" si="9"/>
        <v>7830.9646704790584</v>
      </c>
      <c r="AB7" s="8">
        <f t="shared" si="9"/>
        <v>2698.7570856621301</v>
      </c>
      <c r="AC7" s="8">
        <f t="shared" si="2"/>
        <v>4174.4630708262921</v>
      </c>
      <c r="AD7" s="8">
        <f t="shared" si="2"/>
        <v>31947.800428441929</v>
      </c>
      <c r="AE7" s="8">
        <f t="shared" si="10"/>
        <v>0.16785919457888535</v>
      </c>
      <c r="AF7" s="8">
        <f t="shared" si="11"/>
        <v>5.7848708278694372E-2</v>
      </c>
      <c r="AG7" s="8">
        <f t="shared" si="12"/>
        <v>8.9480930939423484E-2</v>
      </c>
      <c r="AH7" s="8">
        <f t="shared" si="13"/>
        <v>0.68481116620299676</v>
      </c>
      <c r="AI7" s="8">
        <f>LN((AVERAGE(G23:G25))/G7)/1.21</f>
        <v>0.26366013553758871</v>
      </c>
      <c r="AJ7" s="8">
        <f>LN((AVERAGE(H23:H25))/H7)/1.21</f>
        <v>0.21433355957174366</v>
      </c>
      <c r="AK7" s="8">
        <f>LN((AVERAGE(I23:I25))/I7)/1.21</f>
        <v>0.15484907285035218</v>
      </c>
      <c r="AL7" s="8">
        <f>LN((AVERAGE(J23:J25))/J7)/1.21</f>
        <v>1.6197874708152246E-2</v>
      </c>
      <c r="AM7" s="15">
        <f t="shared" ref="AM7:AM9" si="17">(AI7*AE7)+(AJ7*AF7)+(AG7*AK7)+(AH7*AL7)</f>
        <v>8.1605222218555235E-2</v>
      </c>
      <c r="AN7" s="10">
        <v>30</v>
      </c>
      <c r="AO7" s="50">
        <f t="shared" si="14"/>
        <v>0.66746411483253587</v>
      </c>
      <c r="AP7" s="50">
        <f t="shared" si="15"/>
        <v>0.35380557648831951</v>
      </c>
      <c r="AQ7" s="50">
        <f>LN((AVERAGE(AO23:AO25))/AO7)/1.21</f>
        <v>0.23373710451204863</v>
      </c>
      <c r="AR7" s="50">
        <f>LN((AVERAGE(AP23:AP25))/AP7)/1.21</f>
        <v>0.11984905581343656</v>
      </c>
      <c r="AS7" s="8">
        <f>AB7/(AB7+AC7)</f>
        <v>0.39264813642182889</v>
      </c>
      <c r="AT7" s="8">
        <f>AC7/(AC7+AB7)</f>
        <v>0.60735186357817117</v>
      </c>
      <c r="AU7" s="50">
        <f>(AQ7*AS7)+(AR7*AT7)</f>
        <v>0.1645669858956651</v>
      </c>
      <c r="AV7" s="46">
        <f t="shared" si="16"/>
        <v>15345</v>
      </c>
      <c r="AW7" s="46">
        <f t="shared" si="3"/>
        <v>187800</v>
      </c>
      <c r="AX7" s="48">
        <f>LN((AVERAGE(AV23:AV25))/AV7)/1.21</f>
        <v>0.21433355957174366</v>
      </c>
      <c r="AY7" s="48">
        <f>LN((AVERAGE(AW23:AW25))/AW7)/1.21</f>
        <v>0.15484907285035218</v>
      </c>
      <c r="AZ7" s="48">
        <f t="shared" si="4"/>
        <v>0.17820554570751557</v>
      </c>
    </row>
    <row r="8" spans="1:52" x14ac:dyDescent="0.2">
      <c r="A8" s="5" t="s">
        <v>172</v>
      </c>
      <c r="B8" s="10">
        <v>40</v>
      </c>
      <c r="C8" s="5">
        <v>96084</v>
      </c>
      <c r="D8" s="5">
        <v>37906</v>
      </c>
      <c r="E8" s="5">
        <v>1609</v>
      </c>
      <c r="F8" s="5">
        <v>262</v>
      </c>
      <c r="G8" s="5">
        <v>8948</v>
      </c>
      <c r="H8" s="5">
        <v>16791</v>
      </c>
      <c r="I8" s="7">
        <v>192700</v>
      </c>
      <c r="J8" s="7">
        <v>293100</v>
      </c>
      <c r="K8" s="5">
        <v>2381</v>
      </c>
      <c r="L8" s="5">
        <v>17717</v>
      </c>
      <c r="M8" s="7">
        <v>443800</v>
      </c>
      <c r="N8" s="7">
        <v>2128000</v>
      </c>
      <c r="O8" s="8">
        <f t="shared" si="5"/>
        <v>0.96117793200520618</v>
      </c>
      <c r="P8" s="8">
        <f t="shared" si="5"/>
        <v>1.0261965226755303</v>
      </c>
      <c r="Q8" s="8">
        <f t="shared" si="0"/>
        <v>2.8326203730004962</v>
      </c>
      <c r="R8" s="8">
        <f t="shared" si="0"/>
        <v>9.9729640354261431</v>
      </c>
      <c r="S8" s="8">
        <f t="shared" si="6"/>
        <v>0.46471829608474219</v>
      </c>
      <c r="T8" s="8">
        <f t="shared" si="1"/>
        <v>0.56554870694097104</v>
      </c>
      <c r="U8" s="8">
        <f t="shared" si="1"/>
        <v>11.894426880007927</v>
      </c>
      <c r="V8" s="8">
        <f t="shared" si="1"/>
        <v>519.10015236432332</v>
      </c>
      <c r="W8" s="8">
        <f t="shared" si="7"/>
        <v>0.12315034846245668</v>
      </c>
      <c r="X8" s="8">
        <f t="shared" si="8"/>
        <v>0.12520415548262775</v>
      </c>
      <c r="Y8" s="8">
        <f t="shared" si="8"/>
        <v>2.3240979976488063</v>
      </c>
      <c r="Z8" s="8">
        <f t="shared" si="8"/>
        <v>86.881209641481888</v>
      </c>
      <c r="AA8" s="8">
        <f t="shared" si="9"/>
        <v>11832.778081666687</v>
      </c>
      <c r="AB8" s="8">
        <f t="shared" si="9"/>
        <v>4745.9887177244873</v>
      </c>
      <c r="AC8" s="8">
        <f t="shared" si="2"/>
        <v>3739.4736782169293</v>
      </c>
      <c r="AD8" s="8">
        <f t="shared" si="2"/>
        <v>22762.876926068253</v>
      </c>
      <c r="AE8" s="8">
        <f t="shared" si="10"/>
        <v>0.27466274773682936</v>
      </c>
      <c r="AF8" s="8">
        <f t="shared" si="11"/>
        <v>0.11016401160754213</v>
      </c>
      <c r="AG8" s="8">
        <f t="shared" si="12"/>
        <v>8.6800758744893167E-2</v>
      </c>
      <c r="AH8" s="8">
        <f t="shared" si="13"/>
        <v>0.52837248191073538</v>
      </c>
      <c r="AI8" s="8">
        <f>LN((AVERAGE(G26:G28))/G8)/1.21</f>
        <v>0.19279684512332726</v>
      </c>
      <c r="AJ8" s="8">
        <f>LN((AVERAGE(H26:H28))/H8)/1.21</f>
        <v>0.1233725590660376</v>
      </c>
      <c r="AK8" s="8">
        <f>LN((AVERAGE(I26:I28))/I8)/1.21</f>
        <v>0.10030639797747219</v>
      </c>
      <c r="AL8" s="8">
        <f>LN((AVERAGE(J26:J28))/J8)/1.21</f>
        <v>-6.2266795170998514E-3</v>
      </c>
      <c r="AM8" s="15">
        <f t="shared" si="17"/>
        <v>7.1961992606467143E-2</v>
      </c>
      <c r="AN8" s="10">
        <v>40</v>
      </c>
      <c r="AO8" s="50">
        <f t="shared" si="14"/>
        <v>0.94773381497996279</v>
      </c>
      <c r="AP8" s="50">
        <f t="shared" si="15"/>
        <v>0.43420459666516448</v>
      </c>
      <c r="AQ8" s="50">
        <f>LN((AVERAGE(AO26:AO28))/AO8)/1.21</f>
        <v>9.9155385074993344E-2</v>
      </c>
      <c r="AR8" s="50">
        <f>LN((AVERAGE(AP26:AP28))/AP8)/1.21</f>
        <v>9.4508146893592077E-2</v>
      </c>
      <c r="AS8" s="8">
        <f t="shared" ref="AS8:AS9" si="18">AB8/(AB8+AC8)</f>
        <v>0.55930820222531263</v>
      </c>
      <c r="AT8" s="8">
        <f t="shared" ref="AT8:AT9" si="19">AC8/(AC8+AB8)</f>
        <v>0.44069179777468742</v>
      </c>
      <c r="AU8" s="50">
        <f t="shared" ref="AU8:AU9" si="20">(AQ8*AS8)+(AR8*AT8)</f>
        <v>9.7107385326144463E-2</v>
      </c>
      <c r="AV8" s="46">
        <f t="shared" si="16"/>
        <v>16791</v>
      </c>
      <c r="AW8" s="46">
        <f t="shared" si="3"/>
        <v>192700</v>
      </c>
      <c r="AX8" s="48">
        <f>LN((AVERAGE(AV26:AV28))/AV8)/1.21</f>
        <v>0.1233725590660376</v>
      </c>
      <c r="AY8" s="48">
        <f>LN((AVERAGE(AW26:AW28))/AW8)/1.21</f>
        <v>0.10030639797747219</v>
      </c>
      <c r="AZ8" s="48">
        <f t="shared" si="4"/>
        <v>0.11320749106815717</v>
      </c>
    </row>
    <row r="9" spans="1:52" x14ac:dyDescent="0.2">
      <c r="A9" s="5" t="s">
        <v>173</v>
      </c>
      <c r="B9" s="10">
        <v>50</v>
      </c>
      <c r="C9" s="5">
        <v>50929</v>
      </c>
      <c r="D9" s="5">
        <v>22790</v>
      </c>
      <c r="E9" s="5">
        <v>1493</v>
      </c>
      <c r="F9" s="5">
        <v>215</v>
      </c>
      <c r="G9" s="5">
        <v>13140</v>
      </c>
      <c r="H9" s="5">
        <v>28884</v>
      </c>
      <c r="I9" s="7">
        <v>225900</v>
      </c>
      <c r="J9" s="7">
        <v>292700</v>
      </c>
      <c r="K9" s="5">
        <v>10118</v>
      </c>
      <c r="L9" s="5">
        <v>23811</v>
      </c>
      <c r="M9" s="7">
        <v>401200</v>
      </c>
      <c r="N9" s="7">
        <v>1872000</v>
      </c>
      <c r="O9" s="8">
        <f t="shared" si="5"/>
        <v>0.99397976012311817</v>
      </c>
      <c r="P9" s="8">
        <f t="shared" si="5"/>
        <v>1.0520326788795571</v>
      </c>
      <c r="Q9" s="8">
        <f t="shared" si="0"/>
        <v>2.6520131766940405</v>
      </c>
      <c r="R9" s="8">
        <f t="shared" si="0"/>
        <v>8.8876250153685703</v>
      </c>
      <c r="S9" s="8">
        <f t="shared" si="6"/>
        <v>0.51393834450124276</v>
      </c>
      <c r="T9" s="8">
        <f t="shared" si="1"/>
        <v>0.60934898032983897</v>
      </c>
      <c r="U9" s="8">
        <f t="shared" si="1"/>
        <v>9.761249876946426</v>
      </c>
      <c r="V9" s="8">
        <f t="shared" si="1"/>
        <v>367.39696612726237</v>
      </c>
      <c r="W9" s="8">
        <f t="shared" si="7"/>
        <v>0.13619366129282931</v>
      </c>
      <c r="X9" s="8">
        <f t="shared" si="8"/>
        <v>0.13448894262207961</v>
      </c>
      <c r="Y9" s="8">
        <f t="shared" si="8"/>
        <v>1.922807058459431</v>
      </c>
      <c r="Z9" s="8">
        <f t="shared" si="8"/>
        <v>62.368458118349167</v>
      </c>
      <c r="AA9" s="8">
        <f t="shared" si="9"/>
        <v>6936.2069759825035</v>
      </c>
      <c r="AB9" s="8">
        <f t="shared" si="9"/>
        <v>3065.0030023571944</v>
      </c>
      <c r="AC9" s="8">
        <f t="shared" si="2"/>
        <v>2870.7509382799303</v>
      </c>
      <c r="AD9" s="8">
        <f t="shared" si="2"/>
        <v>13409.218495445071</v>
      </c>
      <c r="AE9" s="8">
        <f t="shared" si="10"/>
        <v>0.26392297191953079</v>
      </c>
      <c r="AF9" s="8">
        <f t="shared" si="11"/>
        <v>0.11662349525113651</v>
      </c>
      <c r="AG9" s="8">
        <f t="shared" si="12"/>
        <v>0.10923219590982573</v>
      </c>
      <c r="AH9" s="8">
        <f t="shared" si="13"/>
        <v>0.51022133691950688</v>
      </c>
      <c r="AI9" s="8">
        <f>LN((AVERAGE(G29:G31))/G9)/1.21</f>
        <v>-1.2888724251040738E-2</v>
      </c>
      <c r="AJ9" s="8">
        <f>LN((AVERAGE(H29:H31))/H9)/1.21</f>
        <v>-0.1981152866627672</v>
      </c>
      <c r="AK9" s="8">
        <f>LN((AVERAGE(I29:I31))/I9)/1.21</f>
        <v>-6.2429031701637019E-3</v>
      </c>
      <c r="AL9" s="8">
        <f>LN((AVERAGE(J29:J31))/J9)/1.21</f>
        <v>-4.7193269001553524E-3</v>
      </c>
      <c r="AM9" s="15">
        <f t="shared" si="17"/>
        <v>-2.9596354904365633E-2</v>
      </c>
      <c r="AN9" s="10">
        <v>50</v>
      </c>
      <c r="AO9" s="50">
        <f t="shared" si="14"/>
        <v>1.213052790726975</v>
      </c>
      <c r="AP9" s="50">
        <f t="shared" si="15"/>
        <v>0.56306081754735793</v>
      </c>
      <c r="AQ9" s="50">
        <f>LN((AVERAGE(AO29:AO31))/AO9)/1.21</f>
        <v>-5.6481108542752116E-2</v>
      </c>
      <c r="AR9" s="50">
        <f>LN((AVERAGE(AP29:AP31))/AP9)/1.21</f>
        <v>-1.6439616238300717E-2</v>
      </c>
      <c r="AS9" s="8">
        <f t="shared" si="18"/>
        <v>0.51636288043776402</v>
      </c>
      <c r="AT9" s="8">
        <f t="shared" si="19"/>
        <v>0.48363711956223593</v>
      </c>
      <c r="AU9" s="50">
        <f t="shared" si="20"/>
        <v>-3.7115556541653799E-2</v>
      </c>
      <c r="AV9" s="46">
        <f t="shared" si="16"/>
        <v>28884</v>
      </c>
      <c r="AW9" s="46">
        <f t="shared" si="3"/>
        <v>225900</v>
      </c>
      <c r="AX9" s="48">
        <f>LN((AVERAGE(AV29:AV31))/AV9)/1.21</f>
        <v>-0.1981152866627672</v>
      </c>
      <c r="AY9" s="48">
        <f>LN((AVERAGE(AW29:AW31))/AW9)/1.21</f>
        <v>-6.2429031701637019E-3</v>
      </c>
      <c r="AZ9" s="48">
        <f t="shared" si="4"/>
        <v>-0.10531867978686373</v>
      </c>
    </row>
    <row r="10" spans="1:52" x14ac:dyDescent="0.2">
      <c r="A10" s="5" t="s">
        <v>174</v>
      </c>
      <c r="B10" s="10">
        <v>70</v>
      </c>
      <c r="C10" s="5">
        <v>5490</v>
      </c>
      <c r="D10" s="5">
        <v>1697</v>
      </c>
      <c r="E10" s="5">
        <v>303</v>
      </c>
      <c r="F10" s="5">
        <v>40</v>
      </c>
      <c r="G10" s="5">
        <v>23796</v>
      </c>
      <c r="H10" s="5">
        <v>69063</v>
      </c>
      <c r="I10" s="7">
        <v>274100</v>
      </c>
      <c r="J10" s="7">
        <v>288300</v>
      </c>
      <c r="K10" s="5">
        <v>14024</v>
      </c>
      <c r="L10" s="5">
        <v>48503</v>
      </c>
      <c r="M10" s="7">
        <v>388900</v>
      </c>
      <c r="N10" s="7">
        <v>1714000</v>
      </c>
      <c r="O10" s="8">
        <f t="shared" ref="O10:O11" si="21">(224333+K10)/235871</f>
        <v>1.0105396593900904</v>
      </c>
      <c r="P10" s="8">
        <f t="shared" ref="P10:P11" si="22">(224333+L10)/235871</f>
        <v>1.1567170190485476</v>
      </c>
      <c r="Q10" s="8">
        <f t="shared" ref="Q10:Q11" si="23">(224333+M10)/235871</f>
        <v>2.5998660284647115</v>
      </c>
      <c r="R10" s="8">
        <f t="shared" ref="R10:R11" si="24">(224333+N10)/235871</f>
        <v>8.2177673389267856</v>
      </c>
      <c r="S10" s="8">
        <f t="shared" ref="S10:S11" si="25">4/3*3.14*((O10/2)^3)</f>
        <v>0.54005561382972245</v>
      </c>
      <c r="T10" s="8">
        <f t="shared" ref="T10:T11" si="26">4/3*3.14*((P10/2)^3)</f>
        <v>0.80995291768283262</v>
      </c>
      <c r="U10" s="8">
        <f t="shared" ref="U10:U11" si="27">4/3*3.14*((Q10/2)^3)</f>
        <v>9.1966848732323392</v>
      </c>
      <c r="V10" s="8">
        <f t="shared" ref="V10:V11" si="28">4/3*3.14*((R10/2)^3)</f>
        <v>290.42896142645571</v>
      </c>
      <c r="W10" s="8">
        <f t="shared" ref="W10:W11" si="29">(S10*265)/1000</f>
        <v>0.14311473766487645</v>
      </c>
      <c r="X10" s="8">
        <f t="shared" ref="X10:X11" si="30">(10^(-0.665+LOG(T10, 10)*0.959))</f>
        <v>0.176690387609204</v>
      </c>
      <c r="Y10" s="8">
        <f t="shared" ref="Y10:Y11" si="31">(10^(-0.665+LOG(U10, 10)*0.959))</f>
        <v>1.8160275053107084</v>
      </c>
      <c r="Z10" s="8">
        <f t="shared" ref="Z10:Z11" si="32">(10^(-0.665+LOG(V10, 10)*0.959))</f>
        <v>49.780045017255375</v>
      </c>
      <c r="AA10" s="8">
        <f t="shared" ref="AA10:AA11" si="33">W10*C10</f>
        <v>785.69990978017177</v>
      </c>
      <c r="AB10" s="8">
        <f t="shared" ref="AB10:AB11" si="34">X10*D10</f>
        <v>299.84358777281921</v>
      </c>
      <c r="AC10" s="8">
        <f t="shared" ref="AC10:AC11" si="35">Y10*E10</f>
        <v>550.25633410914463</v>
      </c>
      <c r="AD10" s="8">
        <f t="shared" ref="AD10:AD11" si="36">Z10*F10</f>
        <v>1991.2018006902149</v>
      </c>
      <c r="AE10" s="8">
        <f t="shared" ref="AE10:AE11" si="37">AA10/(AA10+AB10+AC10+AD10)</f>
        <v>0.21662518780577261</v>
      </c>
      <c r="AF10" s="8">
        <f t="shared" ref="AF10:AF11" si="38">AB10/(AA10+AB10+AC10+AD10)</f>
        <v>8.2669824324934429E-2</v>
      </c>
      <c r="AG10" s="8">
        <f t="shared" ref="AG10:AG11" si="39">AC10/(AA10+AB10+AC10+AD10)</f>
        <v>0.1517110798078872</v>
      </c>
      <c r="AH10" s="8">
        <f t="shared" ref="AH10:AH11" si="40">AD10/(AA10+AB10+AC10+AD10)</f>
        <v>0.5489939080614058</v>
      </c>
      <c r="AI10" s="8"/>
      <c r="AN10" s="10">
        <v>70</v>
      </c>
      <c r="AO10" s="50">
        <f t="shared" si="14"/>
        <v>1.4238913056924314</v>
      </c>
      <c r="AP10" s="50">
        <f t="shared" si="15"/>
        <v>0.70480843404474158</v>
      </c>
      <c r="AQ10" s="51"/>
      <c r="AR10" s="51"/>
      <c r="AU10" s="51"/>
      <c r="AV10" s="46">
        <f t="shared" si="16"/>
        <v>69063</v>
      </c>
      <c r="AW10" s="46">
        <f t="shared" si="3"/>
        <v>274100</v>
      </c>
    </row>
    <row r="11" spans="1:52" x14ac:dyDescent="0.2">
      <c r="A11" s="5" t="s">
        <v>175</v>
      </c>
      <c r="B11" s="10">
        <v>100</v>
      </c>
      <c r="C11" s="5">
        <v>3409</v>
      </c>
      <c r="D11" s="5">
        <v>1171</v>
      </c>
      <c r="E11" s="5">
        <v>122</v>
      </c>
      <c r="F11" s="5">
        <v>41</v>
      </c>
      <c r="G11" s="5">
        <v>16554</v>
      </c>
      <c r="H11" s="5">
        <v>59357</v>
      </c>
      <c r="I11" s="7">
        <v>289200</v>
      </c>
      <c r="J11" s="7">
        <v>290400</v>
      </c>
      <c r="K11" s="5">
        <v>10621</v>
      </c>
      <c r="L11" s="5">
        <v>48659</v>
      </c>
      <c r="M11" s="7">
        <v>391800</v>
      </c>
      <c r="N11" s="7">
        <v>1684000</v>
      </c>
      <c r="O11" s="8">
        <f t="shared" si="21"/>
        <v>0.99611228171330934</v>
      </c>
      <c r="P11" s="8">
        <f t="shared" si="22"/>
        <v>1.1573783975138954</v>
      </c>
      <c r="Q11" s="8">
        <f t="shared" si="23"/>
        <v>2.6121608845513014</v>
      </c>
      <c r="R11" s="8">
        <f t="shared" si="24"/>
        <v>8.0905791725137899</v>
      </c>
      <c r="S11" s="8">
        <f t="shared" si="25"/>
        <v>0.51725331440693834</v>
      </c>
      <c r="T11" s="8">
        <f t="shared" si="26"/>
        <v>0.81134303754067616</v>
      </c>
      <c r="U11" s="8">
        <f t="shared" si="27"/>
        <v>9.3277771829646987</v>
      </c>
      <c r="V11" s="8">
        <f t="shared" si="28"/>
        <v>277.15150045004418</v>
      </c>
      <c r="W11" s="8">
        <f t="shared" si="29"/>
        <v>0.13707212831783866</v>
      </c>
      <c r="X11" s="8">
        <f t="shared" si="30"/>
        <v>0.17698119720466643</v>
      </c>
      <c r="Y11" s="8">
        <f t="shared" si="31"/>
        <v>1.8408451542735849</v>
      </c>
      <c r="Z11" s="8">
        <f t="shared" si="32"/>
        <v>47.595492767119524</v>
      </c>
      <c r="AA11" s="8">
        <f t="shared" si="33"/>
        <v>467.278885435512</v>
      </c>
      <c r="AB11" s="8">
        <f t="shared" si="34"/>
        <v>207.24498192666439</v>
      </c>
      <c r="AC11" s="8">
        <f t="shared" si="35"/>
        <v>224.58310882137735</v>
      </c>
      <c r="AD11" s="8">
        <f t="shared" si="36"/>
        <v>1951.4152034519004</v>
      </c>
      <c r="AE11" s="8">
        <f t="shared" si="37"/>
        <v>0.16392746871917729</v>
      </c>
      <c r="AF11" s="8">
        <f t="shared" si="38"/>
        <v>7.270421658433418E-2</v>
      </c>
      <c r="AG11" s="8">
        <f t="shared" si="39"/>
        <v>7.8786655450651055E-2</v>
      </c>
      <c r="AH11" s="8">
        <f t="shared" si="40"/>
        <v>0.68458165924583747</v>
      </c>
      <c r="AI11" s="8"/>
      <c r="AN11" s="10">
        <v>100</v>
      </c>
      <c r="AO11" s="50">
        <f t="shared" si="14"/>
        <v>1.2198565527446104</v>
      </c>
      <c r="AP11" s="50">
        <f t="shared" si="15"/>
        <v>0.73813169984686067</v>
      </c>
      <c r="AQ11" s="51"/>
      <c r="AR11" s="51"/>
      <c r="AU11" s="51"/>
      <c r="AV11" s="46">
        <f t="shared" si="16"/>
        <v>59357</v>
      </c>
      <c r="AW11" s="46">
        <f t="shared" si="3"/>
        <v>289200</v>
      </c>
    </row>
    <row r="12" spans="1:52" x14ac:dyDescent="0.2">
      <c r="I12" s="7"/>
      <c r="J12" s="7"/>
      <c r="M12" s="7"/>
      <c r="N12" s="7"/>
      <c r="O12" s="8"/>
      <c r="P12" s="8"/>
      <c r="Q12" s="8"/>
      <c r="R12" s="8"/>
      <c r="S12" s="8"/>
      <c r="T12" s="8"/>
      <c r="U12" s="8"/>
      <c r="V12" s="8"/>
      <c r="W12" s="8"/>
      <c r="X12" s="8"/>
      <c r="Y12" s="8"/>
      <c r="Z12" s="8"/>
      <c r="AA12" s="8"/>
      <c r="AB12" s="8"/>
      <c r="AC12" s="8"/>
      <c r="AD12" s="8"/>
      <c r="AE12" s="8"/>
      <c r="AF12" s="8"/>
      <c r="AG12" s="8"/>
      <c r="AH12" s="8"/>
      <c r="AI12" s="8"/>
      <c r="AN12" s="10"/>
    </row>
    <row r="13" spans="1:52" s="4" customFormat="1" x14ac:dyDescent="0.2">
      <c r="A13" s="4" t="s">
        <v>40</v>
      </c>
      <c r="B13" s="6" t="s">
        <v>115</v>
      </c>
      <c r="C13" s="4" t="s">
        <v>0</v>
      </c>
      <c r="D13" s="4" t="s">
        <v>1</v>
      </c>
      <c r="E13" s="4" t="s">
        <v>2</v>
      </c>
      <c r="F13" s="4" t="s">
        <v>3</v>
      </c>
      <c r="G13" s="4" t="s">
        <v>4</v>
      </c>
      <c r="H13" s="4" t="s">
        <v>5</v>
      </c>
      <c r="I13" s="4" t="s">
        <v>6</v>
      </c>
      <c r="J13" s="4" t="s">
        <v>7</v>
      </c>
      <c r="K13" s="4" t="s">
        <v>8</v>
      </c>
      <c r="L13" s="4" t="s">
        <v>9</v>
      </c>
      <c r="M13" s="4" t="s">
        <v>10</v>
      </c>
      <c r="N13" s="4" t="s">
        <v>11</v>
      </c>
      <c r="O13" s="4" t="s">
        <v>26</v>
      </c>
      <c r="P13" s="4" t="s">
        <v>27</v>
      </c>
      <c r="Q13" s="4" t="s">
        <v>28</v>
      </c>
      <c r="R13" s="4" t="s">
        <v>29</v>
      </c>
      <c r="AN13" s="6" t="s">
        <v>115</v>
      </c>
      <c r="AV13" s="5"/>
      <c r="AW13" s="5"/>
      <c r="AX13" s="5"/>
      <c r="AY13" s="5"/>
      <c r="AZ13" s="5"/>
    </row>
    <row r="14" spans="1:52" x14ac:dyDescent="0.2">
      <c r="A14" s="5" t="s">
        <v>513</v>
      </c>
      <c r="B14" s="10">
        <v>5</v>
      </c>
      <c r="AN14" s="10">
        <v>5</v>
      </c>
      <c r="AO14" s="8"/>
      <c r="AP14" s="8"/>
      <c r="AV14" s="5">
        <f t="shared" ref="AV14:AW29" si="41">H14</f>
        <v>0</v>
      </c>
      <c r="AW14" s="5">
        <f t="shared" si="41"/>
        <v>0</v>
      </c>
    </row>
    <row r="15" spans="1:52" x14ac:dyDescent="0.2">
      <c r="A15" s="5" t="s">
        <v>513</v>
      </c>
      <c r="B15" s="10">
        <v>5</v>
      </c>
      <c r="AN15" s="10">
        <v>5</v>
      </c>
      <c r="AO15" s="8"/>
      <c r="AP15" s="8"/>
      <c r="AV15" s="5">
        <f t="shared" si="41"/>
        <v>0</v>
      </c>
      <c r="AW15" s="5">
        <f t="shared" si="41"/>
        <v>0</v>
      </c>
    </row>
    <row r="16" spans="1:52" x14ac:dyDescent="0.2">
      <c r="A16" s="5" t="s">
        <v>513</v>
      </c>
      <c r="B16" s="10">
        <v>5</v>
      </c>
      <c r="AN16" s="10">
        <v>5</v>
      </c>
      <c r="AO16" s="8"/>
      <c r="AP16" s="8"/>
      <c r="AV16" s="5">
        <f t="shared" si="41"/>
        <v>0</v>
      </c>
      <c r="AW16" s="5">
        <f t="shared" si="41"/>
        <v>0</v>
      </c>
    </row>
    <row r="17" spans="1:49" x14ac:dyDescent="0.2">
      <c r="A17" s="5" t="s">
        <v>513</v>
      </c>
      <c r="B17" s="10">
        <v>12</v>
      </c>
      <c r="AN17" s="10">
        <v>12</v>
      </c>
      <c r="AO17" s="8"/>
      <c r="AP17" s="8"/>
      <c r="AV17" s="5">
        <f t="shared" si="41"/>
        <v>0</v>
      </c>
      <c r="AW17" s="5">
        <f t="shared" si="41"/>
        <v>0</v>
      </c>
    </row>
    <row r="18" spans="1:49" x14ac:dyDescent="0.2">
      <c r="A18" s="5" t="s">
        <v>513</v>
      </c>
      <c r="B18" s="10">
        <v>12</v>
      </c>
      <c r="AN18" s="10">
        <v>12</v>
      </c>
      <c r="AO18" s="8"/>
      <c r="AP18" s="8"/>
      <c r="AV18" s="5">
        <f t="shared" si="41"/>
        <v>0</v>
      </c>
      <c r="AW18" s="5">
        <f t="shared" si="41"/>
        <v>0</v>
      </c>
    </row>
    <row r="19" spans="1:49" x14ac:dyDescent="0.2">
      <c r="A19" s="5" t="s">
        <v>513</v>
      </c>
      <c r="B19" s="10">
        <v>12</v>
      </c>
      <c r="AN19" s="10">
        <v>12</v>
      </c>
      <c r="AO19" s="8"/>
      <c r="AP19" s="8"/>
      <c r="AV19" s="5">
        <f t="shared" si="41"/>
        <v>0</v>
      </c>
      <c r="AW19" s="5">
        <f t="shared" si="41"/>
        <v>0</v>
      </c>
    </row>
    <row r="20" spans="1:49" x14ac:dyDescent="0.2">
      <c r="A20" s="5" t="s">
        <v>513</v>
      </c>
      <c r="B20" s="10">
        <v>20</v>
      </c>
      <c r="AN20" s="10">
        <v>20</v>
      </c>
      <c r="AO20" s="8"/>
      <c r="AP20" s="8"/>
      <c r="AV20" s="5">
        <f t="shared" si="41"/>
        <v>0</v>
      </c>
      <c r="AW20" s="5">
        <f t="shared" si="41"/>
        <v>0</v>
      </c>
    </row>
    <row r="21" spans="1:49" x14ac:dyDescent="0.2">
      <c r="A21" s="5" t="s">
        <v>513</v>
      </c>
      <c r="B21" s="10">
        <v>20</v>
      </c>
      <c r="AN21" s="10">
        <v>20</v>
      </c>
      <c r="AO21" s="8"/>
      <c r="AP21" s="8"/>
      <c r="AV21" s="5">
        <f t="shared" si="41"/>
        <v>0</v>
      </c>
      <c r="AW21" s="5">
        <f t="shared" si="41"/>
        <v>0</v>
      </c>
    </row>
    <row r="22" spans="1:49" x14ac:dyDescent="0.2">
      <c r="A22" s="5" t="s">
        <v>513</v>
      </c>
      <c r="B22" s="10">
        <v>20</v>
      </c>
      <c r="AN22" s="10">
        <v>20</v>
      </c>
      <c r="AO22" s="8"/>
      <c r="AP22" s="8"/>
      <c r="AV22" s="5">
        <f t="shared" si="41"/>
        <v>0</v>
      </c>
      <c r="AW22" s="5">
        <f t="shared" si="41"/>
        <v>0</v>
      </c>
    </row>
    <row r="23" spans="1:49" x14ac:dyDescent="0.2">
      <c r="A23" s="5" t="s">
        <v>176</v>
      </c>
      <c r="B23" s="10">
        <v>30</v>
      </c>
      <c r="C23" s="5">
        <v>17113</v>
      </c>
      <c r="D23" s="5">
        <v>7174</v>
      </c>
      <c r="E23" s="5">
        <v>370</v>
      </c>
      <c r="F23" s="5">
        <v>70</v>
      </c>
      <c r="G23" s="5">
        <v>10354</v>
      </c>
      <c r="H23" s="5">
        <v>20355</v>
      </c>
      <c r="I23" s="7">
        <v>225500</v>
      </c>
      <c r="J23" s="7">
        <v>294900</v>
      </c>
      <c r="K23" s="5">
        <v>3029</v>
      </c>
      <c r="L23" s="5">
        <v>23014</v>
      </c>
      <c r="M23" s="7">
        <v>534000</v>
      </c>
      <c r="N23" s="7">
        <v>2663000</v>
      </c>
      <c r="O23" s="8">
        <f t="shared" ref="O23:R28" si="42">(224333+K23)/235871</f>
        <v>0.96392519639972696</v>
      </c>
      <c r="P23" s="8">
        <f t="shared" si="42"/>
        <v>1.0486537132585185</v>
      </c>
      <c r="Q23" s="8">
        <f t="shared" si="42"/>
        <v>3.2150327933489069</v>
      </c>
      <c r="R23" s="8">
        <f t="shared" si="42"/>
        <v>12.241153003124589</v>
      </c>
      <c r="S23" s="8">
        <f t="shared" ref="S23:V28" si="43">4/3*3.14*((O23/2)^3)</f>
        <v>0.4687145071040752</v>
      </c>
      <c r="T23" s="8">
        <f t="shared" si="43"/>
        <v>0.60349641523145248</v>
      </c>
      <c r="U23" s="8">
        <f t="shared" si="43"/>
        <v>17.391403004654343</v>
      </c>
      <c r="V23" s="8">
        <f t="shared" si="43"/>
        <v>959.94284616056939</v>
      </c>
      <c r="W23" s="8">
        <f t="shared" ref="W23:W28" si="44">(S23*265)/1000</f>
        <v>0.12420934438257993</v>
      </c>
      <c r="X23" s="8">
        <f t="shared" ref="X23:Z28" si="45">(10^(-0.665+LOG(T23, 10)*0.959))</f>
        <v>0.13324994310012872</v>
      </c>
      <c r="Y23" s="8">
        <f t="shared" si="45"/>
        <v>3.3456530323153029</v>
      </c>
      <c r="Z23" s="8">
        <f t="shared" si="45"/>
        <v>156.66548084832328</v>
      </c>
      <c r="AA23" s="8">
        <f t="shared" ref="AA23:AA31" si="46">W23*C23</f>
        <v>2125.5945104190901</v>
      </c>
      <c r="AB23" s="8">
        <f t="shared" ref="AB23:AB31" si="47">X23*D23</f>
        <v>955.93509180032345</v>
      </c>
      <c r="AC23" s="8">
        <f t="shared" ref="AC23:AC31" si="48">Y23*E23</f>
        <v>1237.891621956662</v>
      </c>
      <c r="AD23" s="8">
        <f t="shared" ref="AD23:AD31" si="49">Z23*F23</f>
        <v>10966.58365938263</v>
      </c>
      <c r="AE23" s="8">
        <f t="shared" ref="AE23:AE31" si="50">AA23/(AA23+AB23+AC23+AD23)</f>
        <v>0.13905494121000403</v>
      </c>
      <c r="AF23" s="8">
        <f t="shared" ref="AF23:AF31" si="51">AB23/(AA23+AB23+AC23+AD23)</f>
        <v>6.2536620855623726E-2</v>
      </c>
      <c r="AG23" s="8">
        <f t="shared" ref="AG23:AG31" si="52">AC23/(AA23+AB23+AC23+AD23)</f>
        <v>8.0982024497984514E-2</v>
      </c>
      <c r="AH23" s="8">
        <f t="shared" ref="AH23:AH31" si="53">AD23/(AA23+AB23+AC23+AD23)</f>
        <v>0.7174264134363878</v>
      </c>
      <c r="AI23" s="8"/>
      <c r="AN23" s="10">
        <v>30</v>
      </c>
      <c r="AO23" s="8">
        <f t="shared" ref="AO23:AO31" si="54">H23/L23</f>
        <v>0.88446163205005646</v>
      </c>
      <c r="AP23" s="8">
        <f t="shared" ref="AP23:AP31" si="55">I23/M23</f>
        <v>0.42228464419475653</v>
      </c>
      <c r="AV23" s="5">
        <f t="shared" si="41"/>
        <v>20355</v>
      </c>
      <c r="AW23" s="5">
        <f t="shared" si="41"/>
        <v>225500</v>
      </c>
    </row>
    <row r="24" spans="1:49" x14ac:dyDescent="0.2">
      <c r="A24" s="5" t="s">
        <v>177</v>
      </c>
      <c r="B24" s="10">
        <v>30</v>
      </c>
      <c r="C24" s="5">
        <v>57424</v>
      </c>
      <c r="D24" s="5">
        <v>22305</v>
      </c>
      <c r="E24" s="5">
        <v>978</v>
      </c>
      <c r="F24" s="5">
        <v>235</v>
      </c>
      <c r="G24" s="5">
        <v>10708</v>
      </c>
      <c r="H24" s="5">
        <v>19959</v>
      </c>
      <c r="I24" s="7">
        <v>224400</v>
      </c>
      <c r="J24" s="7">
        <v>292000</v>
      </c>
      <c r="K24" s="5">
        <v>3020</v>
      </c>
      <c r="L24" s="5">
        <v>22094</v>
      </c>
      <c r="M24" s="7">
        <v>569800</v>
      </c>
      <c r="N24" s="7">
        <v>2711000</v>
      </c>
      <c r="O24" s="8">
        <f t="shared" si="42"/>
        <v>0.96388703994980307</v>
      </c>
      <c r="P24" s="8">
        <f t="shared" si="42"/>
        <v>1.0447532761551865</v>
      </c>
      <c r="Q24" s="8">
        <f t="shared" si="42"/>
        <v>3.3668106719350832</v>
      </c>
      <c r="R24" s="8">
        <f t="shared" si="42"/>
        <v>12.444654069385384</v>
      </c>
      <c r="S24" s="8">
        <f t="shared" si="43"/>
        <v>0.4686588478877346</v>
      </c>
      <c r="T24" s="8">
        <f t="shared" si="43"/>
        <v>0.59678736903378293</v>
      </c>
      <c r="U24" s="8">
        <f t="shared" si="43"/>
        <v>19.97259442296011</v>
      </c>
      <c r="V24" s="8">
        <f t="shared" si="43"/>
        <v>1008.618394091118</v>
      </c>
      <c r="W24" s="8">
        <f t="shared" si="44"/>
        <v>0.12419459469024967</v>
      </c>
      <c r="X24" s="8">
        <f t="shared" si="45"/>
        <v>0.13182901836504504</v>
      </c>
      <c r="Y24" s="8">
        <f t="shared" si="45"/>
        <v>3.8204689043489153</v>
      </c>
      <c r="Z24" s="8">
        <f t="shared" si="45"/>
        <v>164.27598573284567</v>
      </c>
      <c r="AA24" s="8">
        <f t="shared" si="46"/>
        <v>7131.7504054928968</v>
      </c>
      <c r="AB24" s="8">
        <f t="shared" si="47"/>
        <v>2940.4462546323298</v>
      </c>
      <c r="AC24" s="8">
        <f t="shared" si="48"/>
        <v>3736.418588453239</v>
      </c>
      <c r="AD24" s="8">
        <f t="shared" si="49"/>
        <v>38604.85664721873</v>
      </c>
      <c r="AE24" s="8">
        <f t="shared" si="50"/>
        <v>0.1360671244918</v>
      </c>
      <c r="AF24" s="8">
        <f t="shared" si="51"/>
        <v>5.6100963135550484E-2</v>
      </c>
      <c r="AG24" s="8">
        <f t="shared" si="52"/>
        <v>7.1287370466157685E-2</v>
      </c>
      <c r="AH24" s="8">
        <f t="shared" si="53"/>
        <v>0.73654454190649188</v>
      </c>
      <c r="AI24" s="8"/>
      <c r="AN24" s="10">
        <v>30</v>
      </c>
      <c r="AO24" s="8">
        <f t="shared" si="54"/>
        <v>0.90336743007151266</v>
      </c>
      <c r="AP24" s="8">
        <f t="shared" si="55"/>
        <v>0.39382239382239381</v>
      </c>
      <c r="AV24" s="5">
        <f t="shared" si="41"/>
        <v>19959</v>
      </c>
      <c r="AW24" s="5">
        <f t="shared" si="41"/>
        <v>224400</v>
      </c>
    </row>
    <row r="25" spans="1:49" x14ac:dyDescent="0.2">
      <c r="A25" s="5" t="s">
        <v>178</v>
      </c>
      <c r="B25" s="10">
        <v>30</v>
      </c>
      <c r="C25" s="5">
        <v>62846</v>
      </c>
      <c r="D25" s="5">
        <v>23564</v>
      </c>
      <c r="E25" s="5">
        <v>1184</v>
      </c>
      <c r="F25" s="5">
        <v>254</v>
      </c>
      <c r="G25" s="5">
        <v>10467</v>
      </c>
      <c r="H25" s="5">
        <v>19351</v>
      </c>
      <c r="I25" s="7">
        <v>229600</v>
      </c>
      <c r="J25" s="7">
        <v>289000</v>
      </c>
      <c r="K25" s="5">
        <v>2523</v>
      </c>
      <c r="L25" s="5">
        <v>22266</v>
      </c>
      <c r="M25" s="7">
        <v>558700</v>
      </c>
      <c r="N25" s="7">
        <v>2244000</v>
      </c>
      <c r="O25" s="8">
        <f t="shared" si="42"/>
        <v>0.96177995599289445</v>
      </c>
      <c r="P25" s="8">
        <f t="shared" si="42"/>
        <v>1.0454824883092877</v>
      </c>
      <c r="Q25" s="8">
        <f t="shared" si="42"/>
        <v>3.3197510503622745</v>
      </c>
      <c r="R25" s="8">
        <f t="shared" si="42"/>
        <v>10.464758278889732</v>
      </c>
      <c r="S25" s="8">
        <f t="shared" si="43"/>
        <v>0.46559205781319918</v>
      </c>
      <c r="T25" s="8">
        <f t="shared" si="43"/>
        <v>0.59803787027182109</v>
      </c>
      <c r="U25" s="8">
        <f t="shared" si="43"/>
        <v>19.14674479439751</v>
      </c>
      <c r="V25" s="8">
        <f t="shared" si="43"/>
        <v>599.74412350497494</v>
      </c>
      <c r="W25" s="8">
        <f t="shared" si="44"/>
        <v>0.12338189532049777</v>
      </c>
      <c r="X25" s="8">
        <f t="shared" si="45"/>
        <v>0.13209391441757179</v>
      </c>
      <c r="Y25" s="8">
        <f t="shared" si="45"/>
        <v>3.6688423939984274</v>
      </c>
      <c r="Z25" s="8">
        <f t="shared" si="45"/>
        <v>99.785949751082285</v>
      </c>
      <c r="AA25" s="8">
        <f t="shared" si="46"/>
        <v>7754.0585933120028</v>
      </c>
      <c r="AB25" s="8">
        <f t="shared" si="47"/>
        <v>3112.6609993356615</v>
      </c>
      <c r="AC25" s="8">
        <f t="shared" si="48"/>
        <v>4343.9093944941378</v>
      </c>
      <c r="AD25" s="8">
        <f t="shared" si="49"/>
        <v>25345.631236774901</v>
      </c>
      <c r="AE25" s="8">
        <f t="shared" si="50"/>
        <v>0.19119264326890045</v>
      </c>
      <c r="AF25" s="8">
        <f t="shared" si="51"/>
        <v>7.6749211642055531E-2</v>
      </c>
      <c r="AG25" s="8">
        <f t="shared" si="52"/>
        <v>0.10710823361204448</v>
      </c>
      <c r="AH25" s="8">
        <f t="shared" si="53"/>
        <v>0.62494991147699952</v>
      </c>
      <c r="AI25" s="8"/>
      <c r="AN25" s="10">
        <v>30</v>
      </c>
      <c r="AO25" s="8">
        <f t="shared" si="54"/>
        <v>0.86908290667385246</v>
      </c>
      <c r="AP25" s="8">
        <f t="shared" si="55"/>
        <v>0.41095400035797386</v>
      </c>
      <c r="AV25" s="5">
        <f t="shared" si="41"/>
        <v>19351</v>
      </c>
      <c r="AW25" s="5">
        <f t="shared" si="41"/>
        <v>229600</v>
      </c>
    </row>
    <row r="26" spans="1:49" x14ac:dyDescent="0.2">
      <c r="A26" s="5" t="s">
        <v>179</v>
      </c>
      <c r="B26" s="10">
        <v>40</v>
      </c>
      <c r="C26" s="5">
        <v>25523</v>
      </c>
      <c r="D26" s="5">
        <v>9839</v>
      </c>
      <c r="E26" s="5">
        <v>450</v>
      </c>
      <c r="F26" s="5">
        <v>85</v>
      </c>
      <c r="G26" s="5">
        <v>10968</v>
      </c>
      <c r="H26" s="5">
        <v>19168</v>
      </c>
      <c r="I26" s="7">
        <v>215300</v>
      </c>
      <c r="J26" s="7">
        <v>289100</v>
      </c>
      <c r="K26" s="5">
        <v>3255</v>
      </c>
      <c r="L26" s="5">
        <v>18021</v>
      </c>
      <c r="M26" s="7">
        <v>465400</v>
      </c>
      <c r="N26" s="7">
        <v>2199000</v>
      </c>
      <c r="O26" s="8">
        <f t="shared" si="42"/>
        <v>0.96488334725337155</v>
      </c>
      <c r="P26" s="8">
        <f t="shared" si="42"/>
        <v>1.0274853627618485</v>
      </c>
      <c r="Q26" s="8">
        <f t="shared" si="42"/>
        <v>2.9241958528178538</v>
      </c>
      <c r="R26" s="8">
        <f t="shared" si="42"/>
        <v>10.273976029270237</v>
      </c>
      <c r="S26" s="8">
        <f t="shared" si="43"/>
        <v>0.47011361700468207</v>
      </c>
      <c r="T26" s="8">
        <f t="shared" si="43"/>
        <v>0.5676822681084811</v>
      </c>
      <c r="U26" s="8">
        <f t="shared" si="43"/>
        <v>13.085724366744341</v>
      </c>
      <c r="V26" s="8">
        <f t="shared" si="43"/>
        <v>567.53681947593793</v>
      </c>
      <c r="W26" s="8">
        <f t="shared" si="44"/>
        <v>0.12458010850624075</v>
      </c>
      <c r="X26" s="8">
        <f t="shared" si="45"/>
        <v>0.12565709362051083</v>
      </c>
      <c r="Y26" s="8">
        <f t="shared" si="45"/>
        <v>2.5468833820528824</v>
      </c>
      <c r="Z26" s="8">
        <f t="shared" si="45"/>
        <v>94.641210467612538</v>
      </c>
      <c r="AA26" s="8">
        <f t="shared" si="46"/>
        <v>3179.6581094047829</v>
      </c>
      <c r="AB26" s="8">
        <f t="shared" si="47"/>
        <v>1236.3401441322062</v>
      </c>
      <c r="AC26" s="8">
        <f t="shared" si="48"/>
        <v>1146.0975219237971</v>
      </c>
      <c r="AD26" s="8">
        <f t="shared" si="49"/>
        <v>8044.5028897470656</v>
      </c>
      <c r="AE26" s="8">
        <f t="shared" si="50"/>
        <v>0.23368500737331119</v>
      </c>
      <c r="AF26" s="8">
        <f t="shared" si="51"/>
        <v>9.0863277043184559E-2</v>
      </c>
      <c r="AG26" s="8">
        <f t="shared" si="52"/>
        <v>8.4231008066282934E-2</v>
      </c>
      <c r="AH26" s="8">
        <f t="shared" si="53"/>
        <v>0.59122070751722133</v>
      </c>
      <c r="AI26" s="8"/>
      <c r="AN26" s="10">
        <v>40</v>
      </c>
      <c r="AO26" s="8">
        <f t="shared" si="54"/>
        <v>1.0636479662615836</v>
      </c>
      <c r="AP26" s="8">
        <f t="shared" si="55"/>
        <v>0.4626128061882252</v>
      </c>
      <c r="AV26" s="5">
        <f t="shared" si="41"/>
        <v>19168</v>
      </c>
      <c r="AW26" s="5">
        <f t="shared" si="41"/>
        <v>215300</v>
      </c>
    </row>
    <row r="27" spans="1:49" x14ac:dyDescent="0.2">
      <c r="A27" s="5" t="s">
        <v>180</v>
      </c>
      <c r="B27" s="10">
        <v>40</v>
      </c>
      <c r="C27" s="5">
        <v>86567</v>
      </c>
      <c r="D27" s="5">
        <v>31147</v>
      </c>
      <c r="E27" s="5">
        <v>1244</v>
      </c>
      <c r="F27" s="5">
        <v>198</v>
      </c>
      <c r="G27" s="5">
        <v>11435</v>
      </c>
      <c r="H27" s="5">
        <v>19928</v>
      </c>
      <c r="I27" s="7">
        <v>217400</v>
      </c>
      <c r="J27" s="7">
        <v>290500</v>
      </c>
      <c r="K27" s="5">
        <v>2430</v>
      </c>
      <c r="L27" s="5">
        <v>17835</v>
      </c>
      <c r="M27" s="7">
        <v>443600</v>
      </c>
      <c r="N27" s="7">
        <v>2244000</v>
      </c>
      <c r="O27" s="8">
        <f t="shared" si="42"/>
        <v>0.96138567267701414</v>
      </c>
      <c r="P27" s="8">
        <f t="shared" si="42"/>
        <v>1.0266967961300881</v>
      </c>
      <c r="Q27" s="8">
        <f t="shared" si="42"/>
        <v>2.8317724518910761</v>
      </c>
      <c r="R27" s="8">
        <f t="shared" si="42"/>
        <v>10.464758278889732</v>
      </c>
      <c r="S27" s="8">
        <f t="shared" si="43"/>
        <v>0.46501968177462299</v>
      </c>
      <c r="T27" s="8">
        <f t="shared" si="43"/>
        <v>0.56637622959415135</v>
      </c>
      <c r="U27" s="8">
        <f t="shared" si="43"/>
        <v>11.883748586849057</v>
      </c>
      <c r="V27" s="8">
        <f t="shared" si="43"/>
        <v>599.74412350497494</v>
      </c>
      <c r="W27" s="8">
        <f t="shared" si="44"/>
        <v>0.1232302156702751</v>
      </c>
      <c r="X27" s="8">
        <f t="shared" si="45"/>
        <v>0.12537984029016158</v>
      </c>
      <c r="Y27" s="8">
        <f t="shared" si="45"/>
        <v>2.322097033268697</v>
      </c>
      <c r="Z27" s="8">
        <f t="shared" si="45"/>
        <v>99.785949751082285</v>
      </c>
      <c r="AA27" s="8">
        <f t="shared" si="46"/>
        <v>10667.670079928705</v>
      </c>
      <c r="AB27" s="8">
        <f t="shared" si="47"/>
        <v>3905.2058855176629</v>
      </c>
      <c r="AC27" s="8">
        <f t="shared" si="48"/>
        <v>2888.6887093862592</v>
      </c>
      <c r="AD27" s="8">
        <f t="shared" si="49"/>
        <v>19757.618050714293</v>
      </c>
      <c r="AE27" s="8">
        <f t="shared" si="50"/>
        <v>0.28661752619856717</v>
      </c>
      <c r="AF27" s="8">
        <f t="shared" si="51"/>
        <v>0.10492454695511526</v>
      </c>
      <c r="AG27" s="8">
        <f t="shared" si="52"/>
        <v>7.7612900065199122E-2</v>
      </c>
      <c r="AH27" s="8">
        <f t="shared" si="53"/>
        <v>0.53084502678111833</v>
      </c>
      <c r="AI27" s="8"/>
      <c r="AN27" s="10">
        <v>40</v>
      </c>
      <c r="AO27" s="8">
        <f t="shared" si="54"/>
        <v>1.1173535183627699</v>
      </c>
      <c r="AP27" s="8">
        <f t="shared" si="55"/>
        <v>0.49008115419296666</v>
      </c>
      <c r="AV27" s="5">
        <f t="shared" si="41"/>
        <v>19928</v>
      </c>
      <c r="AW27" s="5">
        <f t="shared" si="41"/>
        <v>217400</v>
      </c>
    </row>
    <row r="28" spans="1:49" x14ac:dyDescent="0.2">
      <c r="A28" s="5" t="s">
        <v>181</v>
      </c>
      <c r="B28" s="10">
        <v>40</v>
      </c>
      <c r="C28" s="5">
        <v>84699</v>
      </c>
      <c r="D28" s="5">
        <v>28674</v>
      </c>
      <c r="E28" s="5">
        <v>1286</v>
      </c>
      <c r="F28" s="5">
        <v>212</v>
      </c>
      <c r="G28" s="5">
        <v>11494</v>
      </c>
      <c r="H28" s="5">
        <v>19387</v>
      </c>
      <c r="I28" s="7">
        <v>220000</v>
      </c>
      <c r="J28" s="7">
        <v>293100</v>
      </c>
      <c r="K28" s="5">
        <v>2203</v>
      </c>
      <c r="L28" s="5">
        <v>18921</v>
      </c>
      <c r="M28" s="7">
        <v>433300</v>
      </c>
      <c r="N28" s="7">
        <v>2216000</v>
      </c>
      <c r="O28" s="8">
        <f t="shared" si="42"/>
        <v>0.96042328221782247</v>
      </c>
      <c r="P28" s="8">
        <f t="shared" si="42"/>
        <v>1.0313010077542386</v>
      </c>
      <c r="Q28" s="8">
        <f t="shared" si="42"/>
        <v>2.7881045147559469</v>
      </c>
      <c r="R28" s="8">
        <f t="shared" si="42"/>
        <v>10.346049323570934</v>
      </c>
      <c r="S28" s="8">
        <f t="shared" si="43"/>
        <v>0.46362456220180509</v>
      </c>
      <c r="T28" s="8">
        <f t="shared" si="43"/>
        <v>0.57403017705203785</v>
      </c>
      <c r="U28" s="8">
        <f t="shared" si="43"/>
        <v>11.342415348958996</v>
      </c>
      <c r="V28" s="8">
        <f t="shared" si="43"/>
        <v>579.56484089023263</v>
      </c>
      <c r="W28" s="8">
        <f t="shared" si="44"/>
        <v>0.12286050898347835</v>
      </c>
      <c r="X28" s="8">
        <f t="shared" si="45"/>
        <v>0.12700429275401981</v>
      </c>
      <c r="Y28" s="8">
        <f t="shared" si="45"/>
        <v>2.2205605465781098</v>
      </c>
      <c r="Z28" s="8">
        <f t="shared" si="45"/>
        <v>96.563911197016935</v>
      </c>
      <c r="AA28" s="8">
        <f t="shared" si="46"/>
        <v>10406.162250391633</v>
      </c>
      <c r="AB28" s="8">
        <f t="shared" si="47"/>
        <v>3641.721090428764</v>
      </c>
      <c r="AC28" s="8">
        <f t="shared" si="48"/>
        <v>2855.6408628994491</v>
      </c>
      <c r="AD28" s="8">
        <f t="shared" si="49"/>
        <v>20471.549173767591</v>
      </c>
      <c r="AE28" s="8">
        <f t="shared" si="50"/>
        <v>0.27842519920401543</v>
      </c>
      <c r="AF28" s="8">
        <f t="shared" si="51"/>
        <v>9.743716229390266E-2</v>
      </c>
      <c r="AG28" s="8">
        <f t="shared" si="52"/>
        <v>7.6404956695537096E-2</v>
      </c>
      <c r="AH28" s="8">
        <f t="shared" si="53"/>
        <v>0.54773268180654477</v>
      </c>
      <c r="AI28" s="8"/>
      <c r="AN28" s="10">
        <v>40</v>
      </c>
      <c r="AO28" s="8">
        <f t="shared" si="54"/>
        <v>1.0246287194122932</v>
      </c>
      <c r="AP28" s="8">
        <f t="shared" si="55"/>
        <v>0.50773136395107321</v>
      </c>
      <c r="AV28" s="5">
        <f t="shared" si="41"/>
        <v>19387</v>
      </c>
      <c r="AW28" s="5">
        <f t="shared" si="41"/>
        <v>220000</v>
      </c>
    </row>
    <row r="29" spans="1:49" x14ac:dyDescent="0.2">
      <c r="A29" s="5" t="s">
        <v>182</v>
      </c>
      <c r="B29" s="10">
        <v>50</v>
      </c>
      <c r="C29" s="5">
        <v>13469</v>
      </c>
      <c r="D29" s="5">
        <v>5776</v>
      </c>
      <c r="E29" s="5">
        <v>492</v>
      </c>
      <c r="F29" s="5">
        <v>65</v>
      </c>
      <c r="G29" s="5">
        <v>14890</v>
      </c>
      <c r="H29" s="5">
        <v>31434</v>
      </c>
      <c r="I29" s="7">
        <v>221900</v>
      </c>
      <c r="J29" s="7">
        <v>293400</v>
      </c>
      <c r="K29" s="5">
        <v>6894</v>
      </c>
      <c r="L29" s="5">
        <v>24300</v>
      </c>
      <c r="M29" s="7">
        <v>357200</v>
      </c>
      <c r="N29" s="7">
        <v>2004000</v>
      </c>
      <c r="O29" s="8">
        <f t="shared" ref="O29:O31" si="56">(224333+K29)/235871</f>
        <v>0.98031127183926803</v>
      </c>
      <c r="P29" s="8">
        <f t="shared" ref="P29:P31" si="57">(224333+L29)/235871</f>
        <v>1.0541058459920889</v>
      </c>
      <c r="Q29" s="8">
        <f t="shared" ref="Q29:Q31" si="58">(224333+M29)/235871</f>
        <v>2.4654705326216448</v>
      </c>
      <c r="R29" s="8">
        <f t="shared" ref="R29:R31" si="59">(224333+N29)/235871</f>
        <v>9.4472529475857563</v>
      </c>
      <c r="S29" s="8">
        <f t="shared" ref="S29:S31" si="60">4/3*3.14*((O29/2)^3)</f>
        <v>0.4930266401525068</v>
      </c>
      <c r="T29" s="8">
        <f t="shared" ref="T29:T31" si="61">4/3*3.14*((P29/2)^3)</f>
        <v>0.61295848806272468</v>
      </c>
      <c r="U29" s="8">
        <f t="shared" ref="U29:U31" si="62">4/3*3.14*((Q29/2)^3)</f>
        <v>7.842921104767882</v>
      </c>
      <c r="V29" s="8">
        <f t="shared" ref="V29:V31" si="63">4/3*3.14*((R29/2)^3)</f>
        <v>441.26047542207613</v>
      </c>
      <c r="W29" s="8">
        <f t="shared" ref="W29:W31" si="64">(S29*265)/1000</f>
        <v>0.13065205964041432</v>
      </c>
      <c r="X29" s="8">
        <f t="shared" ref="X29:X31" si="65">(10^(-0.665+LOG(T29, 10)*0.959))</f>
        <v>0.13525283898352558</v>
      </c>
      <c r="Y29" s="8">
        <f t="shared" ref="Y29:Y31" si="66">(10^(-0.665+LOG(U29, 10)*0.959))</f>
        <v>1.558849738966799</v>
      </c>
      <c r="Z29" s="8">
        <f t="shared" ref="Z29:Z31" si="67">(10^(-0.665+LOG(V29, 10)*0.959))</f>
        <v>74.346843111862952</v>
      </c>
      <c r="AA29" s="8">
        <f t="shared" si="46"/>
        <v>1759.7525912967405</v>
      </c>
      <c r="AB29" s="8">
        <f t="shared" si="47"/>
        <v>781.22039796884371</v>
      </c>
      <c r="AC29" s="8">
        <f t="shared" si="48"/>
        <v>766.95407157166517</v>
      </c>
      <c r="AD29" s="8">
        <f t="shared" si="49"/>
        <v>4832.5448022710916</v>
      </c>
      <c r="AE29" s="8">
        <f t="shared" si="50"/>
        <v>0.21617329079801034</v>
      </c>
      <c r="AF29" s="8">
        <f t="shared" si="51"/>
        <v>9.596745877953862E-2</v>
      </c>
      <c r="AG29" s="8">
        <f t="shared" si="52"/>
        <v>9.4214940419782123E-2</v>
      </c>
      <c r="AH29" s="8">
        <f t="shared" si="53"/>
        <v>0.59364431000266882</v>
      </c>
      <c r="AN29" s="10">
        <v>50</v>
      </c>
      <c r="AO29" s="8">
        <f t="shared" si="54"/>
        <v>1.2935802469135802</v>
      </c>
      <c r="AP29" s="8">
        <f t="shared" si="55"/>
        <v>0.62122060470324747</v>
      </c>
      <c r="AV29" s="5">
        <f t="shared" si="41"/>
        <v>31434</v>
      </c>
      <c r="AW29" s="5">
        <f t="shared" si="41"/>
        <v>221900</v>
      </c>
    </row>
    <row r="30" spans="1:49" x14ac:dyDescent="0.2">
      <c r="A30" s="5" t="s">
        <v>183</v>
      </c>
      <c r="B30" s="10">
        <v>50</v>
      </c>
      <c r="C30" s="5">
        <v>61433</v>
      </c>
      <c r="D30" s="5">
        <v>23653</v>
      </c>
      <c r="E30" s="5">
        <v>1008</v>
      </c>
      <c r="F30" s="5">
        <v>291</v>
      </c>
      <c r="G30" s="5">
        <v>11219</v>
      </c>
      <c r="H30" s="5">
        <v>20609</v>
      </c>
      <c r="I30" s="7">
        <v>230500</v>
      </c>
      <c r="J30" s="7">
        <v>291100</v>
      </c>
      <c r="K30" s="5">
        <v>3745</v>
      </c>
      <c r="L30" s="5">
        <v>22249</v>
      </c>
      <c r="M30" s="7">
        <v>497000</v>
      </c>
      <c r="N30" s="7">
        <v>2239000</v>
      </c>
      <c r="O30" s="8">
        <f t="shared" si="56"/>
        <v>0.96696075397145054</v>
      </c>
      <c r="P30" s="8">
        <f t="shared" si="57"/>
        <v>1.045410415014987</v>
      </c>
      <c r="Q30" s="8">
        <f t="shared" si="58"/>
        <v>3.0581673881062108</v>
      </c>
      <c r="R30" s="8">
        <f t="shared" si="59"/>
        <v>10.443560251154233</v>
      </c>
      <c r="S30" s="8">
        <f t="shared" si="60"/>
        <v>0.47315664195023821</v>
      </c>
      <c r="T30" s="8">
        <f t="shared" si="61"/>
        <v>0.5979141964984761</v>
      </c>
      <c r="U30" s="8">
        <f t="shared" si="62"/>
        <v>14.967944215299026</v>
      </c>
      <c r="V30" s="8">
        <f t="shared" si="63"/>
        <v>596.10687074999123</v>
      </c>
      <c r="W30" s="8">
        <f t="shared" si="64"/>
        <v>0.12538651011681312</v>
      </c>
      <c r="X30" s="8">
        <f t="shared" si="65"/>
        <v>0.13206771737994791</v>
      </c>
      <c r="Y30" s="8">
        <f t="shared" si="66"/>
        <v>2.8972135488179735</v>
      </c>
      <c r="Z30" s="8">
        <f t="shared" si="67"/>
        <v>99.205520103869205</v>
      </c>
      <c r="AA30" s="8">
        <f t="shared" si="46"/>
        <v>7702.8694760061808</v>
      </c>
      <c r="AB30" s="8">
        <f t="shared" si="47"/>
        <v>3123.7977191879077</v>
      </c>
      <c r="AC30" s="8">
        <f t="shared" si="48"/>
        <v>2920.3912572085173</v>
      </c>
      <c r="AD30" s="8">
        <f t="shared" si="49"/>
        <v>28868.806350225939</v>
      </c>
      <c r="AE30" s="8">
        <f t="shared" si="50"/>
        <v>0.18075121815974665</v>
      </c>
      <c r="AF30" s="8">
        <f t="shared" si="51"/>
        <v>7.3301286590228526E-2</v>
      </c>
      <c r="AG30" s="8">
        <f t="shared" si="52"/>
        <v>6.8528264549693893E-2</v>
      </c>
      <c r="AH30" s="8">
        <f t="shared" si="53"/>
        <v>0.67741923070033094</v>
      </c>
      <c r="AN30" s="10">
        <v>50</v>
      </c>
      <c r="AO30" s="8">
        <f t="shared" si="54"/>
        <v>0.92628882196952667</v>
      </c>
      <c r="AP30" s="8">
        <f t="shared" si="55"/>
        <v>0.46378269617706236</v>
      </c>
      <c r="AV30" s="5">
        <f t="shared" ref="AV30:AW31" si="68">H30</f>
        <v>20609</v>
      </c>
      <c r="AW30" s="5">
        <f t="shared" si="68"/>
        <v>230500</v>
      </c>
    </row>
    <row r="31" spans="1:49" x14ac:dyDescent="0.2">
      <c r="A31" s="5" t="s">
        <v>184</v>
      </c>
      <c r="B31" s="10">
        <v>50</v>
      </c>
      <c r="C31" s="5">
        <v>51825</v>
      </c>
      <c r="D31" s="5">
        <v>18216</v>
      </c>
      <c r="E31" s="5">
        <v>986</v>
      </c>
      <c r="F31" s="5">
        <v>285</v>
      </c>
      <c r="G31" s="5">
        <v>12701</v>
      </c>
      <c r="H31" s="5">
        <v>16139</v>
      </c>
      <c r="I31" s="7">
        <v>220200</v>
      </c>
      <c r="J31" s="7">
        <v>288600</v>
      </c>
      <c r="K31" s="5">
        <v>3737</v>
      </c>
      <c r="L31" s="5">
        <v>13690</v>
      </c>
      <c r="M31" s="7">
        <v>385700</v>
      </c>
      <c r="N31" s="7">
        <v>1647000</v>
      </c>
      <c r="O31" s="8">
        <f t="shared" si="56"/>
        <v>0.96692683712707372</v>
      </c>
      <c r="P31" s="8">
        <f t="shared" si="57"/>
        <v>1.009123631137359</v>
      </c>
      <c r="Q31" s="8">
        <f t="shared" si="58"/>
        <v>2.5862992907139919</v>
      </c>
      <c r="R31" s="8">
        <f t="shared" si="59"/>
        <v>7.9337137672710929</v>
      </c>
      <c r="S31" s="8">
        <f t="shared" si="60"/>
        <v>0.47310685476734454</v>
      </c>
      <c r="T31" s="8">
        <f t="shared" si="61"/>
        <v>0.53778851948097495</v>
      </c>
      <c r="U31" s="8">
        <f t="shared" si="62"/>
        <v>9.0534631829020729</v>
      </c>
      <c r="V31" s="8">
        <f t="shared" si="63"/>
        <v>261.34126051979791</v>
      </c>
      <c r="W31" s="8">
        <f t="shared" si="64"/>
        <v>0.12537331651334632</v>
      </c>
      <c r="X31" s="8">
        <f t="shared" si="65"/>
        <v>0.11930439815391894</v>
      </c>
      <c r="Y31" s="8">
        <f t="shared" si="66"/>
        <v>1.7888969989017567</v>
      </c>
      <c r="Z31" s="8">
        <f t="shared" si="67"/>
        <v>44.98859748071046</v>
      </c>
      <c r="AA31" s="8">
        <f t="shared" si="46"/>
        <v>6497.4721283041736</v>
      </c>
      <c r="AB31" s="8">
        <f t="shared" si="47"/>
        <v>2173.2489167717872</v>
      </c>
      <c r="AC31" s="8">
        <f t="shared" si="48"/>
        <v>1763.8524409171321</v>
      </c>
      <c r="AD31" s="8">
        <f t="shared" si="49"/>
        <v>12821.750282002482</v>
      </c>
      <c r="AE31" s="8">
        <f t="shared" si="50"/>
        <v>0.27938517682858094</v>
      </c>
      <c r="AF31" s="8">
        <f t="shared" si="51"/>
        <v>9.3447654859472054E-2</v>
      </c>
      <c r="AG31" s="8">
        <f t="shared" si="52"/>
        <v>7.5843992305631533E-2</v>
      </c>
      <c r="AH31" s="8">
        <f t="shared" si="53"/>
        <v>0.55132317600631542</v>
      </c>
      <c r="AN31" s="10">
        <v>50</v>
      </c>
      <c r="AO31" s="8">
        <f t="shared" si="54"/>
        <v>1.1788897005113221</v>
      </c>
      <c r="AP31" s="8">
        <f t="shared" si="55"/>
        <v>0.57091003370495208</v>
      </c>
      <c r="AV31" s="5">
        <f t="shared" si="68"/>
        <v>16139</v>
      </c>
      <c r="AW31" s="5">
        <f t="shared" si="68"/>
        <v>220200</v>
      </c>
    </row>
    <row r="32" spans="1:49" s="28" customFormat="1" x14ac:dyDescent="0.2">
      <c r="B32" s="33"/>
    </row>
    <row r="33" spans="1:28" x14ac:dyDescent="0.2">
      <c r="A33" s="4" t="s">
        <v>526</v>
      </c>
      <c r="B33" s="5"/>
      <c r="S33" s="6" t="s">
        <v>538</v>
      </c>
      <c r="T33" s="6"/>
    </row>
    <row r="34" spans="1:28" x14ac:dyDescent="0.2">
      <c r="A34" s="4" t="s">
        <v>527</v>
      </c>
      <c r="B34" s="5"/>
      <c r="L34" s="6"/>
      <c r="N34" s="6" t="s">
        <v>525</v>
      </c>
      <c r="R34" s="6" t="s">
        <v>530</v>
      </c>
      <c r="S34" s="6" t="s">
        <v>529</v>
      </c>
      <c r="T34" s="6" t="s">
        <v>537</v>
      </c>
    </row>
    <row r="35" spans="1:28" x14ac:dyDescent="0.2">
      <c r="B35" s="5"/>
      <c r="L35" s="6"/>
      <c r="N35" s="27" t="s">
        <v>523</v>
      </c>
      <c r="R35" s="6" t="s">
        <v>536</v>
      </c>
      <c r="S35" s="6" t="s">
        <v>533</v>
      </c>
      <c r="T35" s="6" t="s">
        <v>532</v>
      </c>
    </row>
    <row r="36" spans="1:28" x14ac:dyDescent="0.2">
      <c r="B36" s="5"/>
      <c r="L36" s="6"/>
      <c r="N36" s="27"/>
      <c r="R36" s="6" t="s">
        <v>551</v>
      </c>
      <c r="S36" s="6" t="s">
        <v>551</v>
      </c>
      <c r="T36" s="6" t="s">
        <v>551</v>
      </c>
      <c r="V36" s="6" t="s">
        <v>552</v>
      </c>
      <c r="W36" s="6" t="s">
        <v>552</v>
      </c>
      <c r="X36" s="6" t="s">
        <v>552</v>
      </c>
      <c r="Z36" s="6" t="s">
        <v>553</v>
      </c>
      <c r="AA36" s="6" t="s">
        <v>554</v>
      </c>
      <c r="AB36" s="6" t="s">
        <v>554</v>
      </c>
    </row>
    <row r="37" spans="1:28" x14ac:dyDescent="0.2">
      <c r="A37" s="4" t="s">
        <v>39</v>
      </c>
      <c r="B37" s="6" t="s">
        <v>115</v>
      </c>
      <c r="C37" s="4" t="s">
        <v>514</v>
      </c>
      <c r="D37" s="4" t="s">
        <v>515</v>
      </c>
      <c r="E37" s="4" t="s">
        <v>516</v>
      </c>
      <c r="F37" s="4" t="s">
        <v>517</v>
      </c>
      <c r="G37" s="4" t="s">
        <v>518</v>
      </c>
      <c r="H37" s="4" t="s">
        <v>0</v>
      </c>
      <c r="I37" s="4" t="s">
        <v>1</v>
      </c>
      <c r="J37" s="4" t="s">
        <v>2</v>
      </c>
      <c r="K37" s="4" t="s">
        <v>3</v>
      </c>
      <c r="L37" s="6" t="s">
        <v>519</v>
      </c>
      <c r="M37" s="4" t="s">
        <v>520</v>
      </c>
      <c r="N37" s="4" t="s">
        <v>521</v>
      </c>
      <c r="O37" s="4" t="s">
        <v>522</v>
      </c>
      <c r="P37" s="4" t="s">
        <v>524</v>
      </c>
      <c r="Q37" s="4" t="s">
        <v>528</v>
      </c>
      <c r="R37" s="6" t="s">
        <v>534</v>
      </c>
      <c r="S37" s="6" t="s">
        <v>529</v>
      </c>
      <c r="T37" s="6" t="s">
        <v>531</v>
      </c>
      <c r="V37" s="6" t="s">
        <v>534</v>
      </c>
      <c r="W37" s="6" t="s">
        <v>529</v>
      </c>
      <c r="X37" s="6" t="s">
        <v>531</v>
      </c>
      <c r="Z37" s="6" t="s">
        <v>534</v>
      </c>
      <c r="AA37" s="6" t="s">
        <v>529</v>
      </c>
      <c r="AB37" s="6" t="s">
        <v>531</v>
      </c>
    </row>
    <row r="38" spans="1:28" x14ac:dyDescent="0.2">
      <c r="A38" s="5" t="s">
        <v>168</v>
      </c>
      <c r="B38" s="10">
        <v>5</v>
      </c>
      <c r="C38" s="6">
        <f>1-0.3-0.025</f>
        <v>0.67499999999999993</v>
      </c>
      <c r="D38" s="12">
        <f>H38/$C38</f>
        <v>15253.333333333334</v>
      </c>
      <c r="E38" s="12">
        <f t="shared" ref="E38:G45" si="69">I38/$C38</f>
        <v>15745.185185185186</v>
      </c>
      <c r="F38" s="12">
        <f t="shared" si="69"/>
        <v>1545.1851851851854</v>
      </c>
      <c r="G38" s="12">
        <f>K38/$C38</f>
        <v>311.11111111111114</v>
      </c>
      <c r="H38" s="5">
        <v>10296</v>
      </c>
      <c r="I38" s="5">
        <v>10628</v>
      </c>
      <c r="J38" s="5">
        <v>1043</v>
      </c>
      <c r="K38" s="5">
        <v>210</v>
      </c>
      <c r="L38" s="26">
        <f t="shared" ref="L38:O45" si="70">W4*D38*1000/1000000</f>
        <v>2.0145994407858376</v>
      </c>
      <c r="M38" s="26">
        <f t="shared" si="70"/>
        <v>2.4062472761271865</v>
      </c>
      <c r="N38" s="26">
        <f t="shared" si="70"/>
        <v>5.9526551826542402</v>
      </c>
      <c r="O38" s="26">
        <f t="shared" si="70"/>
        <v>74.511754966435277</v>
      </c>
      <c r="P38" s="26">
        <f>SUM(L38:O38)</f>
        <v>84.885256866002536</v>
      </c>
      <c r="Q38" s="26">
        <f>SUM(L38:N38)</f>
        <v>10.373501899567264</v>
      </c>
      <c r="R38" s="26" t="e">
        <f>(LN(L48/(L38*0.25)))/$B$1</f>
        <v>#NUM!</v>
      </c>
      <c r="S38" s="26" t="e">
        <f>(R38-R39)/(1-0.25)</f>
        <v>#NUM!</v>
      </c>
      <c r="T38" s="26" t="e">
        <f>S38+R40</f>
        <v>#NUM!</v>
      </c>
      <c r="V38" s="26" t="e">
        <f>(LN(L51/(L39*0.25)))/$B$1</f>
        <v>#NUM!</v>
      </c>
      <c r="W38" s="26" t="e">
        <f>(V38-V39)/(1-0.25)</f>
        <v>#NUM!</v>
      </c>
      <c r="X38" s="26" t="e">
        <f>W38+V40</f>
        <v>#NUM!</v>
      </c>
      <c r="Z38" s="26" t="e">
        <f>(LN(L54/(L40*0.25)))/$B$1</f>
        <v>#NUM!</v>
      </c>
      <c r="AA38" s="26" t="e">
        <f>(Z38-Z39)/(1-0.25)</f>
        <v>#NUM!</v>
      </c>
      <c r="AB38" s="26" t="e">
        <f>AA38+Z40</f>
        <v>#NUM!</v>
      </c>
    </row>
    <row r="39" spans="1:28" x14ac:dyDescent="0.2">
      <c r="A39" s="5" t="s">
        <v>169</v>
      </c>
      <c r="B39" s="10">
        <v>12</v>
      </c>
      <c r="C39" s="6">
        <f>1-0.3-0.025</f>
        <v>0.67499999999999993</v>
      </c>
      <c r="D39" s="12">
        <f t="shared" ref="D39:D44" si="71">H39/$C39</f>
        <v>15755.555555555557</v>
      </c>
      <c r="E39" s="12">
        <f t="shared" si="69"/>
        <v>15656.296296296297</v>
      </c>
      <c r="F39" s="12">
        <f t="shared" si="69"/>
        <v>1240.0000000000002</v>
      </c>
      <c r="G39" s="12">
        <f t="shared" si="69"/>
        <v>257.77777777777783</v>
      </c>
      <c r="H39" s="5">
        <v>10635</v>
      </c>
      <c r="I39" s="5">
        <v>10568</v>
      </c>
      <c r="J39" s="5">
        <v>837</v>
      </c>
      <c r="K39" s="5">
        <v>174</v>
      </c>
      <c r="L39" s="26">
        <f t="shared" si="70"/>
        <v>2.1239975376846445</v>
      </c>
      <c r="M39" s="26">
        <f t="shared" si="70"/>
        <v>2.4235197105595447</v>
      </c>
      <c r="N39" s="26">
        <f t="shared" si="70"/>
        <v>5.4605829463820355</v>
      </c>
      <c r="O39" s="26">
        <f t="shared" si="70"/>
        <v>36.114940884947536</v>
      </c>
      <c r="P39" s="26">
        <f t="shared" ref="P39:P45" si="72">SUM(L39:O39)</f>
        <v>46.12304107957376</v>
      </c>
      <c r="Q39" s="26">
        <f t="shared" ref="Q39:Q45" si="73">SUM(L39:N39)</f>
        <v>10.008100194626223</v>
      </c>
      <c r="R39" s="26" t="e">
        <f>(LN(L49/L38))/$B$1</f>
        <v>#NUM!</v>
      </c>
      <c r="V39" s="26" t="e">
        <f>(LN(L52/L39))/$B$1</f>
        <v>#NUM!</v>
      </c>
      <c r="Z39" s="26" t="e">
        <f>(LN(L55/L40))/$B$1</f>
        <v>#NUM!</v>
      </c>
    </row>
    <row r="40" spans="1:28" x14ac:dyDescent="0.2">
      <c r="A40" s="5" t="s">
        <v>170</v>
      </c>
      <c r="B40" s="10">
        <v>20</v>
      </c>
      <c r="C40" s="6">
        <f>1-0.31-0.025</f>
        <v>0.66499999999999992</v>
      </c>
      <c r="D40" s="12">
        <f t="shared" si="71"/>
        <v>28619.548872180454</v>
      </c>
      <c r="E40" s="12">
        <f t="shared" si="69"/>
        <v>23090.225563909778</v>
      </c>
      <c r="F40" s="12">
        <f t="shared" si="69"/>
        <v>1664.6616541353385</v>
      </c>
      <c r="G40" s="12">
        <f t="shared" si="69"/>
        <v>299.24812030075191</v>
      </c>
      <c r="H40" s="5">
        <v>19032</v>
      </c>
      <c r="I40" s="5">
        <v>15355</v>
      </c>
      <c r="J40" s="5">
        <v>1107</v>
      </c>
      <c r="K40" s="5">
        <v>199</v>
      </c>
      <c r="L40" s="26">
        <f t="shared" si="70"/>
        <v>3.7683378800456819</v>
      </c>
      <c r="M40" s="26">
        <f t="shared" si="70"/>
        <v>3.3365556234736231</v>
      </c>
      <c r="N40" s="26">
        <f t="shared" si="70"/>
        <v>9.618227994890006</v>
      </c>
      <c r="O40" s="26">
        <f t="shared" si="70"/>
        <v>43.685739274322884</v>
      </c>
      <c r="P40" s="26">
        <f t="shared" si="72"/>
        <v>60.408860772732197</v>
      </c>
      <c r="Q40" s="26">
        <f t="shared" si="73"/>
        <v>16.723121498409313</v>
      </c>
      <c r="R40" s="26" t="e">
        <f>LN(L50/L38)/$B$1</f>
        <v>#NUM!</v>
      </c>
      <c r="V40" s="26" t="e">
        <f>LN(L53/L39)/$B$1</f>
        <v>#NUM!</v>
      </c>
      <c r="Z40" s="26" t="e">
        <f>LN(L56/L40)/$B$1</f>
        <v>#NUM!</v>
      </c>
    </row>
    <row r="41" spans="1:28" x14ac:dyDescent="0.2">
      <c r="A41" s="5" t="s">
        <v>171</v>
      </c>
      <c r="B41" s="10">
        <v>30</v>
      </c>
      <c r="C41" s="6">
        <f t="shared" ref="C41" si="74">1-0.3-0.025</f>
        <v>0.67499999999999993</v>
      </c>
      <c r="D41" s="12">
        <f t="shared" si="71"/>
        <v>72247.407407407416</v>
      </c>
      <c r="E41" s="12">
        <f t="shared" si="69"/>
        <v>30013.333333333336</v>
      </c>
      <c r="F41" s="12">
        <f t="shared" si="69"/>
        <v>1871.1111111111113</v>
      </c>
      <c r="G41" s="12">
        <f t="shared" si="69"/>
        <v>317.03703703703707</v>
      </c>
      <c r="H41" s="5">
        <v>48767</v>
      </c>
      <c r="I41" s="5">
        <v>20259</v>
      </c>
      <c r="J41" s="5">
        <v>1263</v>
      </c>
      <c r="K41" s="5">
        <v>214</v>
      </c>
      <c r="L41" s="26">
        <f t="shared" si="70"/>
        <v>11.60142914145046</v>
      </c>
      <c r="M41" s="26">
        <f t="shared" si="70"/>
        <v>3.9981586454253781</v>
      </c>
      <c r="N41" s="26">
        <f t="shared" si="70"/>
        <v>6.1843897345574712</v>
      </c>
      <c r="O41" s="26">
        <f t="shared" si="70"/>
        <v>47.330074708802861</v>
      </c>
      <c r="P41" s="26">
        <f t="shared" si="72"/>
        <v>69.114052230236169</v>
      </c>
      <c r="Q41" s="26">
        <f t="shared" si="73"/>
        <v>21.783977521433307</v>
      </c>
      <c r="R41" s="5" t="s">
        <v>535</v>
      </c>
      <c r="V41" s="5" t="s">
        <v>535</v>
      </c>
      <c r="Z41" s="5" t="s">
        <v>535</v>
      </c>
    </row>
    <row r="42" spans="1:28" x14ac:dyDescent="0.2">
      <c r="A42" s="5" t="s">
        <v>172</v>
      </c>
      <c r="B42" s="10">
        <v>40</v>
      </c>
      <c r="C42" s="6">
        <f>1-0.305-0.025</f>
        <v>0.67</v>
      </c>
      <c r="D42" s="12">
        <f t="shared" si="71"/>
        <v>143408.95522388059</v>
      </c>
      <c r="E42" s="12">
        <f t="shared" si="69"/>
        <v>56576.119402985074</v>
      </c>
      <c r="F42" s="12">
        <f t="shared" si="69"/>
        <v>2401.4925373134329</v>
      </c>
      <c r="G42" s="12">
        <f t="shared" si="69"/>
        <v>391.04477611940297</v>
      </c>
      <c r="H42" s="5">
        <v>96084</v>
      </c>
      <c r="I42" s="5">
        <v>37906</v>
      </c>
      <c r="J42" s="5">
        <v>1609</v>
      </c>
      <c r="K42" s="5">
        <v>262</v>
      </c>
      <c r="L42" s="26">
        <f t="shared" si="70"/>
        <v>17.660862808457743</v>
      </c>
      <c r="M42" s="26">
        <f t="shared" si="70"/>
        <v>7.0835652503350559</v>
      </c>
      <c r="N42" s="26">
        <f t="shared" si="70"/>
        <v>5.5813039973386998</v>
      </c>
      <c r="O42" s="26">
        <f t="shared" si="70"/>
        <v>33.974443173236196</v>
      </c>
      <c r="P42" s="26">
        <f t="shared" si="72"/>
        <v>64.300175229367696</v>
      </c>
      <c r="Q42" s="26">
        <f t="shared" si="73"/>
        <v>30.3257320561315</v>
      </c>
      <c r="R42" s="6" t="s">
        <v>539</v>
      </c>
      <c r="S42" s="6" t="s">
        <v>540</v>
      </c>
      <c r="T42" s="6" t="s">
        <v>541</v>
      </c>
      <c r="V42" s="6" t="s">
        <v>539</v>
      </c>
      <c r="W42" s="6" t="s">
        <v>540</v>
      </c>
      <c r="X42" s="6" t="s">
        <v>541</v>
      </c>
      <c r="Z42" s="6" t="s">
        <v>539</v>
      </c>
      <c r="AA42" s="6" t="s">
        <v>540</v>
      </c>
      <c r="AB42" s="6" t="s">
        <v>541</v>
      </c>
    </row>
    <row r="43" spans="1:28" x14ac:dyDescent="0.2">
      <c r="A43" s="5" t="s">
        <v>173</v>
      </c>
      <c r="B43" s="10">
        <v>50</v>
      </c>
      <c r="C43" s="6">
        <f>1-0.29-0.025</f>
        <v>0.68499999999999994</v>
      </c>
      <c r="D43" s="12">
        <f t="shared" si="71"/>
        <v>74348.90510948906</v>
      </c>
      <c r="E43" s="12">
        <f t="shared" si="69"/>
        <v>33270.072992700734</v>
      </c>
      <c r="F43" s="12">
        <f t="shared" si="69"/>
        <v>2179.5620437956204</v>
      </c>
      <c r="G43" s="12">
        <f t="shared" si="69"/>
        <v>313.86861313868616</v>
      </c>
      <c r="H43" s="5">
        <v>50929</v>
      </c>
      <c r="I43" s="5">
        <v>22790</v>
      </c>
      <c r="J43" s="5">
        <v>1493</v>
      </c>
      <c r="K43" s="5">
        <v>215</v>
      </c>
      <c r="L43" s="26">
        <f t="shared" si="70"/>
        <v>10.125849599974458</v>
      </c>
      <c r="M43" s="26">
        <f t="shared" si="70"/>
        <v>4.4744569377477292</v>
      </c>
      <c r="N43" s="26">
        <f t="shared" si="70"/>
        <v>4.1908772821604821</v>
      </c>
      <c r="O43" s="26">
        <f t="shared" si="70"/>
        <v>19.575501453204481</v>
      </c>
      <c r="P43" s="26">
        <f t="shared" si="72"/>
        <v>38.36668527308715</v>
      </c>
      <c r="Q43" s="26">
        <f t="shared" si="73"/>
        <v>18.791183819882669</v>
      </c>
      <c r="R43" s="26" t="e">
        <f>(LN(M48/(M38*0.25)))/$B$1</f>
        <v>#NUM!</v>
      </c>
      <c r="S43" s="26" t="e">
        <f>(R43-R44)/(1-0.25)</f>
        <v>#NUM!</v>
      </c>
      <c r="T43" s="26" t="e">
        <f>S43+R45</f>
        <v>#NUM!</v>
      </c>
      <c r="V43" s="26" t="e">
        <f>(LN(M51/(M39*0.25)))/$B$1</f>
        <v>#NUM!</v>
      </c>
      <c r="W43" s="26" t="e">
        <f>(V43-V44)/(1-0.25)</f>
        <v>#NUM!</v>
      </c>
      <c r="X43" s="26" t="e">
        <f>W43+V45</f>
        <v>#NUM!</v>
      </c>
      <c r="Z43" s="26" t="e">
        <f>(LN(M54/(M40*0.25)))/$B$1</f>
        <v>#NUM!</v>
      </c>
      <c r="AA43" s="26" t="e">
        <f>(Z43-Z44)/(1-0.25)</f>
        <v>#NUM!</v>
      </c>
      <c r="AB43" s="26" t="e">
        <f>AA43+Z45</f>
        <v>#NUM!</v>
      </c>
    </row>
    <row r="44" spans="1:28" x14ac:dyDescent="0.2">
      <c r="A44" s="5" t="s">
        <v>174</v>
      </c>
      <c r="B44" s="10">
        <v>70</v>
      </c>
      <c r="C44" s="6">
        <f>1-0.295-0.025</f>
        <v>0.68</v>
      </c>
      <c r="D44" s="12">
        <f t="shared" si="71"/>
        <v>8073.5294117647054</v>
      </c>
      <c r="E44" s="12">
        <f t="shared" si="69"/>
        <v>2495.5882352941176</v>
      </c>
      <c r="F44" s="12">
        <f t="shared" si="69"/>
        <v>445.58823529411762</v>
      </c>
      <c r="G44" s="12">
        <f t="shared" si="69"/>
        <v>58.823529411764703</v>
      </c>
      <c r="H44" s="5">
        <v>5490</v>
      </c>
      <c r="I44" s="5">
        <v>1697</v>
      </c>
      <c r="J44" s="5">
        <v>303</v>
      </c>
      <c r="K44" s="5">
        <v>40</v>
      </c>
      <c r="L44" s="26">
        <f t="shared" si="70"/>
        <v>1.1554410437943703</v>
      </c>
      <c r="M44" s="26">
        <f t="shared" si="70"/>
        <v>0.44094645260708698</v>
      </c>
      <c r="N44" s="26">
        <f t="shared" si="70"/>
        <v>0.80920049133697736</v>
      </c>
      <c r="O44" s="26">
        <f t="shared" si="70"/>
        <v>2.9282379421914921</v>
      </c>
      <c r="P44" s="26">
        <f t="shared" si="72"/>
        <v>5.3338259299299269</v>
      </c>
      <c r="Q44" s="26">
        <f t="shared" si="73"/>
        <v>2.4055879877384347</v>
      </c>
      <c r="R44" s="26" t="e">
        <f>(LN(M49/M38))/$B$1</f>
        <v>#NUM!</v>
      </c>
      <c r="V44" s="26" t="e">
        <f>(LN(M52/M39))/$B$1</f>
        <v>#NUM!</v>
      </c>
      <c r="Z44" s="26" t="e">
        <f>(LN(M55/M40))/$B$1</f>
        <v>#NUM!</v>
      </c>
    </row>
    <row r="45" spans="1:28" x14ac:dyDescent="0.2">
      <c r="A45" s="5" t="s">
        <v>175</v>
      </c>
      <c r="B45" s="10">
        <v>100</v>
      </c>
      <c r="C45" s="6">
        <f>1-0.295-0.025</f>
        <v>0.68</v>
      </c>
      <c r="D45" s="12">
        <f>H45/$C45</f>
        <v>5013.2352941176468</v>
      </c>
      <c r="E45" s="12">
        <f t="shared" si="69"/>
        <v>1722.0588235294117</v>
      </c>
      <c r="F45" s="12">
        <f t="shared" si="69"/>
        <v>179.41176470588235</v>
      </c>
      <c r="G45" s="12">
        <f t="shared" si="69"/>
        <v>60.294117647058819</v>
      </c>
      <c r="H45" s="5">
        <v>3409</v>
      </c>
      <c r="I45" s="5">
        <v>1171</v>
      </c>
      <c r="J45" s="5">
        <v>122</v>
      </c>
      <c r="K45" s="5">
        <v>41</v>
      </c>
      <c r="L45" s="26">
        <f t="shared" si="70"/>
        <v>0.68717483152281167</v>
      </c>
      <c r="M45" s="26">
        <f t="shared" si="70"/>
        <v>0.30477203224509469</v>
      </c>
      <c r="N45" s="26">
        <f t="shared" si="70"/>
        <v>0.33026927767849606</v>
      </c>
      <c r="O45" s="26">
        <f t="shared" si="70"/>
        <v>2.8697282403704416</v>
      </c>
      <c r="P45" s="26">
        <f t="shared" si="72"/>
        <v>4.1919443818168443</v>
      </c>
      <c r="Q45" s="26">
        <f t="shared" si="73"/>
        <v>1.3222161414464024</v>
      </c>
      <c r="R45" s="26" t="e">
        <f>LN(M50/M38)/$B$1</f>
        <v>#NUM!</v>
      </c>
      <c r="V45" s="26" t="e">
        <f>LN(M53/M39)/$B$1</f>
        <v>#NUM!</v>
      </c>
      <c r="Z45" s="26" t="e">
        <f>LN(M56/M40)/$B$1</f>
        <v>#NUM!</v>
      </c>
    </row>
    <row r="46" spans="1:28" x14ac:dyDescent="0.2">
      <c r="A46" s="30"/>
      <c r="Q46" s="10"/>
    </row>
    <row r="47" spans="1:28" x14ac:dyDescent="0.2">
      <c r="A47" s="4" t="s">
        <v>40</v>
      </c>
      <c r="B47" s="6" t="s">
        <v>115</v>
      </c>
      <c r="C47" s="4" t="s">
        <v>514</v>
      </c>
      <c r="D47" s="4" t="s">
        <v>515</v>
      </c>
      <c r="E47" s="4" t="s">
        <v>516</v>
      </c>
      <c r="F47" s="4" t="s">
        <v>517</v>
      </c>
      <c r="G47" s="4" t="s">
        <v>518</v>
      </c>
      <c r="H47" s="5" t="s">
        <v>0</v>
      </c>
      <c r="I47" s="5" t="s">
        <v>1</v>
      </c>
      <c r="J47" s="5" t="s">
        <v>2</v>
      </c>
      <c r="K47" s="5" t="s">
        <v>3</v>
      </c>
      <c r="L47" s="6" t="s">
        <v>519</v>
      </c>
      <c r="M47" s="4" t="s">
        <v>520</v>
      </c>
      <c r="N47" s="4" t="s">
        <v>521</v>
      </c>
      <c r="O47" s="4" t="s">
        <v>522</v>
      </c>
      <c r="P47" s="4" t="s">
        <v>524</v>
      </c>
      <c r="Q47" s="6" t="s">
        <v>528</v>
      </c>
      <c r="R47" s="6" t="s">
        <v>542</v>
      </c>
      <c r="S47" s="6" t="s">
        <v>543</v>
      </c>
      <c r="T47" s="6" t="s">
        <v>544</v>
      </c>
      <c r="V47" s="6" t="s">
        <v>542</v>
      </c>
      <c r="W47" s="6" t="s">
        <v>543</v>
      </c>
      <c r="X47" s="6" t="s">
        <v>544</v>
      </c>
      <c r="Z47" s="6" t="s">
        <v>542</v>
      </c>
      <c r="AA47" s="6" t="s">
        <v>543</v>
      </c>
      <c r="AB47" s="6" t="s">
        <v>544</v>
      </c>
    </row>
    <row r="48" spans="1:28" x14ac:dyDescent="0.2">
      <c r="A48" s="5" t="s">
        <v>513</v>
      </c>
      <c r="B48" s="10">
        <v>5</v>
      </c>
      <c r="C48" s="31"/>
      <c r="D48" s="12"/>
      <c r="E48" s="12"/>
      <c r="F48" s="12"/>
      <c r="G48" s="12"/>
      <c r="L48" s="26"/>
      <c r="M48" s="26"/>
      <c r="N48" s="26"/>
      <c r="O48" s="26"/>
      <c r="P48" s="26"/>
      <c r="Q48" s="26"/>
      <c r="R48" s="26" t="e">
        <f>(LN(N48/(N38*0.25)))/$B$1</f>
        <v>#NUM!</v>
      </c>
      <c r="S48" s="26" t="e">
        <f>(R48-R49)/(1-0.25)</f>
        <v>#NUM!</v>
      </c>
      <c r="T48" s="26" t="e">
        <f>S48+R50</f>
        <v>#NUM!</v>
      </c>
      <c r="V48" s="26" t="e">
        <f>(LN(N51/(N39*0.25)))/$B$1</f>
        <v>#NUM!</v>
      </c>
      <c r="W48" s="26" t="e">
        <f>(V48-V49)/(1-0.25)</f>
        <v>#NUM!</v>
      </c>
      <c r="X48" s="26" t="e">
        <f>W48+V50</f>
        <v>#NUM!</v>
      </c>
      <c r="Z48" s="26" t="e">
        <f>(LN(N54/(N40*0.25)))/$B$1</f>
        <v>#NUM!</v>
      </c>
      <c r="AA48" s="26" t="e">
        <f>(Z48-Z49)/(1-0.25)</f>
        <v>#NUM!</v>
      </c>
      <c r="AB48" s="26" t="e">
        <f>AA48+Z50</f>
        <v>#NUM!</v>
      </c>
    </row>
    <row r="49" spans="1:28" x14ac:dyDescent="0.2">
      <c r="A49" s="5" t="s">
        <v>513</v>
      </c>
      <c r="B49" s="10">
        <v>5</v>
      </c>
      <c r="C49" s="31"/>
      <c r="D49" s="12"/>
      <c r="E49" s="12"/>
      <c r="F49" s="12"/>
      <c r="G49" s="12"/>
      <c r="L49" s="26"/>
      <c r="M49" s="26"/>
      <c r="N49" s="26"/>
      <c r="O49" s="26"/>
      <c r="P49" s="26"/>
      <c r="Q49" s="26"/>
      <c r="R49" s="26" t="e">
        <f>(LN(N49/N38))/$B$1</f>
        <v>#NUM!</v>
      </c>
      <c r="V49" s="26" t="e">
        <f>(LN(N52/N39))/$B$1</f>
        <v>#NUM!</v>
      </c>
      <c r="Z49" s="26" t="e">
        <f>(LN(N55/N40))/$B$1</f>
        <v>#NUM!</v>
      </c>
    </row>
    <row r="50" spans="1:28" x14ac:dyDescent="0.2">
      <c r="A50" s="5" t="s">
        <v>513</v>
      </c>
      <c r="B50" s="10">
        <v>5</v>
      </c>
      <c r="C50" s="31"/>
      <c r="D50" s="12"/>
      <c r="E50" s="12"/>
      <c r="F50" s="12"/>
      <c r="G50" s="12"/>
      <c r="L50" s="26"/>
      <c r="M50" s="26"/>
      <c r="N50" s="26"/>
      <c r="O50" s="26"/>
      <c r="P50" s="26"/>
      <c r="Q50" s="26"/>
      <c r="R50" s="26" t="e">
        <f>LN(N50/N38)/$B$1</f>
        <v>#NUM!</v>
      </c>
      <c r="V50" s="26" t="e">
        <f>LN(N53/N39)/$B$1</f>
        <v>#NUM!</v>
      </c>
      <c r="Z50" s="26" t="e">
        <f>LN(N56/N40)/$B$1</f>
        <v>#NUM!</v>
      </c>
    </row>
    <row r="51" spans="1:28" x14ac:dyDescent="0.2">
      <c r="A51" s="5" t="s">
        <v>513</v>
      </c>
      <c r="B51" s="10">
        <v>12</v>
      </c>
      <c r="C51" s="31"/>
      <c r="D51" s="12"/>
      <c r="E51" s="12"/>
      <c r="F51" s="12"/>
      <c r="G51" s="12"/>
      <c r="L51" s="26"/>
      <c r="M51" s="26"/>
      <c r="N51" s="26"/>
      <c r="O51" s="26"/>
      <c r="P51" s="26"/>
      <c r="Q51" s="26"/>
    </row>
    <row r="52" spans="1:28" x14ac:dyDescent="0.2">
      <c r="A52" s="5" t="s">
        <v>513</v>
      </c>
      <c r="B52" s="10">
        <v>12</v>
      </c>
      <c r="C52" s="31"/>
      <c r="D52" s="12"/>
      <c r="E52" s="12"/>
      <c r="F52" s="12"/>
      <c r="G52" s="12"/>
      <c r="L52" s="26"/>
      <c r="M52" s="26"/>
      <c r="N52" s="26"/>
      <c r="O52" s="26"/>
      <c r="P52" s="26"/>
      <c r="Q52" s="26"/>
      <c r="R52" s="6" t="s">
        <v>545</v>
      </c>
      <c r="S52" s="6" t="s">
        <v>546</v>
      </c>
      <c r="T52" s="6" t="s">
        <v>547</v>
      </c>
      <c r="V52" s="6" t="s">
        <v>545</v>
      </c>
      <c r="W52" s="6" t="s">
        <v>546</v>
      </c>
      <c r="X52" s="6" t="s">
        <v>547</v>
      </c>
      <c r="Z52" s="6" t="s">
        <v>545</v>
      </c>
      <c r="AA52" s="6" t="s">
        <v>546</v>
      </c>
      <c r="AB52" s="6" t="s">
        <v>547</v>
      </c>
    </row>
    <row r="53" spans="1:28" x14ac:dyDescent="0.2">
      <c r="A53" s="5" t="s">
        <v>513</v>
      </c>
      <c r="B53" s="10">
        <v>12</v>
      </c>
      <c r="C53" s="31"/>
      <c r="D53" s="12"/>
      <c r="E53" s="12"/>
      <c r="F53" s="12"/>
      <c r="G53" s="12"/>
      <c r="L53" s="26"/>
      <c r="M53" s="26"/>
      <c r="N53" s="26"/>
      <c r="O53" s="26"/>
      <c r="P53" s="26"/>
      <c r="Q53" s="26"/>
      <c r="R53" s="26" t="e">
        <f>(LN(O48/(O38*0.25)))/$B$1</f>
        <v>#NUM!</v>
      </c>
      <c r="S53" s="26" t="e">
        <f>(R53-R54)/(1-0.25)</f>
        <v>#NUM!</v>
      </c>
      <c r="T53" s="26" t="e">
        <f>S53+R55</f>
        <v>#NUM!</v>
      </c>
      <c r="V53" s="26" t="e">
        <f>(LN(O51/(O39*0.25)))/$B$1</f>
        <v>#NUM!</v>
      </c>
      <c r="W53" s="26" t="e">
        <f>(V53-V54)/(1-0.25)</f>
        <v>#NUM!</v>
      </c>
      <c r="X53" s="26" t="e">
        <f>W53+V55</f>
        <v>#NUM!</v>
      </c>
      <c r="Z53" s="26" t="e">
        <f>(LN(O54/(O40*0.25)))/$B$1</f>
        <v>#NUM!</v>
      </c>
      <c r="AA53" s="26" t="e">
        <f>(Z53-Z54)/(1-0.25)</f>
        <v>#NUM!</v>
      </c>
      <c r="AB53" s="26" t="e">
        <f>AA53+Z55</f>
        <v>#NUM!</v>
      </c>
    </row>
    <row r="54" spans="1:28" x14ac:dyDescent="0.2">
      <c r="A54" s="5" t="s">
        <v>513</v>
      </c>
      <c r="B54" s="10">
        <v>20</v>
      </c>
      <c r="C54" s="31"/>
      <c r="D54" s="12"/>
      <c r="E54" s="12"/>
      <c r="F54" s="12"/>
      <c r="G54" s="12"/>
      <c r="L54" s="26"/>
      <c r="M54" s="26"/>
      <c r="N54" s="26"/>
      <c r="O54" s="26"/>
      <c r="P54" s="26"/>
      <c r="Q54" s="26"/>
      <c r="R54" s="26" t="e">
        <f>(LN(O49/O38))/$B$1</f>
        <v>#NUM!</v>
      </c>
      <c r="V54" s="26" t="e">
        <f>(LN(O52/O39))/$B$1</f>
        <v>#NUM!</v>
      </c>
      <c r="Z54" s="26" t="e">
        <f>(LN(O55/O40))/$B$1</f>
        <v>#NUM!</v>
      </c>
    </row>
    <row r="55" spans="1:28" x14ac:dyDescent="0.2">
      <c r="A55" s="5" t="s">
        <v>513</v>
      </c>
      <c r="B55" s="10">
        <v>20</v>
      </c>
      <c r="C55" s="31"/>
      <c r="D55" s="12"/>
      <c r="E55" s="12"/>
      <c r="F55" s="12"/>
      <c r="G55" s="12"/>
      <c r="L55" s="26"/>
      <c r="M55" s="26"/>
      <c r="N55" s="26"/>
      <c r="O55" s="26"/>
      <c r="P55" s="26"/>
      <c r="Q55" s="26"/>
      <c r="R55" s="26" t="e">
        <f>LN(O50/O38)/$B$1</f>
        <v>#NUM!</v>
      </c>
      <c r="V55" s="26" t="e">
        <f>LN(O53/O39)/$B$1</f>
        <v>#NUM!</v>
      </c>
      <c r="Z55" s="26" t="e">
        <f>LN(O56/O40)/$B$1</f>
        <v>#NUM!</v>
      </c>
    </row>
    <row r="56" spans="1:28" x14ac:dyDescent="0.2">
      <c r="A56" s="5" t="s">
        <v>513</v>
      </c>
      <c r="B56" s="10">
        <v>20</v>
      </c>
      <c r="C56" s="31"/>
      <c r="D56" s="12"/>
      <c r="E56" s="12"/>
      <c r="F56" s="12"/>
      <c r="G56" s="12"/>
      <c r="L56" s="26"/>
      <c r="M56" s="26"/>
      <c r="N56" s="26"/>
      <c r="O56" s="26"/>
      <c r="P56" s="26"/>
      <c r="Q56" s="26"/>
    </row>
    <row r="57" spans="1:28" x14ac:dyDescent="0.2">
      <c r="A57" s="5" t="s">
        <v>176</v>
      </c>
      <c r="B57" s="10">
        <v>30</v>
      </c>
      <c r="C57" s="31">
        <f>1-0.35-0.025</f>
        <v>0.625</v>
      </c>
      <c r="D57" s="12">
        <f t="shared" ref="D57:G65" si="75">H57/$C57</f>
        <v>27380.799999999999</v>
      </c>
      <c r="E57" s="12">
        <f t="shared" si="75"/>
        <v>11478.4</v>
      </c>
      <c r="F57" s="12">
        <f t="shared" si="75"/>
        <v>592</v>
      </c>
      <c r="G57" s="12">
        <f t="shared" si="75"/>
        <v>112</v>
      </c>
      <c r="H57" s="5">
        <v>17113</v>
      </c>
      <c r="I57" s="5">
        <v>7174</v>
      </c>
      <c r="J57" s="5">
        <v>370</v>
      </c>
      <c r="K57" s="5">
        <v>70</v>
      </c>
      <c r="L57" s="26">
        <f>W23*D57*1000/1000000</f>
        <v>3.4009512166705442</v>
      </c>
      <c r="M57" s="26">
        <f t="shared" ref="L57:O64" si="76">X23*E57*1000/1000000</f>
        <v>1.5294961468805175</v>
      </c>
      <c r="N57" s="26">
        <f t="shared" si="76"/>
        <v>1.9806265951306594</v>
      </c>
      <c r="O57" s="26">
        <f t="shared" si="76"/>
        <v>17.546533855012207</v>
      </c>
      <c r="P57" s="26">
        <f t="shared" ref="P57:P65" si="77">SUM(L57:O57)</f>
        <v>24.457607813693929</v>
      </c>
      <c r="Q57" s="26">
        <f t="shared" ref="Q57:Q65" si="78">SUM(L57:N57)</f>
        <v>6.9110739586817216</v>
      </c>
      <c r="R57" s="4"/>
      <c r="S57" s="4"/>
      <c r="T57" s="4"/>
      <c r="V57" s="4"/>
      <c r="W57" s="4"/>
      <c r="X57" s="4"/>
      <c r="Z57" s="4"/>
      <c r="AA57" s="4"/>
      <c r="AB57" s="4"/>
    </row>
    <row r="58" spans="1:28" x14ac:dyDescent="0.2">
      <c r="A58" s="5" t="s">
        <v>177</v>
      </c>
      <c r="B58" s="10">
        <v>30</v>
      </c>
      <c r="C58" s="31">
        <f>1-0.36-0.025</f>
        <v>0.61499999999999999</v>
      </c>
      <c r="D58" s="12">
        <f t="shared" si="75"/>
        <v>93372.357723577239</v>
      </c>
      <c r="E58" s="12">
        <f t="shared" si="75"/>
        <v>36268.292682926833</v>
      </c>
      <c r="F58" s="12">
        <f t="shared" si="75"/>
        <v>1590.2439024390244</v>
      </c>
      <c r="G58" s="12">
        <f t="shared" si="75"/>
        <v>382.11382113821139</v>
      </c>
      <c r="H58" s="5">
        <v>57424</v>
      </c>
      <c r="I58" s="5">
        <v>22305</v>
      </c>
      <c r="J58" s="5">
        <v>978</v>
      </c>
      <c r="K58" s="5">
        <v>235</v>
      </c>
      <c r="L58" s="26">
        <f t="shared" si="76"/>
        <v>11.596342122752677</v>
      </c>
      <c r="M58" s="26">
        <f t="shared" si="76"/>
        <v>4.78121342216639</v>
      </c>
      <c r="N58" s="26">
        <f t="shared" si="76"/>
        <v>6.0754773795987624</v>
      </c>
      <c r="O58" s="26">
        <f t="shared" si="76"/>
        <v>62.77212462962396</v>
      </c>
      <c r="P58" s="26">
        <f t="shared" si="77"/>
        <v>85.225157554141788</v>
      </c>
      <c r="Q58" s="26">
        <f t="shared" si="78"/>
        <v>22.453032924517832</v>
      </c>
      <c r="R58" s="6" t="s">
        <v>548</v>
      </c>
      <c r="S58" s="6" t="s">
        <v>549</v>
      </c>
      <c r="T58" s="6" t="s">
        <v>550</v>
      </c>
      <c r="V58" s="6" t="s">
        <v>548</v>
      </c>
      <c r="W58" s="6" t="s">
        <v>549</v>
      </c>
      <c r="X58" s="6" t="s">
        <v>550</v>
      </c>
      <c r="Z58" s="6" t="s">
        <v>548</v>
      </c>
      <c r="AA58" s="6" t="s">
        <v>549</v>
      </c>
      <c r="AB58" s="6" t="s">
        <v>550</v>
      </c>
    </row>
    <row r="59" spans="1:28" x14ac:dyDescent="0.2">
      <c r="A59" s="5" t="s">
        <v>178</v>
      </c>
      <c r="B59" s="10">
        <v>30</v>
      </c>
      <c r="C59" s="31">
        <f>1-0.34-0.025</f>
        <v>0.6349999999999999</v>
      </c>
      <c r="D59" s="12">
        <f t="shared" si="75"/>
        <v>98970.078740157493</v>
      </c>
      <c r="E59" s="12">
        <f t="shared" si="75"/>
        <v>37108.661417322837</v>
      </c>
      <c r="F59" s="12">
        <f t="shared" si="75"/>
        <v>1864.5669291338586</v>
      </c>
      <c r="G59" s="12">
        <f t="shared" si="75"/>
        <v>400.00000000000006</v>
      </c>
      <c r="H59" s="5">
        <v>62846</v>
      </c>
      <c r="I59" s="5">
        <v>23564</v>
      </c>
      <c r="J59" s="5">
        <v>1184</v>
      </c>
      <c r="K59" s="5">
        <v>254</v>
      </c>
      <c r="L59" s="26">
        <f t="shared" si="76"/>
        <v>12.211115894979534</v>
      </c>
      <c r="M59" s="26">
        <f t="shared" si="76"/>
        <v>4.9018283454104914</v>
      </c>
      <c r="N59" s="26">
        <f t="shared" si="76"/>
        <v>6.8408021960537617</v>
      </c>
      <c r="O59" s="26">
        <f t="shared" si="76"/>
        <v>39.91437990043292</v>
      </c>
      <c r="P59" s="26">
        <f t="shared" si="77"/>
        <v>63.868126336876706</v>
      </c>
      <c r="Q59" s="26">
        <f t="shared" si="78"/>
        <v>23.953746436443787</v>
      </c>
      <c r="R59" s="26" t="e">
        <f>(LN(Q48/(Q38*0.25)))/$B$1</f>
        <v>#NUM!</v>
      </c>
      <c r="S59" s="26" t="e">
        <f>(R59-R60)/(1-0.25)</f>
        <v>#NUM!</v>
      </c>
      <c r="T59" s="26" t="e">
        <f>S59+R61</f>
        <v>#NUM!</v>
      </c>
      <c r="V59" s="26" t="e">
        <f>(LN(Q51/(Q39*0.25)))/$B$1</f>
        <v>#NUM!</v>
      </c>
      <c r="W59" s="26" t="e">
        <f>(V59-V60)/(1-0.25)</f>
        <v>#NUM!</v>
      </c>
      <c r="X59" s="26" t="e">
        <f>W59+V61</f>
        <v>#NUM!</v>
      </c>
      <c r="Z59" s="26" t="e">
        <f>(LN(Q54/(Q40*0.25)))/$B$1</f>
        <v>#NUM!</v>
      </c>
      <c r="AA59" s="26" t="e">
        <f>(Z59-Z60)/(1-0.25)</f>
        <v>#NUM!</v>
      </c>
      <c r="AB59" s="26" t="e">
        <f>AA59+Z61</f>
        <v>#NUM!</v>
      </c>
    </row>
    <row r="60" spans="1:28" x14ac:dyDescent="0.2">
      <c r="A60" s="5" t="s">
        <v>179</v>
      </c>
      <c r="B60" s="10">
        <v>40</v>
      </c>
      <c r="C60" s="31">
        <f>1-0.325-0.025</f>
        <v>0.65</v>
      </c>
      <c r="D60" s="12">
        <f t="shared" si="75"/>
        <v>39266.153846153844</v>
      </c>
      <c r="E60" s="12">
        <f t="shared" si="75"/>
        <v>15136.923076923076</v>
      </c>
      <c r="F60" s="12">
        <f t="shared" si="75"/>
        <v>692.30769230769226</v>
      </c>
      <c r="G60" s="12">
        <f t="shared" si="75"/>
        <v>130.76923076923077</v>
      </c>
      <c r="H60" s="5">
        <v>25523</v>
      </c>
      <c r="I60" s="5">
        <v>9839</v>
      </c>
      <c r="J60" s="5">
        <v>450</v>
      </c>
      <c r="K60" s="5">
        <v>85</v>
      </c>
      <c r="L60" s="26">
        <f t="shared" si="76"/>
        <v>4.8917817067765883</v>
      </c>
      <c r="M60" s="26">
        <f t="shared" si="76"/>
        <v>1.9020617602033938</v>
      </c>
      <c r="N60" s="26">
        <f t="shared" si="76"/>
        <v>1.7632269568058416</v>
      </c>
      <c r="O60" s="26">
        <f t="shared" si="76"/>
        <v>12.376158291918564</v>
      </c>
      <c r="P60" s="26">
        <f t="shared" si="77"/>
        <v>20.933228715704388</v>
      </c>
      <c r="Q60" s="26">
        <f t="shared" si="78"/>
        <v>8.5570704237858237</v>
      </c>
      <c r="R60" s="26" t="e">
        <f>(LN(Q49/Q38))/$B$1</f>
        <v>#NUM!</v>
      </c>
      <c r="S60" s="10"/>
      <c r="T60" s="10"/>
      <c r="V60" s="26" t="e">
        <f>(LN(Q52/Q39))/$B$1</f>
        <v>#NUM!</v>
      </c>
      <c r="W60" s="10"/>
      <c r="X60" s="10"/>
      <c r="Z60" s="26" t="e">
        <f>(LN(Q55/Q40))/$B$1</f>
        <v>#NUM!</v>
      </c>
      <c r="AA60" s="10"/>
      <c r="AB60" s="10"/>
    </row>
    <row r="61" spans="1:28" x14ac:dyDescent="0.2">
      <c r="A61" s="5" t="s">
        <v>180</v>
      </c>
      <c r="B61" s="10">
        <v>40</v>
      </c>
      <c r="C61" s="31">
        <f>1-0.31-0.025</f>
        <v>0.66499999999999992</v>
      </c>
      <c r="D61" s="12">
        <f t="shared" si="75"/>
        <v>130175.93984962408</v>
      </c>
      <c r="E61" s="12">
        <f t="shared" si="75"/>
        <v>46837.593984962412</v>
      </c>
      <c r="F61" s="12">
        <f t="shared" si="75"/>
        <v>1870.6766917293235</v>
      </c>
      <c r="G61" s="12">
        <f t="shared" si="75"/>
        <v>297.74436090225566</v>
      </c>
      <c r="H61" s="5">
        <v>86567</v>
      </c>
      <c r="I61" s="5">
        <v>31147</v>
      </c>
      <c r="J61" s="5">
        <v>1244</v>
      </c>
      <c r="K61" s="5">
        <v>198</v>
      </c>
      <c r="L61" s="26">
        <f t="shared" si="76"/>
        <v>16.041609142749934</v>
      </c>
      <c r="M61" s="26">
        <f t="shared" si="76"/>
        <v>5.8724900534100195</v>
      </c>
      <c r="N61" s="26">
        <f t="shared" si="76"/>
        <v>4.3438927960695626</v>
      </c>
      <c r="O61" s="26">
        <f t="shared" si="76"/>
        <v>29.710703835660592</v>
      </c>
      <c r="P61" s="26">
        <f t="shared" si="77"/>
        <v>55.968695827890102</v>
      </c>
      <c r="Q61" s="26">
        <f t="shared" si="78"/>
        <v>26.257991992229513</v>
      </c>
      <c r="R61" s="26" t="e">
        <f>LN(Q50/Q38)/$B$1</f>
        <v>#NUM!</v>
      </c>
      <c r="S61" s="10"/>
      <c r="T61" s="10"/>
      <c r="V61" s="26" t="e">
        <f>LN(Q53/Q39)/$B$1</f>
        <v>#NUM!</v>
      </c>
      <c r="W61" s="10"/>
      <c r="X61" s="10"/>
      <c r="Z61" s="26" t="e">
        <f>LN(Q56/Q40)/$B$1</f>
        <v>#NUM!</v>
      </c>
      <c r="AA61" s="10"/>
      <c r="AB61" s="10"/>
    </row>
    <row r="62" spans="1:28" x14ac:dyDescent="0.2">
      <c r="A62" s="5" t="s">
        <v>181</v>
      </c>
      <c r="B62" s="10">
        <v>40</v>
      </c>
      <c r="C62" s="31">
        <f>1-0.31-0.025</f>
        <v>0.66499999999999992</v>
      </c>
      <c r="D62" s="12">
        <f t="shared" si="75"/>
        <v>127366.9172932331</v>
      </c>
      <c r="E62" s="12">
        <f t="shared" si="75"/>
        <v>43118.796992481206</v>
      </c>
      <c r="F62" s="12">
        <f t="shared" si="75"/>
        <v>1933.8345864661655</v>
      </c>
      <c r="G62" s="12">
        <f t="shared" si="75"/>
        <v>318.79699248120306</v>
      </c>
      <c r="H62" s="5">
        <v>84699</v>
      </c>
      <c r="I62" s="5">
        <v>28674</v>
      </c>
      <c r="J62" s="5">
        <v>1286</v>
      </c>
      <c r="K62" s="5">
        <v>212</v>
      </c>
      <c r="L62" s="26">
        <f t="shared" si="76"/>
        <v>15.64836428630321</v>
      </c>
      <c r="M62" s="26">
        <f t="shared" si="76"/>
        <v>5.4762723164342324</v>
      </c>
      <c r="N62" s="26">
        <f t="shared" si="76"/>
        <v>4.2941967863149619</v>
      </c>
      <c r="O62" s="26">
        <f t="shared" si="76"/>
        <v>30.784284471830968</v>
      </c>
      <c r="P62" s="26">
        <f t="shared" si="77"/>
        <v>56.203117860883374</v>
      </c>
      <c r="Q62" s="26">
        <f t="shared" si="78"/>
        <v>25.418833389052406</v>
      </c>
    </row>
    <row r="63" spans="1:28" x14ac:dyDescent="0.2">
      <c r="A63" s="5" t="s">
        <v>182</v>
      </c>
      <c r="B63" s="10">
        <v>50</v>
      </c>
      <c r="C63" s="31">
        <f>1-0.31-0.025</f>
        <v>0.66499999999999992</v>
      </c>
      <c r="D63" s="12">
        <f t="shared" si="75"/>
        <v>20254.135338345866</v>
      </c>
      <c r="E63" s="12">
        <f t="shared" si="75"/>
        <v>8685.7142857142862</v>
      </c>
      <c r="F63" s="12">
        <f t="shared" si="75"/>
        <v>739.8496240601504</v>
      </c>
      <c r="G63" s="12">
        <f t="shared" si="75"/>
        <v>97.74436090225565</v>
      </c>
      <c r="H63" s="5">
        <v>13469</v>
      </c>
      <c r="I63" s="5">
        <v>5776</v>
      </c>
      <c r="J63" s="5">
        <v>492</v>
      </c>
      <c r="K63" s="5">
        <v>65</v>
      </c>
      <c r="L63" s="26">
        <f t="shared" si="76"/>
        <v>2.6462444981905873</v>
      </c>
      <c r="M63" s="26">
        <f t="shared" si="76"/>
        <v>1.1747675157426223</v>
      </c>
      <c r="N63" s="26">
        <f t="shared" si="76"/>
        <v>1.1533143933408498</v>
      </c>
      <c r="O63" s="26">
        <f t="shared" si="76"/>
        <v>7.2669846650693115</v>
      </c>
      <c r="P63" s="26">
        <f t="shared" si="77"/>
        <v>12.241311072343372</v>
      </c>
      <c r="Q63" s="26">
        <f t="shared" si="78"/>
        <v>4.9743264072740594</v>
      </c>
    </row>
    <row r="64" spans="1:28" x14ac:dyDescent="0.2">
      <c r="A64" s="5" t="s">
        <v>183</v>
      </c>
      <c r="B64" s="10">
        <v>50</v>
      </c>
      <c r="C64" s="31">
        <f>1-0.3-0.025</f>
        <v>0.67499999999999993</v>
      </c>
      <c r="D64" s="12">
        <f t="shared" si="75"/>
        <v>91011.851851851854</v>
      </c>
      <c r="E64" s="12">
        <f t="shared" si="75"/>
        <v>35041.481481481482</v>
      </c>
      <c r="F64" s="12">
        <f t="shared" si="75"/>
        <v>1493.3333333333335</v>
      </c>
      <c r="G64" s="12">
        <f t="shared" si="75"/>
        <v>431.11111111111114</v>
      </c>
      <c r="H64" s="5">
        <v>61433</v>
      </c>
      <c r="I64" s="5">
        <v>23653</v>
      </c>
      <c r="J64" s="5">
        <v>1008</v>
      </c>
      <c r="K64" s="5">
        <v>291</v>
      </c>
      <c r="L64" s="26">
        <f t="shared" si="76"/>
        <v>11.411658482972118</v>
      </c>
      <c r="M64" s="26">
        <f t="shared" si="76"/>
        <v>4.6278484728709746</v>
      </c>
      <c r="N64" s="26">
        <f t="shared" si="76"/>
        <v>4.3265055662348413</v>
      </c>
      <c r="O64" s="26">
        <f t="shared" si="76"/>
        <v>42.768602000334731</v>
      </c>
      <c r="P64" s="26">
        <f t="shared" si="77"/>
        <v>63.134614522412669</v>
      </c>
      <c r="Q64" s="26">
        <f t="shared" si="78"/>
        <v>20.366012522077938</v>
      </c>
      <c r="R64" s="6" t="s">
        <v>555</v>
      </c>
      <c r="S64" s="6" t="s">
        <v>555</v>
      </c>
      <c r="T64" s="6" t="s">
        <v>555</v>
      </c>
      <c r="V64" s="6" t="s">
        <v>556</v>
      </c>
      <c r="W64" s="6" t="s">
        <v>556</v>
      </c>
      <c r="X64" s="6" t="s">
        <v>556</v>
      </c>
      <c r="Z64" s="6" t="s">
        <v>558</v>
      </c>
      <c r="AA64" s="6" t="s">
        <v>557</v>
      </c>
      <c r="AB64" s="6" t="s">
        <v>557</v>
      </c>
    </row>
    <row r="65" spans="1:28" x14ac:dyDescent="0.2">
      <c r="A65" s="5" t="s">
        <v>184</v>
      </c>
      <c r="B65" s="10">
        <v>50</v>
      </c>
      <c r="C65" s="31">
        <f>1-0.315-0.025</f>
        <v>0.66</v>
      </c>
      <c r="D65" s="12">
        <f t="shared" si="75"/>
        <v>78522.727272727265</v>
      </c>
      <c r="E65" s="12">
        <f t="shared" si="75"/>
        <v>27600</v>
      </c>
      <c r="F65" s="12">
        <f t="shared" si="75"/>
        <v>1493.9393939393938</v>
      </c>
      <c r="G65" s="12">
        <f t="shared" si="75"/>
        <v>431.81818181818181</v>
      </c>
      <c r="H65" s="5">
        <v>51825</v>
      </c>
      <c r="I65" s="5">
        <v>18216</v>
      </c>
      <c r="J65" s="5">
        <v>986</v>
      </c>
      <c r="K65" s="5">
        <v>285</v>
      </c>
      <c r="L65" s="26">
        <f>W31*D65*1000/1000000</f>
        <v>9.844654739854807</v>
      </c>
      <c r="M65" s="26">
        <f t="shared" ref="M65:O65" si="79">X31*E65*1000/1000000</f>
        <v>3.2928013890481629</v>
      </c>
      <c r="N65" s="26">
        <f t="shared" si="79"/>
        <v>2.6725036983592911</v>
      </c>
      <c r="O65" s="26">
        <f t="shared" si="79"/>
        <v>19.426894366670425</v>
      </c>
      <c r="P65" s="26">
        <f t="shared" si="77"/>
        <v>35.236854193932686</v>
      </c>
      <c r="Q65" s="26">
        <f t="shared" si="78"/>
        <v>15.809959827262261</v>
      </c>
      <c r="R65" s="6" t="s">
        <v>534</v>
      </c>
      <c r="S65" s="6" t="s">
        <v>529</v>
      </c>
      <c r="T65" s="6" t="s">
        <v>531</v>
      </c>
      <c r="V65" s="6" t="s">
        <v>534</v>
      </c>
      <c r="W65" s="6" t="s">
        <v>529</v>
      </c>
      <c r="X65" s="6" t="s">
        <v>531</v>
      </c>
      <c r="Z65" s="6" t="s">
        <v>534</v>
      </c>
      <c r="AA65" s="6" t="s">
        <v>529</v>
      </c>
      <c r="AB65" s="6" t="s">
        <v>531</v>
      </c>
    </row>
    <row r="66" spans="1:28" x14ac:dyDescent="0.2">
      <c r="B66" s="5"/>
      <c r="M66" s="12"/>
      <c r="N66" s="12"/>
      <c r="R66" s="26">
        <f>(LN(L57/(L41*0.25)))/$B$1</f>
        <v>0.13158779409090798</v>
      </c>
      <c r="S66" s="26">
        <f>(R66-R67)/(1-0.25)</f>
        <v>0.17593367392199236</v>
      </c>
      <c r="T66" s="26">
        <f>S66+R68</f>
        <v>0.21826291645428381</v>
      </c>
      <c r="V66" s="26">
        <f>(LN(L60/(L42*0.25)))/$B$1</f>
        <v>8.4710665144875186E-2</v>
      </c>
      <c r="W66" s="26">
        <f>(V66-V67)/(1-0.25)</f>
        <v>0.21891464179814371</v>
      </c>
      <c r="X66" s="26">
        <f>W66+V68</f>
        <v>0.11892732150328539</v>
      </c>
      <c r="Z66" s="26">
        <f>(LN(L63/(L43*0.25)))/$B$1</f>
        <v>3.6648185873721359E-2</v>
      </c>
      <c r="AA66" s="26">
        <f>(Z66-Z67)/(1-0.25)</f>
        <v>-8.2864662570327E-2</v>
      </c>
      <c r="AB66" s="26">
        <f>AA66+Z68</f>
        <v>-0.10613976893225177</v>
      </c>
    </row>
    <row r="67" spans="1:28" x14ac:dyDescent="0.2">
      <c r="B67" s="5"/>
      <c r="M67" s="12"/>
      <c r="N67" s="12"/>
      <c r="R67" s="26">
        <f>(LN(L58/L41))/$B$1</f>
        <v>-3.6246135058628793E-4</v>
      </c>
      <c r="V67" s="26">
        <f>(LN(L61/L42))/$B$1</f>
        <v>-7.9475316203732591E-2</v>
      </c>
      <c r="Z67" s="26">
        <f>(LN(L64/L43))/$B$1</f>
        <v>9.8796682801466612E-2</v>
      </c>
    </row>
    <row r="68" spans="1:28" x14ac:dyDescent="0.2">
      <c r="B68" s="5"/>
      <c r="M68" s="12"/>
      <c r="N68" s="12"/>
      <c r="R68" s="26">
        <f>LN(L59/L41)/$B$1</f>
        <v>4.2329242532291443E-2</v>
      </c>
      <c r="V68" s="26">
        <f>LN(L62/L42)/$B$1</f>
        <v>-9.9987320294858323E-2</v>
      </c>
      <c r="Z68" s="26">
        <f>LN(L65/L43)/$B$1</f>
        <v>-2.3275106361924775E-2</v>
      </c>
    </row>
    <row r="69" spans="1:28" x14ac:dyDescent="0.2">
      <c r="B69" s="5"/>
      <c r="M69" s="12"/>
      <c r="N69" s="12"/>
      <c r="R69" s="5" t="s">
        <v>535</v>
      </c>
      <c r="V69" s="5" t="s">
        <v>535</v>
      </c>
      <c r="Z69" s="5" t="s">
        <v>535</v>
      </c>
    </row>
    <row r="70" spans="1:28" x14ac:dyDescent="0.2">
      <c r="B70" s="5"/>
      <c r="M70" s="12"/>
      <c r="N70" s="12"/>
      <c r="R70" s="6" t="s">
        <v>539</v>
      </c>
      <c r="S70" s="6" t="s">
        <v>540</v>
      </c>
      <c r="T70" s="6" t="s">
        <v>541</v>
      </c>
      <c r="V70" s="6" t="s">
        <v>539</v>
      </c>
      <c r="W70" s="6" t="s">
        <v>540</v>
      </c>
      <c r="X70" s="6" t="s">
        <v>541</v>
      </c>
      <c r="Z70" s="6" t="s">
        <v>539</v>
      </c>
      <c r="AA70" s="6" t="s">
        <v>540</v>
      </c>
      <c r="AB70" s="6" t="s">
        <v>541</v>
      </c>
    </row>
    <row r="71" spans="1:28" x14ac:dyDescent="0.2">
      <c r="B71" s="5"/>
      <c r="M71" s="12"/>
      <c r="N71" s="12"/>
      <c r="R71" s="26">
        <f>(LN(M57/(M41*0.25)))/$B$1</f>
        <v>0.35156926449227244</v>
      </c>
      <c r="S71" s="26">
        <f>(R71-R72)/(1-0.25)</f>
        <v>0.27166761237017156</v>
      </c>
      <c r="T71" s="26">
        <f>S71+R73</f>
        <v>0.44007616670802879</v>
      </c>
      <c r="V71" s="26">
        <f>(LN(M60/(M42*0.25)))/$B$1</f>
        <v>5.9054089682489423E-2</v>
      </c>
      <c r="W71" s="26">
        <f>(V71-V72)/(1-0.25)</f>
        <v>0.28534881775621224</v>
      </c>
      <c r="X71" s="26">
        <f>W71+V73</f>
        <v>7.2660625920024757E-2</v>
      </c>
      <c r="Z71" s="26">
        <f>(LN(M63/(M43*0.25)))/$B$1</f>
        <v>4.0479041758184779E-2</v>
      </c>
      <c r="AA71" s="26">
        <f>(Z71-Z72)/(1-0.25)</f>
        <v>1.6829270287954352E-2</v>
      </c>
      <c r="AB71" s="26">
        <f>AA71+Z73</f>
        <v>-0.23659742489214483</v>
      </c>
    </row>
    <row r="72" spans="1:28" x14ac:dyDescent="0.2">
      <c r="B72" s="5"/>
      <c r="M72" s="12"/>
      <c r="N72" s="12"/>
      <c r="R72" s="26">
        <f>(LN(M58/M41))/$B$1</f>
        <v>0.14781855521464377</v>
      </c>
      <c r="V72" s="26">
        <f>(LN(M61/M42))/$B$1</f>
        <v>-0.15495752363466975</v>
      </c>
      <c r="Z72" s="26">
        <f>(LN(M64/M43))/$B$1</f>
        <v>2.7857089042219015E-2</v>
      </c>
    </row>
    <row r="73" spans="1:28" x14ac:dyDescent="0.2">
      <c r="B73" s="5"/>
      <c r="M73" s="12"/>
      <c r="N73" s="12"/>
      <c r="R73" s="26">
        <f>LN(M59/M41)/$B$1</f>
        <v>0.16840855433785723</v>
      </c>
      <c r="V73" s="26">
        <f>LN(M62/M42)/$B$1</f>
        <v>-0.21268819183618748</v>
      </c>
      <c r="Z73" s="26">
        <f>LN(M65/M43)/$B$1</f>
        <v>-0.25342669518009919</v>
      </c>
    </row>
    <row r="74" spans="1:28" x14ac:dyDescent="0.2">
      <c r="B74" s="5"/>
      <c r="M74" s="12"/>
      <c r="N74" s="12"/>
    </row>
    <row r="75" spans="1:28" x14ac:dyDescent="0.2">
      <c r="B75" s="5"/>
      <c r="M75" s="12"/>
      <c r="N75" s="12"/>
      <c r="R75" s="6" t="s">
        <v>542</v>
      </c>
      <c r="S75" s="6" t="s">
        <v>543</v>
      </c>
      <c r="T75" s="6" t="s">
        <v>544</v>
      </c>
      <c r="V75" s="6" t="s">
        <v>542</v>
      </c>
      <c r="W75" s="6" t="s">
        <v>543</v>
      </c>
      <c r="X75" s="6" t="s">
        <v>544</v>
      </c>
      <c r="Z75" s="6" t="s">
        <v>542</v>
      </c>
      <c r="AA75" s="6" t="s">
        <v>543</v>
      </c>
      <c r="AB75" s="6" t="s">
        <v>544</v>
      </c>
    </row>
    <row r="76" spans="1:28" x14ac:dyDescent="0.2">
      <c r="B76" s="5"/>
      <c r="M76" s="12"/>
      <c r="N76" s="12"/>
      <c r="R76" s="26">
        <f>(LN(N57/(N41*0.25)))/$B$1</f>
        <v>0.20469362446120437</v>
      </c>
      <c r="S76" s="26">
        <f>(R76-R77)/(1-0.25)</f>
        <v>0.29250363725260808</v>
      </c>
      <c r="T76" s="26">
        <f>S76+R78</f>
        <v>0.37587278810435931</v>
      </c>
      <c r="V76" s="26">
        <f>(LN(N60/(N42*0.25)))/$B$1</f>
        <v>0.19340293320498636</v>
      </c>
      <c r="W76" s="26">
        <f>(V76-V77)/(1-0.25)</f>
        <v>0.53407061800893818</v>
      </c>
      <c r="X76" s="26">
        <f>W76+V78</f>
        <v>0.31741118515037059</v>
      </c>
      <c r="Z76" s="26">
        <f>(LN(N63/(N43*0.25)))/$B$1</f>
        <v>7.9358803464758487E-2</v>
      </c>
      <c r="AA76" s="26">
        <f>(Z76-Z77)/(1-0.25)</f>
        <v>7.0715208616449546E-2</v>
      </c>
      <c r="AB76" s="26">
        <f>AA76+Z78</f>
        <v>-0.30109829507095692</v>
      </c>
    </row>
    <row r="77" spans="1:28" x14ac:dyDescent="0.2">
      <c r="B77" s="5"/>
      <c r="M77" s="12"/>
      <c r="N77" s="12"/>
      <c r="R77" s="26">
        <f>(LN(N58/N41))/$B$1</f>
        <v>-1.468410347825168E-2</v>
      </c>
      <c r="V77" s="26">
        <f>(LN(N61/N42))/$B$1</f>
        <v>-0.2071500303017173</v>
      </c>
      <c r="Z77" s="26">
        <f>(LN(N64/N43))/$B$1</f>
        <v>2.6322397002421328E-2</v>
      </c>
    </row>
    <row r="78" spans="1:28" x14ac:dyDescent="0.2">
      <c r="B78" s="5"/>
      <c r="M78" s="12"/>
      <c r="N78" s="12"/>
      <c r="R78" s="26">
        <f>LN(N59/N41)/$B$1</f>
        <v>8.33691508517512E-2</v>
      </c>
      <c r="V78" s="26">
        <f>LN(N62/N42)/$B$1</f>
        <v>-0.21665943285856759</v>
      </c>
      <c r="Z78" s="26">
        <f>LN(N65/N43)/$B$1</f>
        <v>-0.37181350368740645</v>
      </c>
    </row>
    <row r="79" spans="1:28" x14ac:dyDescent="0.2">
      <c r="B79" s="5"/>
      <c r="M79" s="12"/>
      <c r="N79" s="12"/>
    </row>
    <row r="80" spans="1:28" x14ac:dyDescent="0.2">
      <c r="B80" s="5"/>
      <c r="M80" s="12"/>
      <c r="N80" s="12"/>
      <c r="R80" s="6" t="s">
        <v>545</v>
      </c>
      <c r="S80" s="6" t="s">
        <v>546</v>
      </c>
      <c r="T80" s="6" t="s">
        <v>547</v>
      </c>
      <c r="V80" s="6" t="s">
        <v>545</v>
      </c>
      <c r="W80" s="6" t="s">
        <v>546</v>
      </c>
      <c r="X80" s="6" t="s">
        <v>547</v>
      </c>
      <c r="Z80" s="6" t="s">
        <v>545</v>
      </c>
      <c r="AA80" s="6" t="s">
        <v>546</v>
      </c>
      <c r="AB80" s="6" t="s">
        <v>547</v>
      </c>
    </row>
    <row r="81" spans="2:28" x14ac:dyDescent="0.2">
      <c r="B81" s="5"/>
      <c r="M81" s="12"/>
      <c r="N81" s="12"/>
      <c r="R81" s="26">
        <f>(LN(O57/(O41*0.25)))/$B$1</f>
        <v>0.3256238578544472</v>
      </c>
      <c r="S81" s="26">
        <f>(R81-R82)/(1-0.25)</f>
        <v>0.12301894300722971</v>
      </c>
      <c r="T81" s="26">
        <f>S81+R83</f>
        <v>-1.7815160222600435E-2</v>
      </c>
      <c r="V81" s="26">
        <f>(LN(O60/(O42*0.25)))/$B$1</f>
        <v>0.31112206111344937</v>
      </c>
      <c r="W81" s="26">
        <f>(V81-V82)/(1-0.25)</f>
        <v>0.56259932248336264</v>
      </c>
      <c r="X81" s="26">
        <f>W81+V83</f>
        <v>0.48110820243815122</v>
      </c>
      <c r="Z81" s="26">
        <f>(LN(O63/(O43*0.25)))/$B$1</f>
        <v>0.32674127600553915</v>
      </c>
      <c r="AA81" s="26">
        <f>(Z81-Z82)/(1-0.25)</f>
        <v>-0.42552995340226651</v>
      </c>
      <c r="AB81" s="26">
        <f>AA81+Z83</f>
        <v>-0.43182784181403538</v>
      </c>
    </row>
    <row r="82" spans="2:28" x14ac:dyDescent="0.2">
      <c r="B82" s="5"/>
      <c r="M82" s="12"/>
      <c r="N82" s="12"/>
      <c r="R82" s="26">
        <f>(LN(O58/O41))/$B$1</f>
        <v>0.23335965059902491</v>
      </c>
      <c r="V82" s="26">
        <f>(LN(O61/O42))/$B$1</f>
        <v>-0.11082743074907263</v>
      </c>
      <c r="Z82" s="26">
        <f>(LN(O64/O43))/$B$1</f>
        <v>0.64588874105723904</v>
      </c>
    </row>
    <row r="83" spans="2:28" x14ac:dyDescent="0.2">
      <c r="B83" s="5"/>
      <c r="M83" s="12"/>
      <c r="N83" s="12"/>
      <c r="R83" s="26">
        <f>LN(O59/O41)/$B$1</f>
        <v>-0.14083410322983014</v>
      </c>
      <c r="V83" s="26">
        <f>LN(O62/O42)/$B$1</f>
        <v>-8.1491120045211432E-2</v>
      </c>
      <c r="Z83" s="26">
        <f>LN(O65/O43)/$B$1</f>
        <v>-6.2978884117688774E-3</v>
      </c>
    </row>
    <row r="84" spans="2:28" x14ac:dyDescent="0.2">
      <c r="B84" s="5"/>
      <c r="M84" s="12"/>
      <c r="N84" s="12"/>
    </row>
    <row r="85" spans="2:28" x14ac:dyDescent="0.2">
      <c r="B85" s="5"/>
      <c r="M85" s="12"/>
      <c r="N85" s="12"/>
      <c r="R85" s="4"/>
      <c r="S85" s="4"/>
      <c r="T85" s="4"/>
      <c r="V85" s="4"/>
      <c r="W85" s="4"/>
      <c r="X85" s="4"/>
      <c r="Z85" s="4"/>
      <c r="AA85" s="4"/>
      <c r="AB85" s="4"/>
    </row>
    <row r="86" spans="2:28" x14ac:dyDescent="0.2">
      <c r="B86" s="5"/>
      <c r="M86" s="12"/>
      <c r="N86" s="12"/>
      <c r="R86" s="6" t="s">
        <v>548</v>
      </c>
      <c r="S86" s="6" t="s">
        <v>549</v>
      </c>
      <c r="T86" s="6" t="s">
        <v>550</v>
      </c>
      <c r="V86" s="6" t="s">
        <v>548</v>
      </c>
      <c r="W86" s="6" t="s">
        <v>549</v>
      </c>
      <c r="X86" s="6" t="s">
        <v>550</v>
      </c>
      <c r="Z86" s="6" t="s">
        <v>548</v>
      </c>
      <c r="AA86" s="6" t="s">
        <v>549</v>
      </c>
      <c r="AB86" s="6" t="s">
        <v>550</v>
      </c>
    </row>
    <row r="87" spans="2:28" x14ac:dyDescent="0.2">
      <c r="B87" s="5"/>
      <c r="M87" s="12"/>
      <c r="N87" s="12"/>
      <c r="R87" s="26">
        <f>(LN(Q57/(Q41*0.25)))/$B$1</f>
        <v>0.19689643328449563</v>
      </c>
      <c r="S87" s="26">
        <f>(R87-R88)/(1-0.25)</f>
        <v>0.22919416621148245</v>
      </c>
      <c r="T87" s="26">
        <f>S87+R89</f>
        <v>0.30766525343932705</v>
      </c>
      <c r="V87" s="26">
        <f>(LN(Q60/(Q42*0.25)))/$B$1</f>
        <v>0.10004599801217573</v>
      </c>
      <c r="W87" s="26">
        <f>(V87-V88)/(1-0.25)</f>
        <v>0.29210121535776046</v>
      </c>
      <c r="X87" s="26">
        <f>W87+V89</f>
        <v>0.14622830328382547</v>
      </c>
      <c r="Z87" s="26">
        <f>(LN(Q63/(Q43*0.25)))/$B$1</f>
        <v>4.7269845409345201E-2</v>
      </c>
      <c r="AA87" s="26">
        <f>(Z87-Z88)/(1-0.25)</f>
        <v>-2.5656343317404611E-2</v>
      </c>
      <c r="AB87" s="26">
        <f>AA87+Z89</f>
        <v>-0.1684230407120427</v>
      </c>
    </row>
    <row r="88" spans="2:28" x14ac:dyDescent="0.2">
      <c r="B88" s="5"/>
      <c r="M88" s="12"/>
      <c r="N88" s="12"/>
      <c r="R88" s="26">
        <f>(LN(Q58/Q41))/$B$1</f>
        <v>2.5000808625883806E-2</v>
      </c>
      <c r="S88" s="10"/>
      <c r="T88" s="10"/>
      <c r="V88" s="26">
        <f>(LN(Q61/Q42))/$B$1</f>
        <v>-0.11902991350614463</v>
      </c>
      <c r="W88" s="10"/>
      <c r="X88" s="10"/>
      <c r="Z88" s="26">
        <f>(LN(Q64/Q43))/$B$1</f>
        <v>6.6512102897398659E-2</v>
      </c>
      <c r="AA88" s="10"/>
      <c r="AB88" s="10"/>
    </row>
    <row r="89" spans="2:28" x14ac:dyDescent="0.2">
      <c r="B89" s="5"/>
      <c r="M89" s="12"/>
      <c r="N89" s="12"/>
      <c r="R89" s="26">
        <f>LN(Q59/Q41)/$B$1</f>
        <v>7.8471087227844571E-2</v>
      </c>
      <c r="S89" s="10"/>
      <c r="T89" s="10"/>
      <c r="V89" s="26">
        <f>LN(Q62/Q42)/$B$1</f>
        <v>-0.14587291207393499</v>
      </c>
      <c r="W89" s="10"/>
      <c r="X89" s="10"/>
      <c r="Z89" s="26">
        <f>LN(Q65/Q43)/$B$1</f>
        <v>-0.1427666973946381</v>
      </c>
      <c r="AA89" s="10"/>
      <c r="AB89" s="10"/>
    </row>
    <row r="90" spans="2:28" x14ac:dyDescent="0.2">
      <c r="B9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N97"/>
  <sheetViews>
    <sheetView topLeftCell="G1" workbookViewId="0">
      <selection activeCell="N3" sqref="N3:O11"/>
    </sheetView>
  </sheetViews>
  <sheetFormatPr baseColWidth="10" defaultRowHeight="16" x14ac:dyDescent="0.2"/>
  <cols>
    <col min="1" max="1" width="22" style="5" customWidth="1"/>
    <col min="2" max="2" width="19" style="10" customWidth="1"/>
    <col min="3" max="7" width="10.83203125" style="5"/>
    <col min="8" max="8" width="13.6640625" style="5" bestFit="1" customWidth="1"/>
    <col min="9" max="9" width="16" style="5" bestFit="1" customWidth="1"/>
    <col min="10" max="10" width="16" style="5" customWidth="1"/>
    <col min="11" max="11" width="15.6640625" style="5" bestFit="1" customWidth="1"/>
    <col min="12" max="12" width="16.1640625" style="5" bestFit="1" customWidth="1"/>
    <col min="13" max="13" width="12.1640625" style="5" bestFit="1" customWidth="1"/>
    <col min="14" max="14" width="14.5" style="5" bestFit="1" customWidth="1"/>
    <col min="15" max="15" width="14.5" style="5" customWidth="1"/>
    <col min="16" max="16" width="14" style="5" bestFit="1" customWidth="1"/>
    <col min="17" max="17" width="14.6640625" style="5" bestFit="1" customWidth="1"/>
    <col min="18" max="18" width="19.33203125" style="5" bestFit="1" customWidth="1"/>
    <col min="19" max="19" width="17.1640625" style="5" bestFit="1" customWidth="1"/>
    <col min="20" max="20" width="17.1640625" style="5" customWidth="1"/>
    <col min="21" max="21" width="17.1640625" style="5" bestFit="1" customWidth="1"/>
    <col min="22" max="22" width="17.83203125" style="5" bestFit="1" customWidth="1"/>
    <col min="23" max="43" width="17.83203125" style="5" customWidth="1"/>
    <col min="44" max="47" width="10.83203125" style="5"/>
    <col min="48" max="48" width="22.1640625" style="5" bestFit="1" customWidth="1"/>
    <col min="49" max="16384" width="10.83203125" style="5"/>
  </cols>
  <sheetData>
    <row r="1" spans="1:66" x14ac:dyDescent="0.2">
      <c r="A1" s="4" t="s">
        <v>563</v>
      </c>
      <c r="B1" s="27">
        <v>1.1000000000000001</v>
      </c>
      <c r="AQ1" s="4" t="s">
        <v>41</v>
      </c>
    </row>
    <row r="2" spans="1:66" s="4" customFormat="1" x14ac:dyDescent="0.2">
      <c r="B2" s="6"/>
      <c r="C2" s="4" t="s">
        <v>38</v>
      </c>
      <c r="H2" s="4" t="s">
        <v>37</v>
      </c>
      <c r="M2" s="4" t="s">
        <v>36</v>
      </c>
      <c r="R2" s="4" t="s">
        <v>34</v>
      </c>
      <c r="W2" s="4" t="s">
        <v>35</v>
      </c>
      <c r="AB2" s="4" t="s">
        <v>55</v>
      </c>
      <c r="AG2" s="4" t="s">
        <v>54</v>
      </c>
      <c r="AL2" s="4" t="s">
        <v>53</v>
      </c>
      <c r="AQ2" s="4" t="s">
        <v>42</v>
      </c>
      <c r="AV2" s="4" t="s">
        <v>47</v>
      </c>
      <c r="AX2" s="49" t="s">
        <v>604</v>
      </c>
      <c r="AY2" s="49"/>
      <c r="AZ2" s="49"/>
      <c r="BA2" s="49"/>
      <c r="BB2" s="49"/>
      <c r="BC2" s="49"/>
      <c r="BD2" s="4" t="s">
        <v>593</v>
      </c>
      <c r="BG2" s="49"/>
      <c r="BH2" s="45" t="s">
        <v>603</v>
      </c>
      <c r="BI2" s="45"/>
      <c r="BJ2" s="45"/>
      <c r="BK2" s="45"/>
      <c r="BL2" s="45"/>
      <c r="BM2" s="45"/>
      <c r="BN2" s="45"/>
    </row>
    <row r="3" spans="1:66" s="4" customFormat="1" x14ac:dyDescent="0.2">
      <c r="A3" s="4" t="s">
        <v>39</v>
      </c>
      <c r="B3" s="6" t="s">
        <v>114</v>
      </c>
      <c r="C3" s="4" t="s">
        <v>211</v>
      </c>
      <c r="D3" s="4" t="s">
        <v>212</v>
      </c>
      <c r="E3" s="4" t="s">
        <v>213</v>
      </c>
      <c r="F3" s="4" t="s">
        <v>214</v>
      </c>
      <c r="G3" s="4" t="s">
        <v>215</v>
      </c>
      <c r="H3" s="4" t="s">
        <v>4</v>
      </c>
      <c r="I3" s="4" t="s">
        <v>478</v>
      </c>
      <c r="J3" s="4" t="s">
        <v>479</v>
      </c>
      <c r="K3" s="4" t="s">
        <v>6</v>
      </c>
      <c r="L3" s="4" t="s">
        <v>7</v>
      </c>
      <c r="M3" s="4" t="s">
        <v>8</v>
      </c>
      <c r="N3" s="4" t="s">
        <v>480</v>
      </c>
      <c r="O3" s="4" t="s">
        <v>481</v>
      </c>
      <c r="P3" s="4" t="s">
        <v>10</v>
      </c>
      <c r="Q3" s="4" t="s">
        <v>11</v>
      </c>
      <c r="R3" s="4" t="s">
        <v>26</v>
      </c>
      <c r="S3" s="4" t="s">
        <v>482</v>
      </c>
      <c r="T3" s="4" t="s">
        <v>483</v>
      </c>
      <c r="U3" s="4" t="s">
        <v>28</v>
      </c>
      <c r="V3" s="4" t="s">
        <v>29</v>
      </c>
      <c r="W3" s="4" t="s">
        <v>30</v>
      </c>
      <c r="X3" s="4" t="s">
        <v>484</v>
      </c>
      <c r="Y3" s="4" t="s">
        <v>485</v>
      </c>
      <c r="Z3" s="4" t="s">
        <v>32</v>
      </c>
      <c r="AA3" s="4" t="s">
        <v>33</v>
      </c>
      <c r="AB3" s="4" t="s">
        <v>56</v>
      </c>
      <c r="AC3" s="4" t="s">
        <v>486</v>
      </c>
      <c r="AD3" s="4" t="s">
        <v>487</v>
      </c>
      <c r="AE3" s="4" t="s">
        <v>58</v>
      </c>
      <c r="AF3" s="4" t="s">
        <v>59</v>
      </c>
      <c r="AG3" s="4" t="s">
        <v>60</v>
      </c>
      <c r="AH3" s="4" t="s">
        <v>488</v>
      </c>
      <c r="AI3" s="4" t="s">
        <v>489</v>
      </c>
      <c r="AJ3" s="4" t="s">
        <v>62</v>
      </c>
      <c r="AK3" s="4" t="s">
        <v>63</v>
      </c>
      <c r="AL3" s="4" t="s">
        <v>49</v>
      </c>
      <c r="AM3" s="4" t="s">
        <v>490</v>
      </c>
      <c r="AN3" s="4" t="s">
        <v>491</v>
      </c>
      <c r="AO3" s="4" t="s">
        <v>51</v>
      </c>
      <c r="AP3" s="4" t="s">
        <v>52</v>
      </c>
      <c r="AQ3" s="6" t="s">
        <v>43</v>
      </c>
      <c r="AR3" s="4" t="s">
        <v>492</v>
      </c>
      <c r="AS3" s="4" t="s">
        <v>493</v>
      </c>
      <c r="AT3" s="4" t="s">
        <v>45</v>
      </c>
      <c r="AU3" s="4" t="s">
        <v>46</v>
      </c>
      <c r="AV3" s="4" t="s">
        <v>48</v>
      </c>
      <c r="AW3" s="6" t="s">
        <v>115</v>
      </c>
      <c r="AX3" s="49" t="s">
        <v>594</v>
      </c>
      <c r="AY3" s="49" t="s">
        <v>595</v>
      </c>
      <c r="AZ3" s="49" t="s">
        <v>589</v>
      </c>
      <c r="BA3" s="49" t="s">
        <v>492</v>
      </c>
      <c r="BB3" s="49" t="s">
        <v>493</v>
      </c>
      <c r="BC3" s="49" t="s">
        <v>45</v>
      </c>
      <c r="BD3" s="4" t="s">
        <v>596</v>
      </c>
      <c r="BE3" s="4" t="s">
        <v>597</v>
      </c>
      <c r="BF3" s="4" t="s">
        <v>598</v>
      </c>
      <c r="BG3" s="49" t="s">
        <v>592</v>
      </c>
      <c r="BH3" s="45" t="s">
        <v>605</v>
      </c>
      <c r="BI3" s="45" t="s">
        <v>606</v>
      </c>
      <c r="BJ3" s="45" t="s">
        <v>601</v>
      </c>
      <c r="BK3" s="45" t="s">
        <v>492</v>
      </c>
      <c r="BL3" s="45" t="s">
        <v>493</v>
      </c>
      <c r="BM3" s="45" t="s">
        <v>45</v>
      </c>
      <c r="BN3" s="45" t="s">
        <v>592</v>
      </c>
    </row>
    <row r="4" spans="1:66" x14ac:dyDescent="0.2">
      <c r="A4" s="5" t="s">
        <v>185</v>
      </c>
      <c r="B4" s="10">
        <v>5</v>
      </c>
      <c r="C4" s="5">
        <v>31997</v>
      </c>
      <c r="D4" s="5">
        <v>3502</v>
      </c>
      <c r="E4" s="5">
        <v>2457</v>
      </c>
      <c r="F4" s="5">
        <v>1592</v>
      </c>
      <c r="G4" s="5">
        <v>237</v>
      </c>
      <c r="H4" s="5">
        <v>5267</v>
      </c>
      <c r="I4" s="5">
        <v>13919</v>
      </c>
      <c r="J4" s="5">
        <v>47115</v>
      </c>
      <c r="K4" s="7">
        <v>226800</v>
      </c>
      <c r="L4" s="7">
        <v>292700</v>
      </c>
      <c r="M4" s="5">
        <v>12537</v>
      </c>
      <c r="N4" s="5">
        <v>27148</v>
      </c>
      <c r="O4" s="7">
        <v>136700</v>
      </c>
      <c r="P4" s="7">
        <v>767400</v>
      </c>
      <c r="Q4" s="7">
        <v>3953000</v>
      </c>
      <c r="R4" s="8">
        <f t="shared" ref="R4:T4" si="0">(224333+M4)/235871</f>
        <v>1.0042353659415528</v>
      </c>
      <c r="S4" s="8">
        <f t="shared" si="0"/>
        <v>1.0661802425902294</v>
      </c>
      <c r="T4" s="8">
        <f t="shared" si="0"/>
        <v>1.5306375094861173</v>
      </c>
      <c r="U4" s="8">
        <f t="shared" ref="U4:V4" si="1">(224333+P4)/235871</f>
        <v>4.2045567280420233</v>
      </c>
      <c r="V4" s="8">
        <f t="shared" si="1"/>
        <v>17.710244158883459</v>
      </c>
      <c r="W4" s="8">
        <f>4/3*3.14*((R4/2)^3)</f>
        <v>0.53001106079172899</v>
      </c>
      <c r="X4" s="8">
        <f>4/3*3.14*((S4/2)^3)</f>
        <v>0.63426433095366008</v>
      </c>
      <c r="Y4" s="8">
        <f>4/3*3.14*((T4/2)^3)</f>
        <v>1.8767025895441014</v>
      </c>
      <c r="Z4" s="8">
        <f t="shared" ref="Z4:AA4" si="2">4/3*3.14*((U4/2)^3)</f>
        <v>38.899054637595668</v>
      </c>
      <c r="AA4" s="8">
        <f t="shared" si="2"/>
        <v>2907.0469331002951</v>
      </c>
      <c r="AB4" s="8">
        <f>(W4*265)/1000</f>
        <v>0.14045293110980819</v>
      </c>
      <c r="AC4" s="8">
        <f t="shared" ref="AC4:AD4" si="3">(10^(-0.665+LOG(X4, 10)*0.959))</f>
        <v>0.13975817049580161</v>
      </c>
      <c r="AD4" s="8">
        <f t="shared" si="3"/>
        <v>0.39553620255703653</v>
      </c>
      <c r="AE4" s="8">
        <f t="shared" ref="AE4:AF4" si="4">(10^(-0.665+LOG(Z4, 10)*0.959))</f>
        <v>7.2402163840195</v>
      </c>
      <c r="AF4" s="8">
        <f t="shared" si="4"/>
        <v>453.36763089586702</v>
      </c>
      <c r="AG4" s="8">
        <f>AB4*C4</f>
        <v>4494.072436720533</v>
      </c>
      <c r="AH4" s="8">
        <f t="shared" ref="AH4" si="5">AC4*D4</f>
        <v>489.43311307629722</v>
      </c>
      <c r="AI4" s="8">
        <f>AD4*E4</f>
        <v>971.83244968263875</v>
      </c>
      <c r="AJ4" s="8">
        <f t="shared" ref="AJ4:AK4" si="6">AE4*E4</f>
        <v>17789.21165553591</v>
      </c>
      <c r="AK4" s="8">
        <f t="shared" si="6"/>
        <v>721761.26838622033</v>
      </c>
      <c r="AL4" s="15">
        <f>AG4/(AG4+AH4+AI4+AJ4+AK4)</f>
        <v>6.0282191338605429E-3</v>
      </c>
      <c r="AM4" s="15">
        <f>AH4/(AG4+AH4+AI4+AJ4+AK4)</f>
        <v>6.5651146004768737E-4</v>
      </c>
      <c r="AN4" s="15">
        <f>AI4/(AG4+AH4+AI4+AJ4+AK4)</f>
        <v>1.3035880152297945E-3</v>
      </c>
      <c r="AO4" s="8">
        <f>AJ4/(AG4+AH4+AI4+AJ4+AK4)</f>
        <v>2.3861935380029384E-2</v>
      </c>
      <c r="AP4" s="8">
        <f>AK4/(AG4+AH4+AI4+AJ4+AK4)</f>
        <v>0.96814974601083259</v>
      </c>
      <c r="AQ4" s="8">
        <f>LN((AVERAGE(H14:H16))/H4)/1.1</f>
        <v>7.0599363396127227E-2</v>
      </c>
      <c r="AR4" s="8">
        <f>LN((AVERAGE(I14:I16))/I4)/1.1</f>
        <v>7.1129825001512523E-3</v>
      </c>
      <c r="AS4" s="8">
        <f>LN((AVERAGE(J14:J16))/J4)/1.1</f>
        <v>1.5262261459324486E-2</v>
      </c>
      <c r="AT4" s="8">
        <f>LN((AVERAGE(K14:K16))/K4)/1.1</f>
        <v>-2.4511122755248173E-2</v>
      </c>
      <c r="AU4" s="8">
        <f>LN((AVERAGE(L14:L16))/L4)/1.1</f>
        <v>-1.9691881692288191E-3</v>
      </c>
      <c r="AV4" s="15">
        <f>(AQ4*AL4)+(AR4*AM4)+(AS4*AN4)+(AO4*AT4)+(AP4*AU4)</f>
        <v>-2.0411979642510625E-3</v>
      </c>
      <c r="AW4" s="10">
        <v>5</v>
      </c>
      <c r="AX4" s="50">
        <f>I4/N4</f>
        <v>0.51270811846176512</v>
      </c>
      <c r="AY4" s="50">
        <f>J4/O4</f>
        <v>0.344659839063643</v>
      </c>
      <c r="AZ4" s="50">
        <f>K4/P4</f>
        <v>0.29554339327599688</v>
      </c>
      <c r="BA4" s="50">
        <f>LN((AVERAGE(AX14:AX16))/AX4)/1.1</f>
        <v>-0.17706725148801955</v>
      </c>
      <c r="BB4" s="50">
        <f>LN((AVERAGE(AY14:AY16))/AY4)/1.1</f>
        <v>-4.6446269146060384E-2</v>
      </c>
      <c r="BC4" s="50">
        <f>LN((AVERAGE(AZ14:AZ16))/AZ4)/1.1</f>
        <v>1.1152451415297984E-2</v>
      </c>
      <c r="BD4" s="8">
        <f>AH4/(AH4+AI4+AJ4)</f>
        <v>2.5424466496402516E-2</v>
      </c>
      <c r="BE4" s="8">
        <f>AI4/(AI4+AJ4+AH4)</f>
        <v>5.0483551065375665E-2</v>
      </c>
      <c r="BF4" s="8">
        <f>AJ4/(AJ4+AH4+AI4)</f>
        <v>0.92409198243822177</v>
      </c>
      <c r="BG4" s="50">
        <f>(BA4*BD4)+(BB4*BE4)+(BC4*BF4)</f>
        <v>3.4592779341101132E-3</v>
      </c>
      <c r="BH4" s="46">
        <f>I4</f>
        <v>13919</v>
      </c>
      <c r="BI4" s="46">
        <f t="shared" ref="BI4:BJ4" si="7">J4</f>
        <v>47115</v>
      </c>
      <c r="BJ4" s="46">
        <f t="shared" si="7"/>
        <v>226800</v>
      </c>
      <c r="BK4" s="48">
        <f>LN((AVERAGE(BH14:BH16))/BH4)/1.1</f>
        <v>7.1129825001512523E-3</v>
      </c>
      <c r="BL4" s="48">
        <f>LN((AVERAGE(BI14:BI16))/BI4)/1.1</f>
        <v>1.5262261459324486E-2</v>
      </c>
      <c r="BM4" s="48">
        <f>LN((AVERAGE(BJ14:BJ16))/BJ4)/1.1</f>
        <v>-2.4511122755248173E-2</v>
      </c>
      <c r="BN4" s="80">
        <f>(BD4*BK4)+(BE4*BL4)+(BF4*BM4)</f>
        <v>-2.1699195077664376E-2</v>
      </c>
    </row>
    <row r="5" spans="1:66" x14ac:dyDescent="0.2">
      <c r="A5" s="5" t="s">
        <v>186</v>
      </c>
      <c r="B5" s="10">
        <v>12</v>
      </c>
      <c r="C5" s="5">
        <v>33797</v>
      </c>
      <c r="D5" s="5">
        <v>3610</v>
      </c>
      <c r="E5" s="5">
        <v>2433</v>
      </c>
      <c r="F5" s="5">
        <v>1570</v>
      </c>
      <c r="G5" s="5">
        <v>249</v>
      </c>
      <c r="H5" s="5">
        <v>5258</v>
      </c>
      <c r="I5" s="5">
        <v>13897</v>
      </c>
      <c r="J5" s="5">
        <v>46072</v>
      </c>
      <c r="K5" s="7">
        <v>223100</v>
      </c>
      <c r="L5" s="7">
        <v>292800</v>
      </c>
      <c r="M5" s="5">
        <v>10175</v>
      </c>
      <c r="N5" s="5">
        <v>26479</v>
      </c>
      <c r="O5" s="7">
        <v>132100</v>
      </c>
      <c r="P5" s="7">
        <v>712200</v>
      </c>
      <c r="Q5" s="7">
        <v>3369000</v>
      </c>
      <c r="R5" s="8">
        <f t="shared" ref="R5:R11" si="8">(224333+M5)/235871</f>
        <v>0.99422141763930283</v>
      </c>
      <c r="S5" s="8">
        <f t="shared" ref="S5:S11" si="9">(224333+N5)/235871</f>
        <v>1.0633439464792196</v>
      </c>
      <c r="T5" s="8">
        <f t="shared" ref="T5:T11" si="10">(224333+O5)/235871</f>
        <v>1.5111353239694578</v>
      </c>
      <c r="U5" s="8">
        <f t="shared" ref="U5:U11" si="11">(224333+P5)/235871</f>
        <v>3.9705305018421084</v>
      </c>
      <c r="V5" s="8">
        <f t="shared" ref="V5:V11" si="12">(224333+Q5)/235871</f>
        <v>15.234314519377117</v>
      </c>
      <c r="W5" s="8">
        <f t="shared" ref="W5:W11" si="13">4/3*3.14*((R5/2)^3)</f>
        <v>0.51431328350755789</v>
      </c>
      <c r="X5" s="8">
        <f t="shared" ref="X5:X11" si="14">4/3*3.14*((S5/2)^3)</f>
        <v>0.62921589742422079</v>
      </c>
      <c r="Y5" s="8">
        <f t="shared" ref="Y5:Y11" si="15">4/3*3.14*((T5/2)^3)</f>
        <v>1.8058782637648017</v>
      </c>
      <c r="Z5" s="8">
        <f t="shared" ref="Z5:Z11" si="16">4/3*3.14*((U5/2)^3)</f>
        <v>32.758500020329009</v>
      </c>
      <c r="AA5" s="8">
        <f t="shared" ref="AA5:AA11" si="17">4/3*3.14*((V5/2)^3)</f>
        <v>1850.3213090378335</v>
      </c>
      <c r="AB5" s="8">
        <f t="shared" ref="AB5:AB11" si="18">(W5*265)/1000</f>
        <v>0.13629302012950284</v>
      </c>
      <c r="AC5" s="8">
        <f t="shared" ref="AC5:AC11" si="19">(10^(-0.665+LOG(X5, 10)*0.959))</f>
        <v>0.13869119800514607</v>
      </c>
      <c r="AD5" s="8">
        <f t="shared" ref="AD5:AD11" si="20">(10^(-0.665+LOG(Y5, 10)*0.959))</f>
        <v>0.3812099637977055</v>
      </c>
      <c r="AE5" s="8">
        <f t="shared" ref="AE5:AE11" si="21">(10^(-0.665+LOG(Z5, 10)*0.959))</f>
        <v>6.1403867136744763</v>
      </c>
      <c r="AF5" s="8">
        <f t="shared" ref="AF5:AF11" si="22">(10^(-0.665+LOG(AA5, 10)*0.959))</f>
        <v>293.96120380548899</v>
      </c>
      <c r="AG5" s="8">
        <f t="shared" ref="AG5:AG11" si="23">AB5*C5</f>
        <v>4606.2952013168078</v>
      </c>
      <c r="AH5" s="8">
        <f t="shared" ref="AH5:AH11" si="24">AC5*D5</f>
        <v>500.67522479857729</v>
      </c>
      <c r="AI5" s="8">
        <f t="shared" ref="AI5:AI11" si="25">AD5*E5</f>
        <v>927.48384191981745</v>
      </c>
      <c r="AJ5" s="8">
        <f t="shared" ref="AJ5:AJ11" si="26">AE5*E5</f>
        <v>14939.560874370001</v>
      </c>
      <c r="AK5" s="8">
        <f t="shared" ref="AK5:AK11" si="27">AF5*F5</f>
        <v>461519.0899746177</v>
      </c>
      <c r="AL5" s="15">
        <f t="shared" ref="AL5:AL9" si="28">AG5/(AG5+AH5+AI5+AJ5+AK5)</f>
        <v>9.5468622296677307E-3</v>
      </c>
      <c r="AM5" s="15">
        <f t="shared" ref="AM5:AM9" si="29">AH5/(AG5+AH5+AI5+AJ5+AK5)</f>
        <v>1.0376836880956974E-3</v>
      </c>
      <c r="AN5" s="15">
        <f t="shared" ref="AN5:AN9" si="30">AI5/(AG5+AH5+AI5+AJ5+AK5)</f>
        <v>1.9222737736218375E-3</v>
      </c>
      <c r="AO5" s="8">
        <f t="shared" ref="AO5:AO9" si="31">AJ5/(AG5+AH5+AI5+AJ5+AK5)</f>
        <v>3.0963262927346063E-2</v>
      </c>
      <c r="AP5" s="8">
        <f t="shared" ref="AP5:AP9" si="32">AK5/(AG5+AH5+AI5+AJ5+AK5)</f>
        <v>0.95652991738126869</v>
      </c>
      <c r="AQ5" s="8">
        <f>LN((AVERAGE(H17:H19))/H5)/1.1</f>
        <v>0.11184005163030124</v>
      </c>
      <c r="AR5" s="8">
        <f>LN((AVERAGE(I17:I19))/I5)/1.1</f>
        <v>7.8378814009363359E-3</v>
      </c>
      <c r="AS5" s="8">
        <f>LN((AVERAGE(J17:J19))/J5)/1.1</f>
        <v>5.3579871288119786E-2</v>
      </c>
      <c r="AT5" s="8">
        <f>LN((AVERAGE(K17:K19))/K5)/1.1</f>
        <v>6.2266744050679711E-3</v>
      </c>
      <c r="AU5" s="8">
        <f>LN((AVERAGE(L17:L19))/L5)/1.1</f>
        <v>-3.4217320122552262E-3</v>
      </c>
      <c r="AV5" s="15">
        <f t="shared" ref="AV5:AV9" si="33">(AQ5*AL5)+(AR5*AM5)+(AS5*AN5)+(AO5*AT5)+(AP5*AU5)</f>
        <v>-1.9013408944926599E-3</v>
      </c>
      <c r="AW5" s="10">
        <v>12</v>
      </c>
      <c r="AX5" s="50">
        <f t="shared" ref="AX5:AX11" si="34">I5/N5</f>
        <v>0.52483099814947698</v>
      </c>
      <c r="AY5" s="50">
        <f t="shared" ref="AY5:AY11" si="35">J5/O5</f>
        <v>0.34876608629825889</v>
      </c>
      <c r="AZ5" s="50">
        <f t="shared" ref="AZ5:AZ11" si="36">K5/P5</f>
        <v>0.31325470373490594</v>
      </c>
      <c r="BA5" s="50">
        <f>LN((AVERAGE(AX17:AX19))/AX5)/1.1</f>
        <v>-9.7798595005260211E-2</v>
      </c>
      <c r="BB5" s="50">
        <f>LN((AVERAGE(AY17:AY19))/AY5)/1.1</f>
        <v>5.3361277654229251E-3</v>
      </c>
      <c r="BC5" s="50">
        <f>LN((AVERAGE(AZ17:AZ19))/AZ5)/1.1</f>
        <v>5.1064484359212162E-3</v>
      </c>
      <c r="BD5" s="8">
        <f t="shared" ref="BD5:BD9" si="37">AH5/(AH5+AI5+AJ5)</f>
        <v>3.0589185702140264E-2</v>
      </c>
      <c r="BE5" s="8">
        <f t="shared" ref="BE5:BE9" si="38">AI5/(AI5+AJ5+AH5)</f>
        <v>5.6665427149173414E-2</v>
      </c>
      <c r="BF5" s="8">
        <f t="shared" ref="BF5:BF9" si="39">AJ5/(AJ5+AH5+AI5)</f>
        <v>0.91274538714868636</v>
      </c>
      <c r="BG5" s="50">
        <f t="shared" ref="BG5:BG9" si="40">(BA5*BD5)+(BB5*BE5)+(BC5*BF5)</f>
        <v>1.971681829725657E-3</v>
      </c>
      <c r="BH5" s="46">
        <f t="shared" ref="BH5:BH9" si="41">I5</f>
        <v>13897</v>
      </c>
      <c r="BI5" s="46">
        <f t="shared" ref="BI5:BI9" si="42">J5</f>
        <v>46072</v>
      </c>
      <c r="BJ5" s="46">
        <f t="shared" ref="BJ5:BJ9" si="43">K5</f>
        <v>223100</v>
      </c>
      <c r="BK5" s="48">
        <f>LN((AVERAGE(BH17:BH19))/BH5)/1.1</f>
        <v>7.8378814009363359E-3</v>
      </c>
      <c r="BL5" s="48">
        <f>LN((AVERAGE(BI17:BI19))/BI5)/1.1</f>
        <v>5.3579871288119786E-2</v>
      </c>
      <c r="BM5" s="48">
        <f>LN((AVERAGE(BJ17:BJ19))/BJ5)/1.1</f>
        <v>6.2266744050679711E-3</v>
      </c>
      <c r="BN5" s="80">
        <f t="shared" ref="BN5:BN9" si="44">(BD5*BK5)+(BE5*BL5)+(BF5*BM5)</f>
        <v>8.9592490433262131E-3</v>
      </c>
    </row>
    <row r="6" spans="1:66" x14ac:dyDescent="0.2">
      <c r="A6" s="5" t="s">
        <v>187</v>
      </c>
      <c r="B6" s="10">
        <v>20</v>
      </c>
      <c r="C6" s="5">
        <v>33659</v>
      </c>
      <c r="D6" s="5">
        <v>3544</v>
      </c>
      <c r="E6" s="5">
        <v>2423</v>
      </c>
      <c r="F6" s="5">
        <v>1466</v>
      </c>
      <c r="G6" s="5">
        <v>209</v>
      </c>
      <c r="H6" s="5">
        <v>5267</v>
      </c>
      <c r="I6" s="5">
        <v>13977</v>
      </c>
      <c r="J6" s="5">
        <v>46958</v>
      </c>
      <c r="K6" s="7">
        <v>221000</v>
      </c>
      <c r="L6" s="7">
        <v>287000</v>
      </c>
      <c r="M6" s="5">
        <v>9537</v>
      </c>
      <c r="N6" s="5">
        <v>27939</v>
      </c>
      <c r="O6" s="7">
        <v>134000</v>
      </c>
      <c r="P6" s="7">
        <v>688700</v>
      </c>
      <c r="Q6" s="7">
        <v>3312000</v>
      </c>
      <c r="R6" s="8">
        <f t="shared" si="8"/>
        <v>0.99151654930025312</v>
      </c>
      <c r="S6" s="8">
        <f t="shared" si="9"/>
        <v>1.0695337705779855</v>
      </c>
      <c r="T6" s="8">
        <f t="shared" si="10"/>
        <v>1.5191905745089478</v>
      </c>
      <c r="U6" s="8">
        <f t="shared" si="11"/>
        <v>3.8708997714852611</v>
      </c>
      <c r="V6" s="8">
        <f t="shared" si="12"/>
        <v>14.992657003192424</v>
      </c>
      <c r="W6" s="8">
        <f t="shared" si="13"/>
        <v>0.51012698744539009</v>
      </c>
      <c r="X6" s="8">
        <f t="shared" si="14"/>
        <v>0.64026815765081591</v>
      </c>
      <c r="Y6" s="8">
        <f t="shared" si="15"/>
        <v>1.8349116981383244</v>
      </c>
      <c r="Z6" s="8">
        <f t="shared" si="16"/>
        <v>30.353877475826799</v>
      </c>
      <c r="AA6" s="8">
        <f t="shared" si="17"/>
        <v>1763.6573559771493</v>
      </c>
      <c r="AB6" s="8">
        <f t="shared" si="18"/>
        <v>0.13518365167302837</v>
      </c>
      <c r="AC6" s="8">
        <f t="shared" si="19"/>
        <v>0.14102660972745432</v>
      </c>
      <c r="AD6" s="8">
        <f t="shared" si="20"/>
        <v>0.38708553947738822</v>
      </c>
      <c r="AE6" s="8">
        <f t="shared" si="21"/>
        <v>5.7074668210843154</v>
      </c>
      <c r="AF6" s="8">
        <f t="shared" si="22"/>
        <v>280.74448349047316</v>
      </c>
      <c r="AG6" s="8">
        <f t="shared" si="23"/>
        <v>4550.1465316624617</v>
      </c>
      <c r="AH6" s="8">
        <f t="shared" si="24"/>
        <v>499.79830487409811</v>
      </c>
      <c r="AI6" s="8">
        <f t="shared" si="25"/>
        <v>937.90826215371169</v>
      </c>
      <c r="AJ6" s="8">
        <f t="shared" si="26"/>
        <v>13829.192107487295</v>
      </c>
      <c r="AK6" s="8">
        <f t="shared" si="27"/>
        <v>411571.41279703367</v>
      </c>
      <c r="AL6" s="15">
        <f t="shared" si="28"/>
        <v>1.0547677962280091E-2</v>
      </c>
      <c r="AM6" s="15">
        <f t="shared" si="29"/>
        <v>1.1585806147608557E-3</v>
      </c>
      <c r="AN6" s="15">
        <f t="shared" si="30"/>
        <v>2.1741616975453014E-3</v>
      </c>
      <c r="AO6" s="8">
        <f t="shared" si="31"/>
        <v>3.2057399429505251E-2</v>
      </c>
      <c r="AP6" s="8">
        <f t="shared" si="32"/>
        <v>0.9540621802959085</v>
      </c>
      <c r="AQ6" s="8">
        <f>LN((AVERAGE(H20:H22))/H6)/1.1</f>
        <v>0.18429322194396736</v>
      </c>
      <c r="AR6" s="8">
        <f>LN((AVERAGE(I20:I22))/I6)/1.1</f>
        <v>7.9301775610252048E-2</v>
      </c>
      <c r="AS6" s="8">
        <f>LN((AVERAGE(J20:J22))/J6)/1.1</f>
        <v>0.15735781503616794</v>
      </c>
      <c r="AT6" s="8">
        <f>LN((AVERAGE(K20:K22))/K6)/1.1</f>
        <v>7.2702810551018071E-2</v>
      </c>
      <c r="AU6" s="8">
        <f>LN((AVERAGE(L20:L22))/L6)/1.1</f>
        <v>1.6877998054653236E-3</v>
      </c>
      <c r="AV6" s="15">
        <f t="shared" si="33"/>
        <v>6.3187933896820779E-3</v>
      </c>
      <c r="AW6" s="10">
        <v>20</v>
      </c>
      <c r="AX6" s="50">
        <f t="shared" si="34"/>
        <v>0.50026844196284759</v>
      </c>
      <c r="AY6" s="50">
        <f t="shared" si="35"/>
        <v>0.35043283582089552</v>
      </c>
      <c r="AZ6" s="50">
        <f t="shared" si="36"/>
        <v>0.32089443879773488</v>
      </c>
      <c r="BA6" s="50">
        <f>LN((AVERAGE(AX20:AX22))/AX6)/1.1</f>
        <v>-4.465733262952637E-2</v>
      </c>
      <c r="BB6" s="50">
        <f>LN((AVERAGE(AY20:AY22))/AY6)/1.1</f>
        <v>2.8083296217216967E-2</v>
      </c>
      <c r="BC6" s="50">
        <f>LN((AVERAGE(AZ20:AZ22))/AZ6)/1.1</f>
        <v>6.3933901597729246E-3</v>
      </c>
      <c r="BD6" s="8">
        <f t="shared" si="37"/>
        <v>3.2737382721246905E-2</v>
      </c>
      <c r="BE6" s="8">
        <f t="shared" si="38"/>
        <v>6.1434105390334018E-2</v>
      </c>
      <c r="BF6" s="8">
        <f t="shared" si="39"/>
        <v>0.90582851188841906</v>
      </c>
      <c r="BG6" s="50">
        <f t="shared" si="40"/>
        <v>6.054623084262814E-3</v>
      </c>
      <c r="BH6" s="46">
        <f t="shared" si="41"/>
        <v>13977</v>
      </c>
      <c r="BI6" s="46">
        <f t="shared" si="42"/>
        <v>46958</v>
      </c>
      <c r="BJ6" s="46">
        <f t="shared" si="43"/>
        <v>221000</v>
      </c>
      <c r="BK6" s="48">
        <f>LN((AVERAGE(BH20:BH22))/BH6)/1.1</f>
        <v>7.9301775610252048E-2</v>
      </c>
      <c r="BL6" s="48">
        <f>LN((AVERAGE(BI20:BI22))/BI6)/1.1</f>
        <v>0.15735781503616794</v>
      </c>
      <c r="BM6" s="48">
        <f>LN((AVERAGE(BJ20:BJ22))/BJ6)/1.1</f>
        <v>7.2702810551018071E-2</v>
      </c>
      <c r="BN6" s="80">
        <f t="shared" si="44"/>
        <v>7.8119547863086239E-2</v>
      </c>
    </row>
    <row r="7" spans="1:66" x14ac:dyDescent="0.2">
      <c r="A7" s="5" t="s">
        <v>188</v>
      </c>
      <c r="B7" s="10">
        <v>30</v>
      </c>
      <c r="C7" s="5">
        <v>34562</v>
      </c>
      <c r="D7" s="5">
        <v>3606</v>
      </c>
      <c r="E7" s="5">
        <v>2581</v>
      </c>
      <c r="F7" s="5">
        <v>1400</v>
      </c>
      <c r="G7" s="5">
        <v>183</v>
      </c>
      <c r="H7" s="5">
        <v>5439</v>
      </c>
      <c r="I7" s="5">
        <v>14171</v>
      </c>
      <c r="J7" s="5">
        <v>46995</v>
      </c>
      <c r="K7" s="7">
        <v>221500</v>
      </c>
      <c r="L7" s="7">
        <v>291600</v>
      </c>
      <c r="M7" s="5">
        <v>11995</v>
      </c>
      <c r="N7" s="5">
        <v>26873</v>
      </c>
      <c r="O7" s="7">
        <v>125100</v>
      </c>
      <c r="P7" s="7">
        <v>663400</v>
      </c>
      <c r="Q7" s="7">
        <v>2648000</v>
      </c>
      <c r="R7" s="8">
        <f t="shared" si="8"/>
        <v>1.0019374997350246</v>
      </c>
      <c r="S7" s="8">
        <f t="shared" si="9"/>
        <v>1.0650143510647769</v>
      </c>
      <c r="T7" s="8">
        <f t="shared" si="10"/>
        <v>1.4814580851397585</v>
      </c>
      <c r="U7" s="8">
        <f t="shared" si="11"/>
        <v>3.7636377511436336</v>
      </c>
      <c r="V7" s="8">
        <f t="shared" si="12"/>
        <v>12.177558919918091</v>
      </c>
      <c r="W7" s="8">
        <f t="shared" si="13"/>
        <v>0.52638110535482519</v>
      </c>
      <c r="X7" s="8">
        <f t="shared" si="14"/>
        <v>0.63218585951258655</v>
      </c>
      <c r="Y7" s="8">
        <f t="shared" si="15"/>
        <v>1.7015570047712392</v>
      </c>
      <c r="Z7" s="8">
        <f t="shared" si="16"/>
        <v>27.89984855774162</v>
      </c>
      <c r="AA7" s="8">
        <f t="shared" si="17"/>
        <v>945.05942208218551</v>
      </c>
      <c r="AB7" s="8">
        <f t="shared" si="18"/>
        <v>0.13949099291902869</v>
      </c>
      <c r="AC7" s="8">
        <f t="shared" si="19"/>
        <v>0.13931893361965614</v>
      </c>
      <c r="AD7" s="8">
        <f t="shared" si="20"/>
        <v>0.36006573672584685</v>
      </c>
      <c r="AE7" s="8">
        <f t="shared" si="21"/>
        <v>5.2641974469668709</v>
      </c>
      <c r="AF7" s="8">
        <f t="shared" si="22"/>
        <v>154.33530784354375</v>
      </c>
      <c r="AG7" s="8">
        <f t="shared" si="23"/>
        <v>4821.0876972674696</v>
      </c>
      <c r="AH7" s="8">
        <f t="shared" si="24"/>
        <v>502.38407463248001</v>
      </c>
      <c r="AI7" s="8">
        <f t="shared" si="25"/>
        <v>929.32966648941067</v>
      </c>
      <c r="AJ7" s="8">
        <f t="shared" si="26"/>
        <v>13586.893610621493</v>
      </c>
      <c r="AK7" s="8">
        <f t="shared" si="27"/>
        <v>216069.43098096125</v>
      </c>
      <c r="AL7" s="15">
        <f t="shared" si="28"/>
        <v>2.043620684964495E-2</v>
      </c>
      <c r="AM7" s="15">
        <f t="shared" si="29"/>
        <v>2.1295660879547848E-3</v>
      </c>
      <c r="AN7" s="15">
        <f t="shared" si="30"/>
        <v>3.9393544545255951E-3</v>
      </c>
      <c r="AO7" s="8">
        <f t="shared" si="31"/>
        <v>5.75937601027579E-2</v>
      </c>
      <c r="AP7" s="8">
        <f t="shared" si="32"/>
        <v>0.91590111250511674</v>
      </c>
      <c r="AQ7" s="8">
        <f>LN((AVERAGE(H23:H25))/H7)/1.1</f>
        <v>0.24103375779325448</v>
      </c>
      <c r="AR7" s="8">
        <f>LN((AVERAGE(I23:I25))/I7)/1.1</f>
        <v>0.11234200936580434</v>
      </c>
      <c r="AS7" s="8">
        <f>LN((AVERAGE(J23:J25))/J7)/1.1</f>
        <v>0.1628890810812488</v>
      </c>
      <c r="AT7" s="8">
        <f>LN((AVERAGE(K23:K25))/K7)/1.1</f>
        <v>5.9056074687864391E-2</v>
      </c>
      <c r="AU7" s="8">
        <f>LN((AVERAGE(L23:L25))/L7)/1.1</f>
        <v>1.764923235160489E-3</v>
      </c>
      <c r="AV7" s="15">
        <f t="shared" si="33"/>
        <v>1.082448984531232E-2</v>
      </c>
      <c r="AW7" s="10">
        <v>30</v>
      </c>
      <c r="AX7" s="50">
        <f t="shared" si="34"/>
        <v>0.52733226658728094</v>
      </c>
      <c r="AY7" s="50">
        <f t="shared" si="35"/>
        <v>0.37565947242206232</v>
      </c>
      <c r="AZ7" s="50">
        <f t="shared" si="36"/>
        <v>0.33388604160385893</v>
      </c>
      <c r="BA7" s="50">
        <f>LN((AVERAGE(AX23:AX25))/AX7)/1.1</f>
        <v>3.1034826278911999E-2</v>
      </c>
      <c r="BB7" s="50">
        <f>LN((AVERAGE(AY23:AY25))/AY7)/1.1</f>
        <v>5.1774744822929562E-2</v>
      </c>
      <c r="BC7" s="50">
        <f>LN((AVERAGE(AZ23:AZ25))/AZ7)/1.1</f>
        <v>0.1024345658820985</v>
      </c>
      <c r="BD7" s="8">
        <f t="shared" si="37"/>
        <v>3.345077628480396E-2</v>
      </c>
      <c r="BE7" s="8">
        <f t="shared" si="38"/>
        <v>6.1878551367915785E-2</v>
      </c>
      <c r="BF7" s="8">
        <f t="shared" si="39"/>
        <v>0.90467067234728016</v>
      </c>
      <c r="BG7" s="50">
        <f t="shared" si="40"/>
        <v>9.6911432826139843E-2</v>
      </c>
      <c r="BH7" s="46">
        <f t="shared" si="41"/>
        <v>14171</v>
      </c>
      <c r="BI7" s="46">
        <f t="shared" si="42"/>
        <v>46995</v>
      </c>
      <c r="BJ7" s="46">
        <f t="shared" si="43"/>
        <v>221500</v>
      </c>
      <c r="BK7" s="48">
        <f>LN((AVERAGE(BH23:BH25))/BH7)/1.1</f>
        <v>0.11234200936580434</v>
      </c>
      <c r="BL7" s="48">
        <f>LN((AVERAGE(BI23:BI25))/BI7)/1.1</f>
        <v>0.1628890810812488</v>
      </c>
      <c r="BM7" s="48">
        <f>LN((AVERAGE(BJ23:BJ25))/BJ7)/1.1</f>
        <v>5.9056074687864391E-2</v>
      </c>
      <c r="BN7" s="80">
        <f t="shared" si="44"/>
        <v>6.7263566587700996E-2</v>
      </c>
    </row>
    <row r="8" spans="1:66" x14ac:dyDescent="0.2">
      <c r="A8" s="5" t="s">
        <v>189</v>
      </c>
      <c r="B8" s="10">
        <v>40</v>
      </c>
      <c r="C8" s="5">
        <v>40930</v>
      </c>
      <c r="D8" s="5">
        <v>4526</v>
      </c>
      <c r="E8" s="5">
        <v>3668</v>
      </c>
      <c r="F8" s="5">
        <v>1438</v>
      </c>
      <c r="G8" s="5">
        <v>183</v>
      </c>
      <c r="H8" s="5">
        <v>8814</v>
      </c>
      <c r="I8" s="5">
        <v>18683</v>
      </c>
      <c r="J8" s="5">
        <v>67082</v>
      </c>
      <c r="K8" s="7">
        <v>244300</v>
      </c>
      <c r="L8" s="7">
        <v>284600</v>
      </c>
      <c r="M8" s="5">
        <v>4551</v>
      </c>
      <c r="N8" s="5">
        <v>23029</v>
      </c>
      <c r="O8" s="7">
        <v>116700</v>
      </c>
      <c r="P8" s="7">
        <v>513600</v>
      </c>
      <c r="Q8" s="7">
        <v>2285000</v>
      </c>
      <c r="R8" s="8">
        <f t="shared" si="8"/>
        <v>0.97037787604241299</v>
      </c>
      <c r="S8" s="8">
        <f t="shared" si="9"/>
        <v>1.0487173073417249</v>
      </c>
      <c r="T8" s="8">
        <f t="shared" si="10"/>
        <v>1.4458453985441195</v>
      </c>
      <c r="U8" s="8">
        <f t="shared" si="11"/>
        <v>3.1285448401880691</v>
      </c>
      <c r="V8" s="8">
        <f t="shared" si="12"/>
        <v>10.638582106320827</v>
      </c>
      <c r="W8" s="8">
        <f t="shared" si="13"/>
        <v>0.47819062421916492</v>
      </c>
      <c r="X8" s="8">
        <f t="shared" si="14"/>
        <v>0.60360621638382572</v>
      </c>
      <c r="Y8" s="8">
        <f t="shared" si="15"/>
        <v>1.5817723120073532</v>
      </c>
      <c r="Z8" s="8">
        <f t="shared" si="16"/>
        <v>16.025277160675223</v>
      </c>
      <c r="AA8" s="8">
        <f t="shared" si="17"/>
        <v>630.12926050214958</v>
      </c>
      <c r="AB8" s="8">
        <f t="shared" si="18"/>
        <v>0.12672051541807872</v>
      </c>
      <c r="AC8" s="8">
        <f t="shared" si="19"/>
        <v>0.13327319273961674</v>
      </c>
      <c r="AD8" s="8">
        <f t="shared" si="20"/>
        <v>0.33572143166192236</v>
      </c>
      <c r="AE8" s="8">
        <f t="shared" si="21"/>
        <v>3.0932037067574907</v>
      </c>
      <c r="AF8" s="8">
        <f t="shared" si="22"/>
        <v>104.62923051016602</v>
      </c>
      <c r="AG8" s="8">
        <f t="shared" si="23"/>
        <v>5186.6706960619622</v>
      </c>
      <c r="AH8" s="8">
        <f t="shared" si="24"/>
        <v>603.19447033950541</v>
      </c>
      <c r="AI8" s="8">
        <f t="shared" si="25"/>
        <v>1231.4262113359312</v>
      </c>
      <c r="AJ8" s="8">
        <f t="shared" si="26"/>
        <v>11345.871196386475</v>
      </c>
      <c r="AK8" s="8">
        <f t="shared" si="27"/>
        <v>150456.83347361875</v>
      </c>
      <c r="AL8" s="15">
        <f t="shared" si="28"/>
        <v>3.072235474508728E-2</v>
      </c>
      <c r="AM8" s="15">
        <f t="shared" si="29"/>
        <v>3.5729190426752179E-3</v>
      </c>
      <c r="AN8" s="15">
        <f t="shared" si="30"/>
        <v>7.2941420660821796E-3</v>
      </c>
      <c r="AO8" s="8">
        <f t="shared" si="31"/>
        <v>6.7205323070174905E-2</v>
      </c>
      <c r="AP8" s="8">
        <f t="shared" si="32"/>
        <v>0.89120526107598041</v>
      </c>
      <c r="AQ8" s="8">
        <f>LN((AVERAGE(H26:H28))/H8)/1.1</f>
        <v>9.4667673623772139E-2</v>
      </c>
      <c r="AR8" s="8">
        <f>LN((AVERAGE(I26:I28))/I8)/1.1</f>
        <v>0.18392182663312423</v>
      </c>
      <c r="AS8" s="8">
        <f>LN((AVERAGE(J26:J28))/J8)/1.1</f>
        <v>0.20431479391368434</v>
      </c>
      <c r="AT8" s="8">
        <f>LN((AVERAGE(K26:K28))/K8)/1.1</f>
        <v>8.9584000704051994E-2</v>
      </c>
      <c r="AU8" s="8">
        <f>LN((AVERAGE(L26:L28))/L8)/1.1</f>
        <v>-1.8118940817740221E-3</v>
      </c>
      <c r="AV8" s="15">
        <f t="shared" si="33"/>
        <v>9.4616049527566342E-3</v>
      </c>
      <c r="AW8" s="10">
        <v>40</v>
      </c>
      <c r="AX8" s="50">
        <f t="shared" si="34"/>
        <v>0.81128142776499201</v>
      </c>
      <c r="AY8" s="50">
        <f t="shared" si="35"/>
        <v>0.57482433590402737</v>
      </c>
      <c r="AZ8" s="50">
        <f t="shared" si="36"/>
        <v>0.47566199376947038</v>
      </c>
      <c r="BA8" s="50">
        <f>LN((AVERAGE(AX26:AX28))/AX8)/1.1</f>
        <v>-0.11752195738769146</v>
      </c>
      <c r="BB8" s="50">
        <f>LN((AVERAGE(AY26:AY28))/AY8)/1.1</f>
        <v>-5.8513146703696145E-2</v>
      </c>
      <c r="BC8" s="50">
        <f>LN((AVERAGE(AZ26:AZ28))/AZ8)/1.1</f>
        <v>-5.1919551320982263E-2</v>
      </c>
      <c r="BD8" s="8">
        <f t="shared" si="37"/>
        <v>4.5764185124493276E-2</v>
      </c>
      <c r="BE8" s="8">
        <f t="shared" si="38"/>
        <v>9.3427940529712816E-2</v>
      </c>
      <c r="BF8" s="8">
        <f t="shared" si="39"/>
        <v>0.86080787434579387</v>
      </c>
      <c r="BG8" s="50">
        <f t="shared" si="40"/>
        <v>-5.5537818014124503E-2</v>
      </c>
      <c r="BH8" s="46">
        <f t="shared" si="41"/>
        <v>18683</v>
      </c>
      <c r="BI8" s="46">
        <f t="shared" si="42"/>
        <v>67082</v>
      </c>
      <c r="BJ8" s="46">
        <f t="shared" si="43"/>
        <v>244300</v>
      </c>
      <c r="BK8" s="48">
        <f>LN((AVERAGE(BH26:BH28))/BH8)/1.1</f>
        <v>0.18392182663312423</v>
      </c>
      <c r="BL8" s="48">
        <f>LN((AVERAGE(BI26:BI28))/BI8)/1.1</f>
        <v>0.20431479391368434</v>
      </c>
      <c r="BM8" s="48">
        <f>LN((AVERAGE(BJ26:BJ28))/BJ8)/1.1</f>
        <v>8.9584000704051994E-2</v>
      </c>
      <c r="BN8" s="80">
        <f t="shared" si="44"/>
        <v>0.10462035615902858</v>
      </c>
    </row>
    <row r="9" spans="1:66" x14ac:dyDescent="0.2">
      <c r="A9" s="5" t="s">
        <v>190</v>
      </c>
      <c r="B9" s="10">
        <v>60</v>
      </c>
      <c r="C9" s="5">
        <v>20374</v>
      </c>
      <c r="D9" s="5">
        <v>3160</v>
      </c>
      <c r="E9" s="5">
        <v>1986</v>
      </c>
      <c r="F9" s="5">
        <v>574</v>
      </c>
      <c r="G9" s="5">
        <v>143</v>
      </c>
      <c r="H9" s="5">
        <v>15236</v>
      </c>
      <c r="I9" s="5">
        <v>33665</v>
      </c>
      <c r="J9" s="7">
        <v>134600</v>
      </c>
      <c r="K9" s="7">
        <v>295000</v>
      </c>
      <c r="L9" s="7">
        <v>276600</v>
      </c>
      <c r="M9" s="5">
        <v>28861</v>
      </c>
      <c r="N9" s="5">
        <v>30375</v>
      </c>
      <c r="O9" s="7">
        <v>154100</v>
      </c>
      <c r="P9" s="7">
        <v>514500</v>
      </c>
      <c r="Q9" s="7">
        <v>2582000</v>
      </c>
      <c r="R9" s="8">
        <f t="shared" si="8"/>
        <v>1.0734426868924116</v>
      </c>
      <c r="S9" s="8">
        <f t="shared" si="9"/>
        <v>1.0798614496907208</v>
      </c>
      <c r="T9" s="8">
        <f t="shared" si="10"/>
        <v>1.6044066460056556</v>
      </c>
      <c r="U9" s="8">
        <f t="shared" si="11"/>
        <v>3.1323604851804587</v>
      </c>
      <c r="V9" s="8">
        <f t="shared" si="12"/>
        <v>11.897744953809498</v>
      </c>
      <c r="W9" s="8">
        <f t="shared" si="13"/>
        <v>0.64731397394165857</v>
      </c>
      <c r="X9" s="8">
        <f t="shared" si="14"/>
        <v>0.65899559257089801</v>
      </c>
      <c r="Y9" s="8">
        <f t="shared" si="15"/>
        <v>2.1613333490860991</v>
      </c>
      <c r="Z9" s="8">
        <f t="shared" si="16"/>
        <v>16.083983087547626</v>
      </c>
      <c r="AA9" s="8">
        <f t="shared" si="17"/>
        <v>881.39861243515145</v>
      </c>
      <c r="AB9" s="8">
        <f t="shared" si="18"/>
        <v>0.17153820309453952</v>
      </c>
      <c r="AC9" s="8">
        <f t="shared" si="19"/>
        <v>0.14498007733887086</v>
      </c>
      <c r="AD9" s="8">
        <f t="shared" si="20"/>
        <v>0.45289566388842689</v>
      </c>
      <c r="AE9" s="8">
        <f t="shared" si="21"/>
        <v>3.1040697381217437</v>
      </c>
      <c r="AF9" s="8">
        <f t="shared" si="22"/>
        <v>144.35116578678355</v>
      </c>
      <c r="AG9" s="8">
        <f t="shared" si="23"/>
        <v>3494.9193498481482</v>
      </c>
      <c r="AH9" s="8">
        <f t="shared" si="24"/>
        <v>458.13704439083193</v>
      </c>
      <c r="AI9" s="8">
        <f t="shared" si="25"/>
        <v>899.45078848241576</v>
      </c>
      <c r="AJ9" s="8">
        <f t="shared" si="26"/>
        <v>6164.6824999097826</v>
      </c>
      <c r="AK9" s="8">
        <f t="shared" si="27"/>
        <v>82857.569161613763</v>
      </c>
      <c r="AL9" s="15">
        <f t="shared" si="28"/>
        <v>3.7229596037065153E-2</v>
      </c>
      <c r="AM9" s="15">
        <f t="shared" si="29"/>
        <v>4.8803006264012188E-3</v>
      </c>
      <c r="AN9" s="15">
        <f t="shared" si="30"/>
        <v>9.5813912020244543E-3</v>
      </c>
      <c r="AO9" s="8">
        <f t="shared" si="31"/>
        <v>6.5669223290768686E-2</v>
      </c>
      <c r="AP9" s="8">
        <f t="shared" si="32"/>
        <v>0.88263948884374055</v>
      </c>
      <c r="AQ9" s="8">
        <f>LN((AVERAGE(H29:H31))/H9)/1.1</f>
        <v>1.3718886391000499E-2</v>
      </c>
      <c r="AR9" s="8">
        <f>LN((AVERAGE(I29:I31))/I9)/1.1</f>
        <v>-7.4929099585391949E-3</v>
      </c>
      <c r="AS9" s="8">
        <f>LN((AVERAGE(J29:J31))/J9)/1.1</f>
        <v>-4.1926493765769665E-2</v>
      </c>
      <c r="AT9" s="8">
        <f>LN((AVERAGE(K29:K31))/K9)/1.1</f>
        <v>-1.6450416777303301E-3</v>
      </c>
      <c r="AU9" s="8">
        <f>LN((AVERAGE(L29:L31))/L9)/1.1</f>
        <v>2.5600758487025262E-2</v>
      </c>
      <c r="AV9" s="15">
        <f t="shared" si="33"/>
        <v>2.2560678582494567E-2</v>
      </c>
      <c r="AW9" s="10">
        <v>60</v>
      </c>
      <c r="AX9" s="50">
        <f t="shared" si="34"/>
        <v>1.108312757201646</v>
      </c>
      <c r="AY9" s="50">
        <f t="shared" si="35"/>
        <v>0.87345879299156393</v>
      </c>
      <c r="AZ9" s="50">
        <f t="shared" si="36"/>
        <v>0.57337220602526728</v>
      </c>
      <c r="BA9" s="50">
        <f>LN((AVERAGE(AX29:AX31))/AX9)/1.1</f>
        <v>-1.7380215327213858E-2</v>
      </c>
      <c r="BB9" s="50">
        <f>LN((AVERAGE(AY29:AY31))/AY9)/1.1</f>
        <v>-5.6707724622892669E-2</v>
      </c>
      <c r="BC9" s="50">
        <f>LN((AVERAGE(AZ29:AZ31))/AZ9)/1.1</f>
        <v>2.6245211843926699E-3</v>
      </c>
      <c r="BD9" s="8">
        <f t="shared" si="37"/>
        <v>6.0904091999221463E-2</v>
      </c>
      <c r="BE9" s="8">
        <f t="shared" si="38"/>
        <v>0.11957171820354455</v>
      </c>
      <c r="BF9" s="8">
        <f t="shared" si="39"/>
        <v>0.81952418979723396</v>
      </c>
      <c r="BG9" s="50">
        <f t="shared" si="40"/>
        <v>-5.6883077045825573E-3</v>
      </c>
      <c r="BH9" s="46">
        <f t="shared" si="41"/>
        <v>33665</v>
      </c>
      <c r="BI9" s="46">
        <f t="shared" si="42"/>
        <v>134600</v>
      </c>
      <c r="BJ9" s="46">
        <f t="shared" si="43"/>
        <v>295000</v>
      </c>
      <c r="BK9" s="48">
        <f>LN((AVERAGE(BH29:BH31))/BH9)/1.1</f>
        <v>-7.4929099585391949E-3</v>
      </c>
      <c r="BL9" s="48">
        <f>LN((AVERAGE(BI29:BI31))/BI9)/1.1</f>
        <v>-4.1926493765769665E-2</v>
      </c>
      <c r="BM9" s="48">
        <f>LN((AVERAGE(BJ29:BJ31))/BJ9)/1.1</f>
        <v>-1.6450416777303301E-3</v>
      </c>
      <c r="BN9" s="80">
        <f t="shared" si="44"/>
        <v>-6.8177232234046623E-3</v>
      </c>
    </row>
    <row r="10" spans="1:66" x14ac:dyDescent="0.2">
      <c r="A10" s="5" t="s">
        <v>191</v>
      </c>
      <c r="B10" s="10">
        <v>80</v>
      </c>
      <c r="C10" s="5">
        <v>10165</v>
      </c>
      <c r="D10" s="5">
        <v>2434</v>
      </c>
      <c r="E10" s="5">
        <v>1347</v>
      </c>
      <c r="F10" s="5">
        <v>136</v>
      </c>
      <c r="G10" s="5">
        <v>107</v>
      </c>
      <c r="H10" s="5">
        <v>22351</v>
      </c>
      <c r="I10" s="5">
        <v>61088</v>
      </c>
      <c r="J10" s="7">
        <v>222500</v>
      </c>
      <c r="K10" s="7">
        <v>296700</v>
      </c>
      <c r="L10" s="7">
        <v>288500</v>
      </c>
      <c r="M10" s="5">
        <v>31002</v>
      </c>
      <c r="N10" s="5">
        <v>48058</v>
      </c>
      <c r="O10" s="7">
        <v>246700</v>
      </c>
      <c r="P10" s="7">
        <v>273100</v>
      </c>
      <c r="Q10" s="7">
        <v>1855000</v>
      </c>
      <c r="R10" s="8">
        <f t="shared" si="8"/>
        <v>1.0825196823687524</v>
      </c>
      <c r="S10" s="8">
        <f t="shared" si="9"/>
        <v>1.1548303945800882</v>
      </c>
      <c r="T10" s="8">
        <f t="shared" si="10"/>
        <v>1.9969941196671062</v>
      </c>
      <c r="U10" s="8">
        <f t="shared" si="11"/>
        <v>2.1089197061105436</v>
      </c>
      <c r="V10" s="8">
        <f t="shared" si="12"/>
        <v>8.8155517210678713</v>
      </c>
      <c r="W10" s="8">
        <f t="shared" si="13"/>
        <v>0.66387421669414448</v>
      </c>
      <c r="X10" s="8">
        <f t="shared" si="14"/>
        <v>0.80599623855390246</v>
      </c>
      <c r="Y10" s="8">
        <f t="shared" si="15"/>
        <v>4.167818094856889</v>
      </c>
      <c r="Z10" s="8">
        <f t="shared" si="16"/>
        <v>4.9086100537223771</v>
      </c>
      <c r="AA10" s="8">
        <f t="shared" si="17"/>
        <v>358.53114747342909</v>
      </c>
      <c r="AB10" s="8">
        <f t="shared" si="18"/>
        <v>0.1759266674239483</v>
      </c>
      <c r="AC10" s="8">
        <f t="shared" si="19"/>
        <v>0.17586254809484891</v>
      </c>
      <c r="AD10" s="8">
        <f t="shared" si="20"/>
        <v>0.8501440054420385</v>
      </c>
      <c r="AE10" s="8">
        <f t="shared" si="21"/>
        <v>0.99455597929623729</v>
      </c>
      <c r="AF10" s="8">
        <f t="shared" si="22"/>
        <v>60.924403887361997</v>
      </c>
      <c r="AG10" s="8">
        <f t="shared" si="23"/>
        <v>1788.2945743644345</v>
      </c>
      <c r="AH10" s="8">
        <f t="shared" si="24"/>
        <v>428.04944206286228</v>
      </c>
      <c r="AI10" s="8">
        <f t="shared" si="25"/>
        <v>1145.1439753304257</v>
      </c>
      <c r="AJ10" s="8">
        <f t="shared" si="26"/>
        <v>1339.6669041120317</v>
      </c>
      <c r="AK10" s="8">
        <f t="shared" si="27"/>
        <v>8285.7189286812318</v>
      </c>
      <c r="AL10" s="15">
        <f t="shared" ref="AL10:AL11" si="45">AG10/(AG10+AH10+AI10+AJ10+AK10)</f>
        <v>0.1377001577534202</v>
      </c>
      <c r="AM10" s="15">
        <f t="shared" ref="AM10:AM11" si="46">AH10/(AG10+AH10+AI10+AJ10+AK10)</f>
        <v>3.2960160223752838E-2</v>
      </c>
      <c r="AN10" s="15">
        <f t="shared" ref="AN10:AN11" si="47">AI10/(AG10+AH10+AI10+AJ10+AK10)</f>
        <v>8.8177030962262273E-2</v>
      </c>
      <c r="AO10" s="8">
        <f t="shared" ref="AO10:AO11" si="48">AJ10/(AG10+AH10+AI10+AJ10+AK10)</f>
        <v>0.10315545697991332</v>
      </c>
      <c r="AP10" s="8">
        <f t="shared" ref="AP10:AP11" si="49">AK10/(AG10+AH10+AI10+AJ10+AK10)</f>
        <v>0.63800719408065132</v>
      </c>
      <c r="AQ10" s="8"/>
      <c r="AW10" s="10">
        <v>80</v>
      </c>
      <c r="AX10" s="50">
        <f t="shared" si="34"/>
        <v>1.2711307170502311</v>
      </c>
      <c r="AY10" s="50">
        <f t="shared" si="35"/>
        <v>0.90190514795297938</v>
      </c>
      <c r="AZ10" s="50">
        <f t="shared" si="36"/>
        <v>1.086415232515562</v>
      </c>
      <c r="BA10" s="51"/>
      <c r="BB10" s="51"/>
      <c r="BC10" s="51"/>
      <c r="BG10" s="51"/>
      <c r="BH10" s="46">
        <f t="shared" ref="BH10:BH11" si="50">I10</f>
        <v>61088</v>
      </c>
      <c r="BI10" s="46">
        <f t="shared" ref="BI10:BI11" si="51">J10</f>
        <v>222500</v>
      </c>
      <c r="BJ10" s="46">
        <f t="shared" ref="BJ10:BJ11" si="52">K10</f>
        <v>296700</v>
      </c>
      <c r="BK10" s="46"/>
      <c r="BL10" s="46"/>
      <c r="BM10" s="46"/>
      <c r="BN10" s="46"/>
    </row>
    <row r="11" spans="1:66" x14ac:dyDescent="0.2">
      <c r="A11" s="5" t="s">
        <v>210</v>
      </c>
      <c r="B11" s="10">
        <v>100</v>
      </c>
      <c r="C11" s="5">
        <v>6399</v>
      </c>
      <c r="D11" s="5">
        <v>1591</v>
      </c>
      <c r="E11" s="5">
        <v>442</v>
      </c>
      <c r="F11" s="5">
        <v>583</v>
      </c>
      <c r="G11" s="5">
        <v>87</v>
      </c>
      <c r="H11" s="5">
        <v>26036</v>
      </c>
      <c r="I11" s="5">
        <v>82582</v>
      </c>
      <c r="J11" s="7">
        <v>202000</v>
      </c>
      <c r="K11" s="7">
        <v>294200</v>
      </c>
      <c r="L11" s="7">
        <v>286400</v>
      </c>
      <c r="M11" s="5">
        <v>33448</v>
      </c>
      <c r="N11" s="5">
        <v>63376</v>
      </c>
      <c r="O11" s="7">
        <v>182200</v>
      </c>
      <c r="P11" s="7">
        <v>313900</v>
      </c>
      <c r="Q11" s="7">
        <v>1770000</v>
      </c>
      <c r="R11" s="8">
        <f t="shared" si="8"/>
        <v>1.0928897575369587</v>
      </c>
      <c r="S11" s="8">
        <f t="shared" si="9"/>
        <v>1.2197726723505644</v>
      </c>
      <c r="T11" s="8">
        <f t="shared" si="10"/>
        <v>1.7235395618791627</v>
      </c>
      <c r="U11" s="8">
        <f t="shared" si="11"/>
        <v>2.2818956124322192</v>
      </c>
      <c r="V11" s="8">
        <f t="shared" si="12"/>
        <v>8.45518524956438</v>
      </c>
      <c r="W11" s="8">
        <f t="shared" si="13"/>
        <v>0.68313646037226838</v>
      </c>
      <c r="X11" s="8">
        <f t="shared" si="14"/>
        <v>0.9497626691210227</v>
      </c>
      <c r="Y11" s="8">
        <f t="shared" si="15"/>
        <v>2.6794284690829606</v>
      </c>
      <c r="Z11" s="8">
        <f t="shared" si="16"/>
        <v>6.2182147644260475</v>
      </c>
      <c r="AA11" s="8">
        <f t="shared" si="17"/>
        <v>316.33538864130475</v>
      </c>
      <c r="AB11" s="8">
        <f t="shared" si="18"/>
        <v>0.18103116199865113</v>
      </c>
      <c r="AC11" s="8">
        <f t="shared" si="19"/>
        <v>0.20584147086422483</v>
      </c>
      <c r="AD11" s="8">
        <f t="shared" si="20"/>
        <v>0.55653494447097707</v>
      </c>
      <c r="AE11" s="8">
        <f t="shared" si="21"/>
        <v>1.2477438075847767</v>
      </c>
      <c r="AF11" s="8">
        <f t="shared" si="22"/>
        <v>54.030840130548718</v>
      </c>
      <c r="AG11" s="8">
        <f t="shared" si="23"/>
        <v>1158.4184056293686</v>
      </c>
      <c r="AH11" s="8">
        <f t="shared" si="24"/>
        <v>327.49378014498171</v>
      </c>
      <c r="AI11" s="8">
        <f t="shared" si="25"/>
        <v>245.98844545617186</v>
      </c>
      <c r="AJ11" s="8">
        <f t="shared" si="26"/>
        <v>551.50276295247124</v>
      </c>
      <c r="AK11" s="8">
        <f t="shared" si="27"/>
        <v>31499.979796109903</v>
      </c>
      <c r="AL11" s="15">
        <f t="shared" si="45"/>
        <v>3.4289591397768042E-2</v>
      </c>
      <c r="AM11" s="15">
        <f t="shared" si="46"/>
        <v>9.6939308387290739E-3</v>
      </c>
      <c r="AN11" s="15">
        <f t="shared" si="47"/>
        <v>7.2813443245332704E-3</v>
      </c>
      <c r="AO11" s="8">
        <f t="shared" si="48"/>
        <v>1.6324675354330308E-2</v>
      </c>
      <c r="AP11" s="8">
        <f t="shared" si="49"/>
        <v>0.9324104580846394</v>
      </c>
      <c r="AQ11" s="8"/>
      <c r="AW11" s="10">
        <v>100</v>
      </c>
      <c r="AX11" s="50">
        <f t="shared" si="34"/>
        <v>1.3030484726079272</v>
      </c>
      <c r="AY11" s="50">
        <f t="shared" si="35"/>
        <v>1.1086717892425906</v>
      </c>
      <c r="AZ11" s="50">
        <f t="shared" si="36"/>
        <v>0.93724115960496979</v>
      </c>
      <c r="BA11" s="51"/>
      <c r="BB11" s="51"/>
      <c r="BC11" s="51"/>
      <c r="BG11" s="51"/>
      <c r="BH11" s="46">
        <f t="shared" si="50"/>
        <v>82582</v>
      </c>
      <c r="BI11" s="46">
        <f t="shared" si="51"/>
        <v>202000</v>
      </c>
      <c r="BJ11" s="46">
        <f t="shared" si="52"/>
        <v>294200</v>
      </c>
      <c r="BK11" s="46"/>
      <c r="BL11" s="46"/>
      <c r="BM11" s="46"/>
      <c r="BN11" s="46"/>
    </row>
    <row r="12" spans="1:66" x14ac:dyDescent="0.2">
      <c r="AW12" s="10"/>
    </row>
    <row r="13" spans="1:66" s="4" customFormat="1" x14ac:dyDescent="0.2">
      <c r="A13" s="4" t="s">
        <v>40</v>
      </c>
      <c r="B13" s="6" t="s">
        <v>115</v>
      </c>
      <c r="C13" s="4" t="s">
        <v>211</v>
      </c>
      <c r="D13" s="4" t="s">
        <v>212</v>
      </c>
      <c r="E13" s="4" t="s">
        <v>213</v>
      </c>
      <c r="F13" s="4" t="s">
        <v>214</v>
      </c>
      <c r="G13" s="4" t="s">
        <v>215</v>
      </c>
      <c r="H13" s="4" t="s">
        <v>4</v>
      </c>
      <c r="I13" s="4" t="s">
        <v>478</v>
      </c>
      <c r="J13" s="4" t="s">
        <v>479</v>
      </c>
      <c r="K13" s="4" t="s">
        <v>6</v>
      </c>
      <c r="L13" s="4" t="s">
        <v>7</v>
      </c>
      <c r="M13" s="4" t="s">
        <v>8</v>
      </c>
      <c r="N13" s="4" t="s">
        <v>480</v>
      </c>
      <c r="O13" s="4" t="s">
        <v>481</v>
      </c>
      <c r="P13" s="4" t="s">
        <v>10</v>
      </c>
      <c r="Q13" s="4" t="s">
        <v>11</v>
      </c>
      <c r="R13" s="4" t="s">
        <v>26</v>
      </c>
      <c r="S13" s="4" t="s">
        <v>482</v>
      </c>
      <c r="T13" s="4" t="s">
        <v>483</v>
      </c>
      <c r="U13" s="4" t="s">
        <v>28</v>
      </c>
      <c r="V13" s="4" t="s">
        <v>29</v>
      </c>
      <c r="AW13" s="6" t="s">
        <v>115</v>
      </c>
    </row>
    <row r="14" spans="1:66" x14ac:dyDescent="0.2">
      <c r="A14" s="5" t="s">
        <v>192</v>
      </c>
      <c r="B14" s="10">
        <v>5</v>
      </c>
      <c r="C14" s="5">
        <v>17573</v>
      </c>
      <c r="D14" s="5">
        <v>1953</v>
      </c>
      <c r="E14" s="5">
        <v>975</v>
      </c>
      <c r="F14" s="5">
        <v>660</v>
      </c>
      <c r="G14" s="5">
        <v>89</v>
      </c>
      <c r="H14" s="5">
        <v>5425</v>
      </c>
      <c r="I14" s="5">
        <v>13933</v>
      </c>
      <c r="J14" s="5">
        <v>46434</v>
      </c>
      <c r="K14" s="7">
        <v>220000</v>
      </c>
      <c r="L14" s="7">
        <v>294900</v>
      </c>
      <c r="M14" s="5">
        <v>15920</v>
      </c>
      <c r="N14" s="5">
        <v>38364</v>
      </c>
      <c r="O14" s="7">
        <v>142900</v>
      </c>
      <c r="P14" s="7">
        <v>729400</v>
      </c>
      <c r="Q14" s="7">
        <v>3511000</v>
      </c>
      <c r="R14" s="8">
        <f t="shared" ref="R14:R31" si="53">(224333+M14)/235871</f>
        <v>1.0185779515073918</v>
      </c>
      <c r="S14" s="8">
        <f t="shared" ref="S14:S31" si="54">(224333+N14)/235871</f>
        <v>1.1137316584065018</v>
      </c>
      <c r="T14" s="8">
        <f t="shared" ref="T14:T31" si="55">(224333+O14)/235871</f>
        <v>1.5569230638781368</v>
      </c>
      <c r="U14" s="8">
        <f t="shared" ref="U14:U31" si="56">(224333+P14)/235871</f>
        <v>4.0434517172522266</v>
      </c>
      <c r="V14" s="8">
        <f t="shared" ref="V14:V31" si="57">(224333+Q14)/235871</f>
        <v>15.836338507065303</v>
      </c>
      <c r="W14" s="8">
        <f t="shared" ref="W14:W31" si="58">4/3*3.14*((R14/2)^3)</f>
        <v>0.55304594305604271</v>
      </c>
      <c r="X14" s="8">
        <f t="shared" ref="X14:X31" si="59">4/3*3.14*((S14/2)^3)</f>
        <v>0.72296969359705388</v>
      </c>
      <c r="Y14" s="8">
        <f t="shared" ref="Y14:Y31" si="60">4/3*3.14*((T14/2)^3)</f>
        <v>1.9750580028022153</v>
      </c>
      <c r="Z14" s="8">
        <f t="shared" ref="Z14:Z31" si="61">4/3*3.14*((U14/2)^3)</f>
        <v>34.59674036937772</v>
      </c>
      <c r="AA14" s="8">
        <f t="shared" ref="AA14:AA31" si="62">4/3*3.14*((V14/2)^3)</f>
        <v>2078.4650532804058</v>
      </c>
      <c r="AB14" s="8">
        <f t="shared" ref="AB14:AB31" si="63">(W14*265)/1000</f>
        <v>0.14655717490985132</v>
      </c>
      <c r="AC14" s="8">
        <f t="shared" ref="AC14:AC31" si="64">(10^(-0.665+LOG(X14, 10)*0.959))</f>
        <v>0.15845143203298256</v>
      </c>
      <c r="AD14" s="8">
        <f t="shared" ref="AD14:AD31" si="65">(10^(-0.665+LOG(Y14, 10)*0.959))</f>
        <v>0.41539482361021512</v>
      </c>
      <c r="AE14" s="8">
        <f t="shared" ref="AE14:AE31" si="66">(10^(-0.665+LOG(Z14, 10)*0.959))</f>
        <v>6.4704537898793166</v>
      </c>
      <c r="AF14" s="8">
        <f t="shared" ref="AF14:AF31" si="67">(10^(-0.665+LOG(AA14, 10)*0.959))</f>
        <v>328.63610524065928</v>
      </c>
      <c r="AG14" s="8">
        <f t="shared" ref="AG14:AG31" si="68">AB14*C14</f>
        <v>2575.4492346908173</v>
      </c>
      <c r="AH14" s="8">
        <f t="shared" ref="AH14:AH31" si="69">AC14*D14</f>
        <v>309.45564676041494</v>
      </c>
      <c r="AI14" s="8">
        <f t="shared" ref="AI14:AI31" si="70">AD14*E14</f>
        <v>405.00995301995977</v>
      </c>
      <c r="AJ14" s="8">
        <f t="shared" ref="AJ14:AJ31" si="71">AE14*E14</f>
        <v>6308.6924451323339</v>
      </c>
      <c r="AK14" s="8">
        <f t="shared" ref="AK14:AK31" si="72">AF14*F14</f>
        <v>216899.82945883513</v>
      </c>
      <c r="AL14" s="15">
        <f t="shared" ref="AL14:AL31" si="73">AG14/(AG14+AH14+AI14+AJ14+AK14)</f>
        <v>1.1370715276348494E-2</v>
      </c>
      <c r="AM14" s="15">
        <f t="shared" ref="AM14:AM31" si="74">AH14/(AG14+AH14+AI14+AJ14+AK14)</f>
        <v>1.3662595257457589E-3</v>
      </c>
      <c r="AN14" s="15">
        <f t="shared" ref="AN14:AN31" si="75">AI14/(AG14+AH14+AI14+AJ14+AK14)</f>
        <v>1.7881357542774874E-3</v>
      </c>
      <c r="AO14" s="8">
        <f t="shared" ref="AO14:AO31" si="76">AJ14/(AG14+AH14+AI14+AJ14+AK14)</f>
        <v>2.7853139014895889E-2</v>
      </c>
      <c r="AP14" s="8">
        <f t="shared" ref="AP14:AP31" si="77">AK14/(AG14+AH14+AI14+AJ14+AK14)</f>
        <v>0.95762175042873243</v>
      </c>
      <c r="AQ14" s="8"/>
      <c r="AW14" s="10">
        <v>5</v>
      </c>
      <c r="AX14" s="8">
        <f t="shared" ref="AX14:AX31" si="78">I14/N14</f>
        <v>0.36317902199979146</v>
      </c>
      <c r="AY14" s="8">
        <f t="shared" ref="AY14:AY31" si="79">J14/O14</f>
        <v>0.32494051784464661</v>
      </c>
      <c r="AZ14" s="8">
        <f t="shared" ref="AZ14:AZ31" si="80">K14/P14</f>
        <v>0.30161776802851659</v>
      </c>
      <c r="BH14" s="5">
        <f t="shared" ref="BH14:BH31" si="81">I14</f>
        <v>13933</v>
      </c>
      <c r="BI14" s="5">
        <f t="shared" ref="BI14:BI31" si="82">J14</f>
        <v>46434</v>
      </c>
      <c r="BJ14" s="5">
        <f t="shared" ref="BJ14:BJ31" si="83">K14</f>
        <v>220000</v>
      </c>
    </row>
    <row r="15" spans="1:66" x14ac:dyDescent="0.2">
      <c r="A15" s="5" t="s">
        <v>193</v>
      </c>
      <c r="B15" s="10">
        <v>5</v>
      </c>
      <c r="C15" s="5">
        <v>34688</v>
      </c>
      <c r="D15" s="5">
        <v>4177</v>
      </c>
      <c r="E15" s="5">
        <v>2086</v>
      </c>
      <c r="F15" s="5">
        <v>1524</v>
      </c>
      <c r="G15" s="5">
        <v>267</v>
      </c>
      <c r="H15" s="5">
        <v>6072</v>
      </c>
      <c r="I15" s="5">
        <v>13935</v>
      </c>
      <c r="J15" s="5">
        <v>48551</v>
      </c>
      <c r="K15" s="7">
        <v>222800</v>
      </c>
      <c r="L15" s="7">
        <v>288300</v>
      </c>
      <c r="M15" s="5">
        <v>9323</v>
      </c>
      <c r="N15" s="5">
        <v>29896</v>
      </c>
      <c r="O15" s="7">
        <v>154400</v>
      </c>
      <c r="P15" s="7">
        <v>761200</v>
      </c>
      <c r="Q15" s="7">
        <v>2538000</v>
      </c>
      <c r="R15" s="8">
        <f t="shared" si="53"/>
        <v>0.99060927371317375</v>
      </c>
      <c r="S15" s="8">
        <f t="shared" si="54"/>
        <v>1.07783067863366</v>
      </c>
      <c r="T15" s="8">
        <f t="shared" si="55"/>
        <v>1.6056785276697856</v>
      </c>
      <c r="U15" s="8">
        <f t="shared" si="56"/>
        <v>4.1782711736500033</v>
      </c>
      <c r="V15" s="8">
        <f t="shared" si="57"/>
        <v>11.711202309737102</v>
      </c>
      <c r="W15" s="8">
        <f t="shared" si="58"/>
        <v>0.50872791128805639</v>
      </c>
      <c r="X15" s="8">
        <f t="shared" si="59"/>
        <v>0.65528468866158529</v>
      </c>
      <c r="Y15" s="8">
        <f t="shared" si="60"/>
        <v>2.1664775687095972</v>
      </c>
      <c r="Z15" s="8">
        <f t="shared" si="61"/>
        <v>38.174052434731394</v>
      </c>
      <c r="AA15" s="8">
        <f t="shared" si="62"/>
        <v>840.5873460559975</v>
      </c>
      <c r="AB15" s="8">
        <f t="shared" si="63"/>
        <v>0.13481289649133496</v>
      </c>
      <c r="AC15" s="8">
        <f t="shared" si="64"/>
        <v>0.14419705462043331</v>
      </c>
      <c r="AD15" s="8">
        <f t="shared" si="65"/>
        <v>0.45392936109751875</v>
      </c>
      <c r="AE15" s="8">
        <f t="shared" si="66"/>
        <v>7.1107558426012778</v>
      </c>
      <c r="AF15" s="8">
        <f t="shared" si="67"/>
        <v>137.93514991048499</v>
      </c>
      <c r="AG15" s="8">
        <f t="shared" si="68"/>
        <v>4676.3897534914267</v>
      </c>
      <c r="AH15" s="8">
        <f t="shared" si="69"/>
        <v>602.31109714954994</v>
      </c>
      <c r="AI15" s="8">
        <f t="shared" si="70"/>
        <v>946.89664724942406</v>
      </c>
      <c r="AJ15" s="8">
        <f t="shared" si="71"/>
        <v>14833.036687666265</v>
      </c>
      <c r="AK15" s="8">
        <f t="shared" si="72"/>
        <v>210213.16846357915</v>
      </c>
      <c r="AL15" s="15">
        <f t="shared" si="73"/>
        <v>2.0220319554416291E-2</v>
      </c>
      <c r="AM15" s="15">
        <f t="shared" si="74"/>
        <v>2.604342986262448E-3</v>
      </c>
      <c r="AN15" s="15">
        <f t="shared" si="75"/>
        <v>4.0943021864449603E-3</v>
      </c>
      <c r="AO15" s="8">
        <f t="shared" si="76"/>
        <v>6.4136814422506905E-2</v>
      </c>
      <c r="AP15" s="8">
        <f t="shared" si="77"/>
        <v>0.90894422085036941</v>
      </c>
      <c r="AQ15" s="8"/>
      <c r="AW15" s="10">
        <v>5</v>
      </c>
      <c r="AX15" s="8">
        <f t="shared" si="78"/>
        <v>0.46611586834359109</v>
      </c>
      <c r="AY15" s="8">
        <f t="shared" si="79"/>
        <v>0.31444948186528499</v>
      </c>
      <c r="AZ15" s="8">
        <f t="shared" si="80"/>
        <v>0.2926957435627956</v>
      </c>
      <c r="BH15" s="5">
        <f t="shared" si="81"/>
        <v>13935</v>
      </c>
      <c r="BI15" s="5">
        <f t="shared" si="82"/>
        <v>48551</v>
      </c>
      <c r="BJ15" s="5">
        <f t="shared" si="83"/>
        <v>222800</v>
      </c>
    </row>
    <row r="16" spans="1:66" x14ac:dyDescent="0.2">
      <c r="A16" s="5" t="s">
        <v>194</v>
      </c>
      <c r="B16" s="10">
        <v>5</v>
      </c>
      <c r="C16" s="5">
        <v>40105</v>
      </c>
      <c r="D16" s="5">
        <v>4003</v>
      </c>
      <c r="E16" s="5">
        <v>3051</v>
      </c>
      <c r="F16" s="5">
        <v>1948</v>
      </c>
      <c r="G16" s="5">
        <v>326</v>
      </c>
      <c r="H16" s="5">
        <v>5580</v>
      </c>
      <c r="I16" s="5">
        <v>14217</v>
      </c>
      <c r="J16" s="5">
        <v>48753</v>
      </c>
      <c r="K16" s="7">
        <v>219500</v>
      </c>
      <c r="L16" s="7">
        <v>293000</v>
      </c>
      <c r="M16" s="5">
        <v>17446</v>
      </c>
      <c r="N16" s="5">
        <v>32562</v>
      </c>
      <c r="O16" s="7">
        <v>142100</v>
      </c>
      <c r="P16" s="7">
        <v>723800</v>
      </c>
      <c r="Q16" s="7">
        <v>2348000</v>
      </c>
      <c r="R16" s="8">
        <f t="shared" si="53"/>
        <v>1.0250475895722662</v>
      </c>
      <c r="S16" s="8">
        <f t="shared" si="54"/>
        <v>1.0891334670222284</v>
      </c>
      <c r="T16" s="8">
        <f t="shared" si="55"/>
        <v>1.5535313794404568</v>
      </c>
      <c r="U16" s="8">
        <f t="shared" si="56"/>
        <v>4.019709926188467</v>
      </c>
      <c r="V16" s="8">
        <f t="shared" si="57"/>
        <v>10.905677255788122</v>
      </c>
      <c r="W16" s="8">
        <f t="shared" si="58"/>
        <v>0.56365126216844852</v>
      </c>
      <c r="X16" s="8">
        <f t="shared" si="59"/>
        <v>0.67611676927824216</v>
      </c>
      <c r="Y16" s="8">
        <f t="shared" si="60"/>
        <v>1.9621783854137314</v>
      </c>
      <c r="Z16" s="8">
        <f t="shared" si="61"/>
        <v>33.990890348192679</v>
      </c>
      <c r="AA16" s="8">
        <f t="shared" si="62"/>
        <v>678.7913831756839</v>
      </c>
      <c r="AB16" s="8">
        <f t="shared" si="63"/>
        <v>0.14936758447463885</v>
      </c>
      <c r="AC16" s="8">
        <f t="shared" si="64"/>
        <v>0.14859042250245116</v>
      </c>
      <c r="AD16" s="8">
        <f t="shared" si="65"/>
        <v>0.41279669299367705</v>
      </c>
      <c r="AE16" s="8">
        <f t="shared" si="66"/>
        <v>6.3617511408830651</v>
      </c>
      <c r="AF16" s="8">
        <f t="shared" si="67"/>
        <v>112.36605441185051</v>
      </c>
      <c r="AG16" s="8">
        <f t="shared" si="68"/>
        <v>5990.3869753553909</v>
      </c>
      <c r="AH16" s="8">
        <f t="shared" si="69"/>
        <v>594.80746127731197</v>
      </c>
      <c r="AI16" s="8">
        <f t="shared" si="70"/>
        <v>1259.4427103237088</v>
      </c>
      <c r="AJ16" s="8">
        <f t="shared" si="71"/>
        <v>19409.702730834233</v>
      </c>
      <c r="AK16" s="8">
        <f t="shared" si="72"/>
        <v>218889.07399428479</v>
      </c>
      <c r="AL16" s="15">
        <f t="shared" si="73"/>
        <v>2.433697851638918E-2</v>
      </c>
      <c r="AM16" s="15">
        <f t="shared" si="74"/>
        <v>2.4165077258026602E-3</v>
      </c>
      <c r="AN16" s="15">
        <f t="shared" si="75"/>
        <v>5.1167028624144323E-3</v>
      </c>
      <c r="AO16" s="8">
        <f t="shared" si="76"/>
        <v>7.8855259320169166E-2</v>
      </c>
      <c r="AP16" s="8">
        <f t="shared" si="77"/>
        <v>0.8892745515752245</v>
      </c>
      <c r="AQ16" s="8"/>
      <c r="AW16" s="10">
        <v>5</v>
      </c>
      <c r="AX16" s="8">
        <f t="shared" si="78"/>
        <v>0.43661323014556847</v>
      </c>
      <c r="AY16" s="8">
        <f t="shared" si="79"/>
        <v>0.34308937368050668</v>
      </c>
      <c r="AZ16" s="8">
        <f t="shared" si="80"/>
        <v>0.30326056921801603</v>
      </c>
      <c r="BH16" s="5">
        <f t="shared" si="81"/>
        <v>14217</v>
      </c>
      <c r="BI16" s="5">
        <f t="shared" si="82"/>
        <v>48753</v>
      </c>
      <c r="BJ16" s="5">
        <f t="shared" si="83"/>
        <v>219500</v>
      </c>
    </row>
    <row r="17" spans="1:62" x14ac:dyDescent="0.2">
      <c r="A17" s="5" t="s">
        <v>195</v>
      </c>
      <c r="B17" s="10">
        <v>12</v>
      </c>
      <c r="C17" s="5">
        <v>12154</v>
      </c>
      <c r="D17" s="5">
        <v>1379</v>
      </c>
      <c r="E17" s="5">
        <v>971</v>
      </c>
      <c r="F17" s="5">
        <v>553</v>
      </c>
      <c r="G17" s="5">
        <v>95</v>
      </c>
      <c r="H17" s="5">
        <v>5989</v>
      </c>
      <c r="I17" s="5">
        <v>13671</v>
      </c>
      <c r="J17" s="5">
        <v>48304</v>
      </c>
      <c r="K17" s="7">
        <v>224000</v>
      </c>
      <c r="L17" s="7">
        <v>291100</v>
      </c>
      <c r="M17" s="5">
        <v>22858</v>
      </c>
      <c r="N17" s="5">
        <v>31001</v>
      </c>
      <c r="O17" s="7">
        <v>135700</v>
      </c>
      <c r="P17" s="7">
        <v>707400</v>
      </c>
      <c r="Q17" s="7">
        <v>2588000</v>
      </c>
      <c r="R17" s="8">
        <f t="shared" si="53"/>
        <v>1.0479923347931708</v>
      </c>
      <c r="S17" s="8">
        <f t="shared" si="54"/>
        <v>1.0825154427632053</v>
      </c>
      <c r="T17" s="8">
        <f t="shared" si="55"/>
        <v>1.5263979039390174</v>
      </c>
      <c r="U17" s="8">
        <f t="shared" si="56"/>
        <v>3.9501803952160293</v>
      </c>
      <c r="V17" s="8">
        <f t="shared" si="57"/>
        <v>11.923182587092096</v>
      </c>
      <c r="W17" s="8">
        <f t="shared" si="58"/>
        <v>0.60235527250811238</v>
      </c>
      <c r="X17" s="8">
        <f t="shared" si="59"/>
        <v>0.66386641668689894</v>
      </c>
      <c r="Y17" s="8">
        <f t="shared" si="60"/>
        <v>1.861151302748294</v>
      </c>
      <c r="Z17" s="8">
        <f t="shared" si="61"/>
        <v>32.257387066163858</v>
      </c>
      <c r="AA17" s="8">
        <f t="shared" si="62"/>
        <v>887.06405530363816</v>
      </c>
      <c r="AB17" s="8">
        <f t="shared" si="63"/>
        <v>0.15962414721464979</v>
      </c>
      <c r="AC17" s="8">
        <f t="shared" si="64"/>
        <v>0.14600757591843683</v>
      </c>
      <c r="AD17" s="8">
        <f t="shared" si="65"/>
        <v>0.39239244022531661</v>
      </c>
      <c r="AE17" s="8">
        <f t="shared" si="66"/>
        <v>6.0502788172703479</v>
      </c>
      <c r="AF17" s="8">
        <f t="shared" si="67"/>
        <v>145.24086519426794</v>
      </c>
      <c r="AG17" s="8">
        <f t="shared" si="68"/>
        <v>1940.0718852468535</v>
      </c>
      <c r="AH17" s="8">
        <f t="shared" si="69"/>
        <v>201.34444719152438</v>
      </c>
      <c r="AI17" s="8">
        <f t="shared" si="70"/>
        <v>381.01305945878244</v>
      </c>
      <c r="AJ17" s="8">
        <f t="shared" si="71"/>
        <v>5874.8207315695081</v>
      </c>
      <c r="AK17" s="8">
        <f t="shared" si="72"/>
        <v>80318.198452430166</v>
      </c>
      <c r="AL17" s="15">
        <f t="shared" si="73"/>
        <v>2.1868478561398529E-2</v>
      </c>
      <c r="AM17" s="15">
        <f t="shared" si="74"/>
        <v>2.2695533914735546E-3</v>
      </c>
      <c r="AN17" s="15">
        <f t="shared" si="75"/>
        <v>4.2947769027265013E-3</v>
      </c>
      <c r="AO17" s="8">
        <f t="shared" si="76"/>
        <v>6.6220943768813254E-2</v>
      </c>
      <c r="AP17" s="8">
        <f t="shared" si="77"/>
        <v>0.90534624737558811</v>
      </c>
      <c r="AQ17" s="8"/>
      <c r="AW17" s="10">
        <v>12</v>
      </c>
      <c r="AX17" s="8">
        <f t="shared" si="78"/>
        <v>0.44098577465243055</v>
      </c>
      <c r="AY17" s="8">
        <f t="shared" si="79"/>
        <v>0.3559616801768607</v>
      </c>
      <c r="AZ17" s="8">
        <f t="shared" si="80"/>
        <v>0.31665253039298841</v>
      </c>
      <c r="BH17" s="5">
        <f t="shared" si="81"/>
        <v>13671</v>
      </c>
      <c r="BI17" s="5">
        <f t="shared" si="82"/>
        <v>48304</v>
      </c>
      <c r="BJ17" s="5">
        <f t="shared" si="83"/>
        <v>224000</v>
      </c>
    </row>
    <row r="18" spans="1:62" x14ac:dyDescent="0.2">
      <c r="A18" s="5" t="s">
        <v>196</v>
      </c>
      <c r="B18" s="10">
        <v>12</v>
      </c>
      <c r="C18" s="5">
        <v>34740</v>
      </c>
      <c r="D18" s="5">
        <v>4129</v>
      </c>
      <c r="E18" s="5">
        <v>2116</v>
      </c>
      <c r="F18" s="5">
        <v>1468</v>
      </c>
      <c r="G18" s="5">
        <v>216</v>
      </c>
      <c r="H18" s="5">
        <v>6263</v>
      </c>
      <c r="I18" s="5">
        <v>14120</v>
      </c>
      <c r="J18" s="5">
        <v>49373</v>
      </c>
      <c r="K18" s="7">
        <v>224500</v>
      </c>
      <c r="L18" s="7">
        <v>291200</v>
      </c>
      <c r="M18" s="5">
        <v>6247</v>
      </c>
      <c r="N18" s="5">
        <v>28360</v>
      </c>
      <c r="O18" s="7">
        <v>153000</v>
      </c>
      <c r="P18" s="7">
        <v>732800</v>
      </c>
      <c r="Q18" s="7">
        <v>2283000</v>
      </c>
      <c r="R18" s="8">
        <f t="shared" si="53"/>
        <v>0.97756824705029444</v>
      </c>
      <c r="S18" s="8">
        <f t="shared" si="54"/>
        <v>1.0713186445133145</v>
      </c>
      <c r="T18" s="8">
        <f t="shared" si="55"/>
        <v>1.5997430799038457</v>
      </c>
      <c r="U18" s="8">
        <f t="shared" si="56"/>
        <v>4.0578663761123668</v>
      </c>
      <c r="V18" s="8">
        <f t="shared" si="57"/>
        <v>10.630102895226628</v>
      </c>
      <c r="W18" s="8">
        <f t="shared" si="58"/>
        <v>0.48889957234621145</v>
      </c>
      <c r="X18" s="8">
        <f t="shared" si="59"/>
        <v>0.64347901319813339</v>
      </c>
      <c r="Y18" s="8">
        <f t="shared" si="60"/>
        <v>2.1425408858859294</v>
      </c>
      <c r="Z18" s="8">
        <f t="shared" si="61"/>
        <v>34.968066795583979</v>
      </c>
      <c r="AA18" s="8">
        <f t="shared" si="62"/>
        <v>628.62377558139349</v>
      </c>
      <c r="AB18" s="8">
        <f t="shared" si="63"/>
        <v>0.12955838667174605</v>
      </c>
      <c r="AC18" s="8">
        <f t="shared" si="64"/>
        <v>0.14170477252928096</v>
      </c>
      <c r="AD18" s="8">
        <f t="shared" si="65"/>
        <v>0.44911858233635482</v>
      </c>
      <c r="AE18" s="8">
        <f t="shared" si="66"/>
        <v>6.5370391587181</v>
      </c>
      <c r="AF18" s="8">
        <f t="shared" si="67"/>
        <v>104.38949095811222</v>
      </c>
      <c r="AG18" s="8">
        <f t="shared" si="68"/>
        <v>4500.8583529764574</v>
      </c>
      <c r="AH18" s="8">
        <f t="shared" si="69"/>
        <v>585.09900577340113</v>
      </c>
      <c r="AI18" s="8">
        <f t="shared" si="70"/>
        <v>950.33492022372684</v>
      </c>
      <c r="AJ18" s="8">
        <f t="shared" si="71"/>
        <v>13832.374859847499</v>
      </c>
      <c r="AK18" s="8">
        <f t="shared" si="72"/>
        <v>153243.77272650873</v>
      </c>
      <c r="AL18" s="15">
        <f t="shared" si="73"/>
        <v>2.5999624039022447E-2</v>
      </c>
      <c r="AM18" s="15">
        <f t="shared" si="74"/>
        <v>3.3798784548849867E-3</v>
      </c>
      <c r="AN18" s="15">
        <f t="shared" si="75"/>
        <v>5.4896974530716878E-3</v>
      </c>
      <c r="AO18" s="8">
        <f t="shared" si="76"/>
        <v>7.9903991132053737E-2</v>
      </c>
      <c r="AP18" s="8">
        <f t="shared" si="77"/>
        <v>0.88522680892096706</v>
      </c>
      <c r="AQ18" s="8"/>
      <c r="AW18" s="10">
        <v>12</v>
      </c>
      <c r="AX18" s="8">
        <f t="shared" si="78"/>
        <v>0.49788434414668548</v>
      </c>
      <c r="AY18" s="8">
        <f t="shared" si="79"/>
        <v>0.32269934640522874</v>
      </c>
      <c r="AZ18" s="8">
        <f t="shared" si="80"/>
        <v>0.30635917030567683</v>
      </c>
      <c r="BH18" s="5">
        <f t="shared" si="81"/>
        <v>14120</v>
      </c>
      <c r="BI18" s="5">
        <f t="shared" si="82"/>
        <v>49373</v>
      </c>
      <c r="BJ18" s="5">
        <f t="shared" si="83"/>
        <v>224500</v>
      </c>
    </row>
    <row r="19" spans="1:62" x14ac:dyDescent="0.2">
      <c r="A19" s="5" t="s">
        <v>197</v>
      </c>
      <c r="B19" s="10">
        <v>12</v>
      </c>
      <c r="C19" s="5">
        <v>38296</v>
      </c>
      <c r="D19" s="5">
        <v>3626</v>
      </c>
      <c r="E19" s="5">
        <v>3118</v>
      </c>
      <c r="F19" s="5">
        <v>1755</v>
      </c>
      <c r="G19" s="5">
        <v>238</v>
      </c>
      <c r="H19" s="5">
        <v>5587</v>
      </c>
      <c r="I19" s="5">
        <v>14261</v>
      </c>
      <c r="J19" s="5">
        <v>48930</v>
      </c>
      <c r="K19" s="7">
        <v>225400</v>
      </c>
      <c r="L19" s="7">
        <v>292800</v>
      </c>
      <c r="M19" s="5">
        <v>5622</v>
      </c>
      <c r="N19" s="5">
        <v>30021</v>
      </c>
      <c r="O19" s="7">
        <v>130900</v>
      </c>
      <c r="P19" s="7">
        <v>699900</v>
      </c>
      <c r="Q19" s="7">
        <v>2372000</v>
      </c>
      <c r="R19" s="8">
        <f t="shared" si="53"/>
        <v>0.97491849358335703</v>
      </c>
      <c r="S19" s="8">
        <f t="shared" si="54"/>
        <v>1.0783606293270473</v>
      </c>
      <c r="T19" s="8">
        <f t="shared" si="55"/>
        <v>1.506047797312938</v>
      </c>
      <c r="U19" s="8">
        <f t="shared" si="56"/>
        <v>3.9183833536127799</v>
      </c>
      <c r="V19" s="8">
        <f t="shared" si="57"/>
        <v>11.00742778891852</v>
      </c>
      <c r="W19" s="8">
        <f t="shared" si="58"/>
        <v>0.48493476962034754</v>
      </c>
      <c r="X19" s="8">
        <f t="shared" si="59"/>
        <v>0.65625174041454548</v>
      </c>
      <c r="Y19" s="8">
        <f t="shared" si="60"/>
        <v>1.7877000959032925</v>
      </c>
      <c r="Z19" s="8">
        <f t="shared" si="61"/>
        <v>31.484671474240184</v>
      </c>
      <c r="AA19" s="8">
        <f t="shared" si="62"/>
        <v>697.96867676325587</v>
      </c>
      <c r="AB19" s="8">
        <f t="shared" si="63"/>
        <v>0.12850771394939209</v>
      </c>
      <c r="AC19" s="8">
        <f t="shared" si="64"/>
        <v>0.14440112574629893</v>
      </c>
      <c r="AD19" s="8">
        <f t="shared" si="65"/>
        <v>0.37752922996097454</v>
      </c>
      <c r="AE19" s="8">
        <f t="shared" si="66"/>
        <v>5.911219690750265</v>
      </c>
      <c r="AF19" s="8">
        <f t="shared" si="67"/>
        <v>115.4087294024865</v>
      </c>
      <c r="AG19" s="8">
        <f t="shared" si="68"/>
        <v>4921.3314134059192</v>
      </c>
      <c r="AH19" s="8">
        <f t="shared" si="69"/>
        <v>523.59848195607992</v>
      </c>
      <c r="AI19" s="8">
        <f t="shared" si="70"/>
        <v>1177.1361390183185</v>
      </c>
      <c r="AJ19" s="8">
        <f t="shared" si="71"/>
        <v>18431.182995759325</v>
      </c>
      <c r="AK19" s="8">
        <f t="shared" si="72"/>
        <v>202542.32010136382</v>
      </c>
      <c r="AL19" s="15">
        <f t="shared" si="73"/>
        <v>2.1623142454774244E-2</v>
      </c>
      <c r="AM19" s="15">
        <f t="shared" si="74"/>
        <v>2.3005653579026733E-3</v>
      </c>
      <c r="AN19" s="15">
        <f t="shared" si="75"/>
        <v>5.1720520900746352E-3</v>
      </c>
      <c r="AO19" s="8">
        <f t="shared" si="76"/>
        <v>8.0982169670930151E-2</v>
      </c>
      <c r="AP19" s="8">
        <f t="shared" si="77"/>
        <v>0.88992207042631832</v>
      </c>
      <c r="AQ19" s="8"/>
      <c r="AW19" s="10">
        <v>12</v>
      </c>
      <c r="AX19" s="8">
        <f t="shared" si="78"/>
        <v>0.47503414276672995</v>
      </c>
      <c r="AY19" s="8">
        <f t="shared" si="79"/>
        <v>0.37379679144385025</v>
      </c>
      <c r="AZ19" s="8">
        <f t="shared" si="80"/>
        <v>0.32204600657236748</v>
      </c>
      <c r="BH19" s="5">
        <f t="shared" si="81"/>
        <v>14261</v>
      </c>
      <c r="BI19" s="5">
        <f t="shared" si="82"/>
        <v>48930</v>
      </c>
      <c r="BJ19" s="5">
        <f t="shared" si="83"/>
        <v>225400</v>
      </c>
    </row>
    <row r="20" spans="1:62" x14ac:dyDescent="0.2">
      <c r="A20" s="5" t="s">
        <v>198</v>
      </c>
      <c r="B20" s="10">
        <v>20</v>
      </c>
      <c r="C20" s="5">
        <v>10129</v>
      </c>
      <c r="D20" s="5">
        <v>1327</v>
      </c>
      <c r="E20" s="5">
        <v>649</v>
      </c>
      <c r="F20" s="5">
        <v>403</v>
      </c>
      <c r="G20" s="5">
        <v>72</v>
      </c>
      <c r="H20" s="5">
        <v>6550</v>
      </c>
      <c r="I20" s="5">
        <v>15713</v>
      </c>
      <c r="J20" s="5">
        <v>56561</v>
      </c>
      <c r="K20" s="7">
        <v>241800</v>
      </c>
      <c r="L20" s="7">
        <v>284600</v>
      </c>
      <c r="M20" s="5">
        <v>10730</v>
      </c>
      <c r="N20" s="5">
        <v>33774</v>
      </c>
      <c r="O20" s="7">
        <v>159900</v>
      </c>
      <c r="P20" s="7">
        <v>803400</v>
      </c>
      <c r="Q20" s="7">
        <v>2147000</v>
      </c>
      <c r="R20" s="8">
        <f t="shared" si="53"/>
        <v>0.99657439871794329</v>
      </c>
      <c r="S20" s="8">
        <f t="shared" si="54"/>
        <v>1.0942718689453133</v>
      </c>
      <c r="T20" s="8">
        <f t="shared" si="55"/>
        <v>1.6289963581788351</v>
      </c>
      <c r="U20" s="8">
        <f t="shared" si="56"/>
        <v>4.3571825277376197</v>
      </c>
      <c r="V20" s="8">
        <f t="shared" si="57"/>
        <v>10.053516540821041</v>
      </c>
      <c r="W20" s="8">
        <f t="shared" si="58"/>
        <v>0.51797354183156619</v>
      </c>
      <c r="X20" s="8">
        <f t="shared" si="59"/>
        <v>0.68573150317762011</v>
      </c>
      <c r="Y20" s="8">
        <f t="shared" si="60"/>
        <v>2.2622403163289664</v>
      </c>
      <c r="Z20" s="8">
        <f t="shared" si="61"/>
        <v>43.290804637324001</v>
      </c>
      <c r="AA20" s="8">
        <f t="shared" si="62"/>
        <v>531.78047557104014</v>
      </c>
      <c r="AB20" s="8">
        <f t="shared" si="63"/>
        <v>0.13726298858536504</v>
      </c>
      <c r="AC20" s="8">
        <f t="shared" si="64"/>
        <v>0.15061623377000816</v>
      </c>
      <c r="AD20" s="8">
        <f t="shared" si="65"/>
        <v>0.47315414564389735</v>
      </c>
      <c r="AE20" s="8">
        <f t="shared" si="66"/>
        <v>8.0223838141323576</v>
      </c>
      <c r="AF20" s="8">
        <f t="shared" si="67"/>
        <v>88.915476488424716</v>
      </c>
      <c r="AG20" s="8">
        <f t="shared" si="68"/>
        <v>1390.3368113811625</v>
      </c>
      <c r="AH20" s="8">
        <f t="shared" si="69"/>
        <v>199.86774221280083</v>
      </c>
      <c r="AI20" s="8">
        <f t="shared" si="70"/>
        <v>307.07704052288938</v>
      </c>
      <c r="AJ20" s="8">
        <f t="shared" si="71"/>
        <v>5206.5270953719</v>
      </c>
      <c r="AK20" s="8">
        <f t="shared" si="72"/>
        <v>35832.937024835162</v>
      </c>
      <c r="AL20" s="15">
        <f t="shared" si="73"/>
        <v>3.238104770751965E-2</v>
      </c>
      <c r="AM20" s="15">
        <f t="shared" si="74"/>
        <v>4.6549345761461363E-3</v>
      </c>
      <c r="AN20" s="15">
        <f t="shared" si="75"/>
        <v>7.1518471047154119E-3</v>
      </c>
      <c r="AO20" s="8">
        <f t="shared" si="76"/>
        <v>0.12126040315242094</v>
      </c>
      <c r="AP20" s="8">
        <f t="shared" si="77"/>
        <v>0.8345517674591979</v>
      </c>
      <c r="AW20" s="10">
        <v>20</v>
      </c>
      <c r="AX20" s="8">
        <f t="shared" si="78"/>
        <v>0.46523953336886364</v>
      </c>
      <c r="AY20" s="8">
        <f t="shared" si="79"/>
        <v>0.35372732958098813</v>
      </c>
      <c r="AZ20" s="8">
        <f t="shared" si="80"/>
        <v>0.30097087378640774</v>
      </c>
      <c r="BH20" s="5">
        <f t="shared" si="81"/>
        <v>15713</v>
      </c>
      <c r="BI20" s="5">
        <f t="shared" si="82"/>
        <v>56561</v>
      </c>
      <c r="BJ20" s="5">
        <f t="shared" si="83"/>
        <v>241800</v>
      </c>
    </row>
    <row r="21" spans="1:62" x14ac:dyDescent="0.2">
      <c r="A21" s="5" t="s">
        <v>199</v>
      </c>
      <c r="B21" s="10">
        <v>20</v>
      </c>
      <c r="C21" s="5">
        <v>34398</v>
      </c>
      <c r="D21" s="5">
        <v>4288</v>
      </c>
      <c r="E21" s="5">
        <v>2287</v>
      </c>
      <c r="F21" s="5">
        <v>1424</v>
      </c>
      <c r="G21" s="5">
        <v>218</v>
      </c>
      <c r="H21" s="5">
        <v>6685</v>
      </c>
      <c r="I21" s="5">
        <v>15238</v>
      </c>
      <c r="J21" s="5">
        <v>56897</v>
      </c>
      <c r="K21" s="7">
        <v>239500</v>
      </c>
      <c r="L21" s="7">
        <v>286100</v>
      </c>
      <c r="M21" s="5">
        <v>5713</v>
      </c>
      <c r="N21" s="5">
        <v>30415</v>
      </c>
      <c r="O21" s="7">
        <v>164600</v>
      </c>
      <c r="P21" s="7">
        <v>764100</v>
      </c>
      <c r="Q21" s="7">
        <v>2330000</v>
      </c>
      <c r="R21" s="8">
        <f t="shared" si="53"/>
        <v>0.97530429768814308</v>
      </c>
      <c r="S21" s="8">
        <f t="shared" si="54"/>
        <v>1.0800310339126047</v>
      </c>
      <c r="T21" s="8">
        <f t="shared" si="55"/>
        <v>1.6489225042502045</v>
      </c>
      <c r="U21" s="8">
        <f t="shared" si="56"/>
        <v>4.1905660297365932</v>
      </c>
      <c r="V21" s="8">
        <f t="shared" si="57"/>
        <v>10.829364355940323</v>
      </c>
      <c r="W21" s="8">
        <f t="shared" si="58"/>
        <v>0.4855107066017027</v>
      </c>
      <c r="X21" s="8">
        <f t="shared" si="59"/>
        <v>0.65930611242344395</v>
      </c>
      <c r="Y21" s="8">
        <f t="shared" si="60"/>
        <v>2.3462761898875448</v>
      </c>
      <c r="Z21" s="8">
        <f t="shared" si="61"/>
        <v>38.512034505594897</v>
      </c>
      <c r="AA21" s="8">
        <f t="shared" si="62"/>
        <v>664.64125563155017</v>
      </c>
      <c r="AB21" s="8">
        <f t="shared" si="63"/>
        <v>0.1286603372494512</v>
      </c>
      <c r="AC21" s="8">
        <f t="shared" si="64"/>
        <v>0.1450455906577324</v>
      </c>
      <c r="AD21" s="8">
        <f t="shared" si="65"/>
        <v>0.48999718937528702</v>
      </c>
      <c r="AE21" s="8">
        <f t="shared" si="66"/>
        <v>7.1711202831417102</v>
      </c>
      <c r="AF21" s="8">
        <f t="shared" si="67"/>
        <v>110.11873562440014</v>
      </c>
      <c r="AG21" s="8">
        <f t="shared" si="68"/>
        <v>4425.6582807066225</v>
      </c>
      <c r="AH21" s="8">
        <f t="shared" si="69"/>
        <v>621.95549274035648</v>
      </c>
      <c r="AI21" s="8">
        <f t="shared" si="70"/>
        <v>1120.6235721012815</v>
      </c>
      <c r="AJ21" s="8">
        <f t="shared" si="71"/>
        <v>16400.352087545092</v>
      </c>
      <c r="AK21" s="8">
        <f t="shared" si="72"/>
        <v>156809.07952914582</v>
      </c>
      <c r="AL21" s="15">
        <f t="shared" si="73"/>
        <v>2.4672292299875234E-2</v>
      </c>
      <c r="AM21" s="15">
        <f t="shared" si="74"/>
        <v>3.467296104016629E-3</v>
      </c>
      <c r="AN21" s="15">
        <f t="shared" si="75"/>
        <v>6.2472858443554874E-3</v>
      </c>
      <c r="AO21" s="8">
        <f t="shared" si="76"/>
        <v>9.142917389007621E-2</v>
      </c>
      <c r="AP21" s="8">
        <f t="shared" si="77"/>
        <v>0.87418395186167641</v>
      </c>
      <c r="AW21" s="10">
        <v>20</v>
      </c>
      <c r="AX21" s="8">
        <f t="shared" si="78"/>
        <v>0.5010027946736807</v>
      </c>
      <c r="AY21" s="8">
        <f t="shared" si="79"/>
        <v>0.34566828675577155</v>
      </c>
      <c r="AZ21" s="8">
        <f t="shared" si="80"/>
        <v>0.31344064912969505</v>
      </c>
      <c r="BH21" s="5">
        <f t="shared" si="81"/>
        <v>15238</v>
      </c>
      <c r="BI21" s="5">
        <f t="shared" si="82"/>
        <v>56897</v>
      </c>
      <c r="BJ21" s="5">
        <f t="shared" si="83"/>
        <v>239500</v>
      </c>
    </row>
    <row r="22" spans="1:62" x14ac:dyDescent="0.2">
      <c r="A22" s="5" t="s">
        <v>200</v>
      </c>
      <c r="B22" s="10">
        <v>20</v>
      </c>
      <c r="C22" s="5">
        <v>39703</v>
      </c>
      <c r="D22" s="5">
        <v>3358</v>
      </c>
      <c r="E22" s="5">
        <v>2946</v>
      </c>
      <c r="F22" s="5">
        <v>1605</v>
      </c>
      <c r="G22" s="5">
        <v>232</v>
      </c>
      <c r="H22" s="5">
        <v>6117</v>
      </c>
      <c r="I22" s="5">
        <v>14802</v>
      </c>
      <c r="J22" s="5">
        <v>54038</v>
      </c>
      <c r="K22" s="7">
        <v>236900</v>
      </c>
      <c r="L22" s="7">
        <v>291900</v>
      </c>
      <c r="M22" s="5">
        <v>9083</v>
      </c>
      <c r="N22" s="5">
        <v>31996</v>
      </c>
      <c r="O22" s="7">
        <v>140400</v>
      </c>
      <c r="P22" s="7">
        <v>667200</v>
      </c>
      <c r="Q22" s="7">
        <v>1878000</v>
      </c>
      <c r="R22" s="8">
        <f t="shared" si="53"/>
        <v>0.9895917683818698</v>
      </c>
      <c r="S22" s="8">
        <f t="shared" si="54"/>
        <v>1.0867338502825696</v>
      </c>
      <c r="T22" s="8">
        <f t="shared" si="55"/>
        <v>1.546324050010387</v>
      </c>
      <c r="U22" s="8">
        <f t="shared" si="56"/>
        <v>3.7797482522226131</v>
      </c>
      <c r="V22" s="8">
        <f t="shared" si="57"/>
        <v>8.9130626486511702</v>
      </c>
      <c r="W22" s="8">
        <f t="shared" si="58"/>
        <v>0.50716189973321879</v>
      </c>
      <c r="X22" s="8">
        <f t="shared" si="59"/>
        <v>0.67165767619982164</v>
      </c>
      <c r="Y22" s="8">
        <f t="shared" si="60"/>
        <v>1.9349953659396151</v>
      </c>
      <c r="Z22" s="8">
        <f t="shared" si="61"/>
        <v>28.259665851588867</v>
      </c>
      <c r="AA22" s="8">
        <f t="shared" si="62"/>
        <v>370.56062915256933</v>
      </c>
      <c r="AB22" s="8">
        <f t="shared" si="63"/>
        <v>0.13439790342930297</v>
      </c>
      <c r="AC22" s="8">
        <f t="shared" si="64"/>
        <v>0.14765049771527616</v>
      </c>
      <c r="AD22" s="8">
        <f t="shared" si="65"/>
        <v>0.4073109185992082</v>
      </c>
      <c r="AE22" s="8">
        <f t="shared" si="66"/>
        <v>5.3292878018896399</v>
      </c>
      <c r="AF22" s="8">
        <f t="shared" si="67"/>
        <v>62.883404279501349</v>
      </c>
      <c r="AG22" s="8">
        <f t="shared" si="68"/>
        <v>5335.999959853616</v>
      </c>
      <c r="AH22" s="8">
        <f t="shared" si="69"/>
        <v>495.81037132789737</v>
      </c>
      <c r="AI22" s="8">
        <f t="shared" si="70"/>
        <v>1199.9379661932674</v>
      </c>
      <c r="AJ22" s="8">
        <f t="shared" si="71"/>
        <v>15700.081864366879</v>
      </c>
      <c r="AK22" s="8">
        <f t="shared" si="72"/>
        <v>100927.86386859967</v>
      </c>
      <c r="AL22" s="15">
        <f t="shared" si="73"/>
        <v>4.3150680597223275E-2</v>
      </c>
      <c r="AM22" s="15">
        <f t="shared" si="74"/>
        <v>4.0094743498738129E-3</v>
      </c>
      <c r="AN22" s="15">
        <f t="shared" si="75"/>
        <v>9.7035495324681031E-3</v>
      </c>
      <c r="AO22" s="8">
        <f t="shared" si="76"/>
        <v>0.1269619983089614</v>
      </c>
      <c r="AP22" s="8">
        <f t="shared" si="77"/>
        <v>0.81617429721147339</v>
      </c>
      <c r="AW22" s="10">
        <v>20</v>
      </c>
      <c r="AX22" s="8">
        <f t="shared" si="78"/>
        <v>0.46262032754094262</v>
      </c>
      <c r="AY22" s="8">
        <f t="shared" si="79"/>
        <v>0.38488603988603987</v>
      </c>
      <c r="AZ22" s="8">
        <f t="shared" si="80"/>
        <v>0.35506594724220625</v>
      </c>
      <c r="BH22" s="5">
        <f t="shared" si="81"/>
        <v>14802</v>
      </c>
      <c r="BI22" s="5">
        <f t="shared" si="82"/>
        <v>54038</v>
      </c>
      <c r="BJ22" s="5">
        <f t="shared" si="83"/>
        <v>236900</v>
      </c>
    </row>
    <row r="23" spans="1:62" x14ac:dyDescent="0.2">
      <c r="A23" s="5" t="s">
        <v>201</v>
      </c>
      <c r="B23" s="10">
        <v>30</v>
      </c>
      <c r="C23" s="5">
        <v>11519</v>
      </c>
      <c r="D23" s="5">
        <v>1370</v>
      </c>
      <c r="E23" s="5">
        <v>742</v>
      </c>
      <c r="F23" s="5">
        <v>467</v>
      </c>
      <c r="G23" s="5">
        <v>71</v>
      </c>
      <c r="H23" s="5">
        <v>7043</v>
      </c>
      <c r="I23" s="5">
        <v>16585</v>
      </c>
      <c r="J23" s="5">
        <v>56043</v>
      </c>
      <c r="K23" s="7">
        <v>233800</v>
      </c>
      <c r="L23" s="7">
        <v>295600</v>
      </c>
      <c r="M23" s="5">
        <v>23646</v>
      </c>
      <c r="N23" s="5">
        <v>29674</v>
      </c>
      <c r="O23" s="7">
        <v>143800</v>
      </c>
      <c r="P23" s="7">
        <v>596400</v>
      </c>
      <c r="Q23" s="7">
        <v>2875000</v>
      </c>
      <c r="R23" s="8">
        <f t="shared" si="53"/>
        <v>1.0513331439642855</v>
      </c>
      <c r="S23" s="8">
        <f t="shared" si="54"/>
        <v>1.0768894862022038</v>
      </c>
      <c r="T23" s="8">
        <f t="shared" si="55"/>
        <v>1.5607387088705267</v>
      </c>
      <c r="U23" s="8">
        <f t="shared" si="56"/>
        <v>3.4795841794879405</v>
      </c>
      <c r="V23" s="8">
        <f t="shared" si="57"/>
        <v>13.139949379109767</v>
      </c>
      <c r="W23" s="8">
        <f t="shared" si="58"/>
        <v>0.60813425329060566</v>
      </c>
      <c r="X23" s="8">
        <f t="shared" si="59"/>
        <v>0.65356954751106622</v>
      </c>
      <c r="Y23" s="8">
        <f t="shared" si="60"/>
        <v>1.9896148001113376</v>
      </c>
      <c r="Z23" s="8">
        <f t="shared" si="61"/>
        <v>22.047555292870495</v>
      </c>
      <c r="AA23" s="8">
        <f t="shared" si="62"/>
        <v>1187.2972833260883</v>
      </c>
      <c r="AB23" s="8">
        <f t="shared" si="63"/>
        <v>0.16115557712201051</v>
      </c>
      <c r="AC23" s="8">
        <f t="shared" si="64"/>
        <v>0.14383508829702094</v>
      </c>
      <c r="AD23" s="8">
        <f t="shared" si="65"/>
        <v>0.41833044614005227</v>
      </c>
      <c r="AE23" s="8">
        <f t="shared" si="66"/>
        <v>4.2003227480968288</v>
      </c>
      <c r="AF23" s="8">
        <f t="shared" si="67"/>
        <v>192.08901769336288</v>
      </c>
      <c r="AG23" s="8">
        <f t="shared" si="68"/>
        <v>1856.3510928684391</v>
      </c>
      <c r="AH23" s="8">
        <f t="shared" si="69"/>
        <v>197.05407096691869</v>
      </c>
      <c r="AI23" s="8">
        <f t="shared" si="70"/>
        <v>310.40119103591877</v>
      </c>
      <c r="AJ23" s="8">
        <f t="shared" si="71"/>
        <v>3116.6394790878471</v>
      </c>
      <c r="AK23" s="8">
        <f t="shared" si="72"/>
        <v>89705.571262800469</v>
      </c>
      <c r="AL23" s="15">
        <f t="shared" si="73"/>
        <v>1.9502350760000807E-2</v>
      </c>
      <c r="AM23" s="15">
        <f t="shared" si="74"/>
        <v>2.0701997727944326E-3</v>
      </c>
      <c r="AN23" s="15">
        <f t="shared" si="75"/>
        <v>3.2609956851160833E-3</v>
      </c>
      <c r="AO23" s="8">
        <f t="shared" si="76"/>
        <v>3.2742618865118443E-2</v>
      </c>
      <c r="AP23" s="8">
        <f t="shared" si="77"/>
        <v>0.94242383491697024</v>
      </c>
      <c r="AW23" s="10">
        <v>30</v>
      </c>
      <c r="AX23" s="8">
        <f t="shared" si="78"/>
        <v>0.55890678708633823</v>
      </c>
      <c r="AY23" s="8">
        <f t="shared" si="79"/>
        <v>0.38972878998609178</v>
      </c>
      <c r="AZ23" s="8">
        <f t="shared" si="80"/>
        <v>0.392018779342723</v>
      </c>
      <c r="BH23" s="5">
        <f t="shared" si="81"/>
        <v>16585</v>
      </c>
      <c r="BI23" s="5">
        <f t="shared" si="82"/>
        <v>56043</v>
      </c>
      <c r="BJ23" s="5">
        <f t="shared" si="83"/>
        <v>233800</v>
      </c>
    </row>
    <row r="24" spans="1:62" x14ac:dyDescent="0.2">
      <c r="A24" s="5" t="s">
        <v>202</v>
      </c>
      <c r="B24" s="10">
        <v>30</v>
      </c>
      <c r="C24" s="5">
        <v>33531</v>
      </c>
      <c r="D24" s="5">
        <v>4337</v>
      </c>
      <c r="E24" s="5">
        <v>2162</v>
      </c>
      <c r="F24" s="5">
        <v>1262</v>
      </c>
      <c r="G24" s="5">
        <v>186</v>
      </c>
      <c r="H24" s="5">
        <v>7553</v>
      </c>
      <c r="I24" s="5">
        <v>16054</v>
      </c>
      <c r="J24" s="5">
        <v>56990</v>
      </c>
      <c r="K24" s="7">
        <v>240500</v>
      </c>
      <c r="L24" s="7">
        <v>287000</v>
      </c>
      <c r="M24" s="5">
        <v>7126</v>
      </c>
      <c r="N24" s="5">
        <v>27896</v>
      </c>
      <c r="O24" s="7">
        <v>144300</v>
      </c>
      <c r="P24" s="7">
        <v>686600</v>
      </c>
      <c r="Q24" s="7">
        <v>2297000</v>
      </c>
      <c r="R24" s="8">
        <f t="shared" si="53"/>
        <v>0.98129486032619528</v>
      </c>
      <c r="S24" s="8">
        <f t="shared" si="54"/>
        <v>1.0693514675394602</v>
      </c>
      <c r="T24" s="8">
        <f t="shared" si="55"/>
        <v>1.5628585116440767</v>
      </c>
      <c r="U24" s="8">
        <f t="shared" si="56"/>
        <v>3.8619965998363512</v>
      </c>
      <c r="V24" s="8">
        <f t="shared" si="57"/>
        <v>10.689457372886027</v>
      </c>
      <c r="W24" s="8">
        <f t="shared" si="58"/>
        <v>0.4945121541728717</v>
      </c>
      <c r="X24" s="8">
        <f t="shared" si="59"/>
        <v>0.63994081052227703</v>
      </c>
      <c r="Y24" s="8">
        <f t="shared" si="60"/>
        <v>1.9977327289354423</v>
      </c>
      <c r="Z24" s="8">
        <f t="shared" si="61"/>
        <v>30.14491467538646</v>
      </c>
      <c r="AA24" s="8">
        <f t="shared" si="62"/>
        <v>639.21267336776236</v>
      </c>
      <c r="AB24" s="8">
        <f t="shared" si="63"/>
        <v>0.13104572085581101</v>
      </c>
      <c r="AC24" s="8">
        <f t="shared" si="64"/>
        <v>0.14095746312314297</v>
      </c>
      <c r="AD24" s="8">
        <f t="shared" si="65"/>
        <v>0.41996717990338905</v>
      </c>
      <c r="AE24" s="8">
        <f t="shared" si="66"/>
        <v>5.6697809777065817</v>
      </c>
      <c r="AF24" s="8">
        <f t="shared" si="67"/>
        <v>106.07521397243963</v>
      </c>
      <c r="AG24" s="8">
        <f t="shared" si="68"/>
        <v>4394.0940660161987</v>
      </c>
      <c r="AH24" s="8">
        <f t="shared" si="69"/>
        <v>611.33251756507104</v>
      </c>
      <c r="AI24" s="8">
        <f t="shared" si="70"/>
        <v>907.96904295112711</v>
      </c>
      <c r="AJ24" s="8">
        <f t="shared" si="71"/>
        <v>12258.066473801629</v>
      </c>
      <c r="AK24" s="8">
        <f t="shared" si="72"/>
        <v>133866.9200332188</v>
      </c>
      <c r="AL24" s="15">
        <f t="shared" si="73"/>
        <v>2.8901215629592528E-2</v>
      </c>
      <c r="AM24" s="15">
        <f t="shared" si="74"/>
        <v>4.0209091216720999E-3</v>
      </c>
      <c r="AN24" s="15">
        <f t="shared" si="75"/>
        <v>5.9719725388392604E-3</v>
      </c>
      <c r="AO24" s="8">
        <f t="shared" si="76"/>
        <v>8.0624815272198544E-2</v>
      </c>
      <c r="AP24" s="8">
        <f t="shared" si="77"/>
        <v>0.8804810874376976</v>
      </c>
      <c r="AW24" s="10">
        <v>30</v>
      </c>
      <c r="AX24" s="8">
        <f t="shared" si="78"/>
        <v>0.57549469457986813</v>
      </c>
      <c r="AY24" s="8">
        <f t="shared" si="79"/>
        <v>0.39494109494109492</v>
      </c>
      <c r="AZ24" s="8">
        <f t="shared" si="80"/>
        <v>0.35027672589571801</v>
      </c>
      <c r="BH24" s="5">
        <f t="shared" si="81"/>
        <v>16054</v>
      </c>
      <c r="BI24" s="5">
        <f t="shared" si="82"/>
        <v>56990</v>
      </c>
      <c r="BJ24" s="5">
        <f t="shared" si="83"/>
        <v>240500</v>
      </c>
    </row>
    <row r="25" spans="1:62" x14ac:dyDescent="0.2">
      <c r="A25" s="5" t="s">
        <v>203</v>
      </c>
      <c r="B25" s="10">
        <v>30</v>
      </c>
      <c r="C25" s="5">
        <v>40048</v>
      </c>
      <c r="D25" s="5">
        <v>4143</v>
      </c>
      <c r="E25" s="5">
        <v>2618</v>
      </c>
      <c r="F25" s="5">
        <v>1591</v>
      </c>
      <c r="G25" s="5">
        <v>212</v>
      </c>
      <c r="H25" s="5">
        <v>6675</v>
      </c>
      <c r="I25" s="5">
        <v>15466</v>
      </c>
      <c r="J25" s="5">
        <v>55618</v>
      </c>
      <c r="K25" s="7">
        <v>234800</v>
      </c>
      <c r="L25" s="7">
        <v>293900</v>
      </c>
      <c r="M25" s="5">
        <v>4136</v>
      </c>
      <c r="N25" s="5">
        <v>30776</v>
      </c>
      <c r="O25" s="7">
        <v>136200</v>
      </c>
      <c r="P25" s="7">
        <v>619800</v>
      </c>
      <c r="Q25" s="7">
        <v>1695000</v>
      </c>
      <c r="R25" s="8">
        <f t="shared" si="53"/>
        <v>0.96861843974036654</v>
      </c>
      <c r="S25" s="8">
        <f t="shared" si="54"/>
        <v>1.0815615315151079</v>
      </c>
      <c r="T25" s="8">
        <f t="shared" si="55"/>
        <v>1.5285177067125675</v>
      </c>
      <c r="U25" s="8">
        <f t="shared" si="56"/>
        <v>3.5787909492900782</v>
      </c>
      <c r="V25" s="8">
        <f t="shared" si="57"/>
        <v>8.137214833531889</v>
      </c>
      <c r="W25" s="8">
        <f t="shared" si="58"/>
        <v>0.47559424995004829</v>
      </c>
      <c r="X25" s="8">
        <f t="shared" si="59"/>
        <v>0.66211296797489516</v>
      </c>
      <c r="Y25" s="8">
        <f t="shared" si="60"/>
        <v>1.8689161626140207</v>
      </c>
      <c r="Z25" s="8">
        <f t="shared" si="61"/>
        <v>23.987632614917555</v>
      </c>
      <c r="AA25" s="8">
        <f t="shared" si="62"/>
        <v>281.97184371158772</v>
      </c>
      <c r="AB25" s="8">
        <f t="shared" si="63"/>
        <v>0.12603247623676278</v>
      </c>
      <c r="AC25" s="8">
        <f t="shared" si="64"/>
        <v>0.14563772227430061</v>
      </c>
      <c r="AD25" s="8">
        <f t="shared" si="65"/>
        <v>0.39396227551788593</v>
      </c>
      <c r="AE25" s="8">
        <f t="shared" si="66"/>
        <v>4.5541560288805254</v>
      </c>
      <c r="AF25" s="8">
        <f t="shared" si="67"/>
        <v>48.38907369135412</v>
      </c>
      <c r="AG25" s="8">
        <f t="shared" si="68"/>
        <v>5047.3486083298758</v>
      </c>
      <c r="AH25" s="8">
        <f t="shared" si="69"/>
        <v>603.37708338242737</v>
      </c>
      <c r="AI25" s="8">
        <f t="shared" si="70"/>
        <v>1031.3932373058253</v>
      </c>
      <c r="AJ25" s="8">
        <f t="shared" si="71"/>
        <v>11922.780483609216</v>
      </c>
      <c r="AK25" s="8">
        <f t="shared" si="72"/>
        <v>76987.016242944403</v>
      </c>
      <c r="AL25" s="15">
        <f t="shared" si="73"/>
        <v>5.2800998637960464E-2</v>
      </c>
      <c r="AM25" s="15">
        <f t="shared" si="74"/>
        <v>6.3120095380917122E-3</v>
      </c>
      <c r="AN25" s="15">
        <f t="shared" si="75"/>
        <v>1.0789544599378564E-2</v>
      </c>
      <c r="AO25" s="8">
        <f t="shared" si="76"/>
        <v>0.12472582437377146</v>
      </c>
      <c r="AP25" s="8">
        <f t="shared" si="77"/>
        <v>0.80537162285079777</v>
      </c>
      <c r="AW25" s="10">
        <v>30</v>
      </c>
      <c r="AX25" s="8">
        <f t="shared" si="78"/>
        <v>0.50253444242266698</v>
      </c>
      <c r="AY25" s="8">
        <f t="shared" si="79"/>
        <v>0.40835535976505138</v>
      </c>
      <c r="AZ25" s="8">
        <f t="shared" si="80"/>
        <v>0.37883188125201678</v>
      </c>
      <c r="BH25" s="5">
        <f t="shared" si="81"/>
        <v>15466</v>
      </c>
      <c r="BI25" s="5">
        <f t="shared" si="82"/>
        <v>55618</v>
      </c>
      <c r="BJ25" s="5">
        <f t="shared" si="83"/>
        <v>234800</v>
      </c>
    </row>
    <row r="26" spans="1:62" x14ac:dyDescent="0.2">
      <c r="A26" s="5" t="s">
        <v>204</v>
      </c>
      <c r="B26" s="10">
        <v>40</v>
      </c>
      <c r="C26" s="5">
        <v>12938</v>
      </c>
      <c r="D26" s="5">
        <v>1926</v>
      </c>
      <c r="E26" s="5">
        <v>779</v>
      </c>
      <c r="F26" s="5">
        <v>281</v>
      </c>
      <c r="G26" s="5">
        <v>56</v>
      </c>
      <c r="H26" s="5">
        <v>9633</v>
      </c>
      <c r="I26" s="5">
        <v>22174</v>
      </c>
      <c r="J26" s="5">
        <v>83265</v>
      </c>
      <c r="K26" s="7">
        <v>267000</v>
      </c>
      <c r="L26" s="7">
        <v>288300</v>
      </c>
      <c r="M26" s="5">
        <v>18771</v>
      </c>
      <c r="N26" s="5">
        <v>29227</v>
      </c>
      <c r="O26" s="7">
        <v>157200</v>
      </c>
      <c r="P26" s="7">
        <v>611700</v>
      </c>
      <c r="Q26" s="7">
        <v>2372000</v>
      </c>
      <c r="R26" s="8">
        <f t="shared" si="53"/>
        <v>1.0306650669221735</v>
      </c>
      <c r="S26" s="8">
        <f t="shared" si="54"/>
        <v>1.07499438252265</v>
      </c>
      <c r="T26" s="8">
        <f t="shared" si="55"/>
        <v>1.6175494232016654</v>
      </c>
      <c r="U26" s="8">
        <f t="shared" si="56"/>
        <v>3.544450144358569</v>
      </c>
      <c r="V26" s="8">
        <f t="shared" si="57"/>
        <v>11.00742778891852</v>
      </c>
      <c r="W26" s="8">
        <f t="shared" si="58"/>
        <v>0.57296892286471079</v>
      </c>
      <c r="X26" s="8">
        <f t="shared" si="59"/>
        <v>0.65012517267188963</v>
      </c>
      <c r="Y26" s="8">
        <f t="shared" si="60"/>
        <v>2.2148844550593529</v>
      </c>
      <c r="Z26" s="8">
        <f t="shared" si="61"/>
        <v>23.303707135195275</v>
      </c>
      <c r="AA26" s="8">
        <f t="shared" si="62"/>
        <v>697.96867676325587</v>
      </c>
      <c r="AB26" s="8">
        <f t="shared" si="63"/>
        <v>0.15183676455914835</v>
      </c>
      <c r="AC26" s="8">
        <f t="shared" si="64"/>
        <v>0.14310806378349708</v>
      </c>
      <c r="AD26" s="8">
        <f t="shared" si="65"/>
        <v>0.4636515126791797</v>
      </c>
      <c r="AE26" s="8">
        <f t="shared" si="66"/>
        <v>4.4295599943074935</v>
      </c>
      <c r="AF26" s="8">
        <f t="shared" si="67"/>
        <v>115.4087294024865</v>
      </c>
      <c r="AG26" s="8">
        <f t="shared" si="68"/>
        <v>1964.4640598662613</v>
      </c>
      <c r="AH26" s="8">
        <f t="shared" si="69"/>
        <v>275.62613084701536</v>
      </c>
      <c r="AI26" s="8">
        <f t="shared" si="70"/>
        <v>361.18452837708099</v>
      </c>
      <c r="AJ26" s="8">
        <f t="shared" si="71"/>
        <v>3450.6272355655374</v>
      </c>
      <c r="AK26" s="8">
        <f t="shared" si="72"/>
        <v>32429.852962098706</v>
      </c>
      <c r="AL26" s="15">
        <f t="shared" si="73"/>
        <v>5.104923265885028E-2</v>
      </c>
      <c r="AM26" s="15">
        <f t="shared" si="74"/>
        <v>7.1625145849835E-3</v>
      </c>
      <c r="AN26" s="15">
        <f t="shared" si="75"/>
        <v>9.3858642662843998E-3</v>
      </c>
      <c r="AO26" s="8">
        <f t="shared" si="76"/>
        <v>8.9669175510058818E-2</v>
      </c>
      <c r="AP26" s="8">
        <f t="shared" si="77"/>
        <v>0.84273321297982295</v>
      </c>
      <c r="AW26" s="10">
        <v>40</v>
      </c>
      <c r="AX26" s="8">
        <f t="shared" si="78"/>
        <v>0.75868204057891675</v>
      </c>
      <c r="AY26" s="8">
        <f t="shared" si="79"/>
        <v>0.52967557251908393</v>
      </c>
      <c r="AZ26" s="8">
        <f t="shared" si="80"/>
        <v>0.43648847474252084</v>
      </c>
      <c r="BH26" s="5">
        <f t="shared" si="81"/>
        <v>22174</v>
      </c>
      <c r="BI26" s="5">
        <f t="shared" si="82"/>
        <v>83265</v>
      </c>
      <c r="BJ26" s="5">
        <f t="shared" si="83"/>
        <v>267000</v>
      </c>
    </row>
    <row r="27" spans="1:62" x14ac:dyDescent="0.2">
      <c r="A27" s="5" t="s">
        <v>205</v>
      </c>
      <c r="B27" s="10">
        <v>40</v>
      </c>
      <c r="C27" s="5">
        <v>43345</v>
      </c>
      <c r="D27" s="5">
        <v>6191</v>
      </c>
      <c r="E27" s="5">
        <v>3030</v>
      </c>
      <c r="F27" s="5">
        <v>942</v>
      </c>
      <c r="G27" s="5">
        <v>142</v>
      </c>
      <c r="H27" s="5">
        <v>10107</v>
      </c>
      <c r="I27" s="5">
        <v>23374</v>
      </c>
      <c r="J27" s="5">
        <v>86246</v>
      </c>
      <c r="K27" s="7">
        <v>274200</v>
      </c>
      <c r="L27" s="7">
        <v>287600</v>
      </c>
      <c r="M27" s="5">
        <v>4497</v>
      </c>
      <c r="N27" s="5">
        <v>33155</v>
      </c>
      <c r="O27" s="7">
        <v>160200</v>
      </c>
      <c r="P27" s="7">
        <v>612400</v>
      </c>
      <c r="Q27" s="7">
        <v>1970000</v>
      </c>
      <c r="R27" s="8">
        <f t="shared" si="53"/>
        <v>0.97014893734286967</v>
      </c>
      <c r="S27" s="8">
        <f t="shared" si="54"/>
        <v>1.0916475531116585</v>
      </c>
      <c r="T27" s="8">
        <f t="shared" si="55"/>
        <v>1.6302682398429651</v>
      </c>
      <c r="U27" s="8">
        <f t="shared" si="56"/>
        <v>3.5474178682415389</v>
      </c>
      <c r="V27" s="8">
        <f t="shared" si="57"/>
        <v>9.3031063589843601</v>
      </c>
      <c r="W27" s="8">
        <f t="shared" si="58"/>
        <v>0.47785224929560838</v>
      </c>
      <c r="X27" s="8">
        <f t="shared" si="59"/>
        <v>0.68080969970755634</v>
      </c>
      <c r="Y27" s="8">
        <f t="shared" si="60"/>
        <v>2.2675433651862416</v>
      </c>
      <c r="Z27" s="8">
        <f t="shared" si="61"/>
        <v>23.362291869789058</v>
      </c>
      <c r="AA27" s="8">
        <f t="shared" si="62"/>
        <v>421.36878121957682</v>
      </c>
      <c r="AB27" s="8">
        <f t="shared" si="63"/>
        <v>0.12663084606333622</v>
      </c>
      <c r="AC27" s="8">
        <f t="shared" si="64"/>
        <v>0.14957936304392558</v>
      </c>
      <c r="AD27" s="8">
        <f t="shared" si="65"/>
        <v>0.47421776759943823</v>
      </c>
      <c r="AE27" s="8">
        <f t="shared" si="66"/>
        <v>4.440238642658298</v>
      </c>
      <c r="AF27" s="8">
        <f t="shared" si="67"/>
        <v>71.129736430683877</v>
      </c>
      <c r="AG27" s="8">
        <f t="shared" si="68"/>
        <v>5488.8140226153082</v>
      </c>
      <c r="AH27" s="8">
        <f t="shared" si="69"/>
        <v>926.04583660494325</v>
      </c>
      <c r="AI27" s="8">
        <f t="shared" si="70"/>
        <v>1436.8798358262979</v>
      </c>
      <c r="AJ27" s="8">
        <f t="shared" si="71"/>
        <v>13453.923087254643</v>
      </c>
      <c r="AK27" s="8">
        <f t="shared" si="72"/>
        <v>67004.211717704209</v>
      </c>
      <c r="AL27" s="15">
        <f t="shared" si="73"/>
        <v>6.2154023586739125E-2</v>
      </c>
      <c r="AM27" s="15">
        <f t="shared" si="74"/>
        <v>1.0486322643396878E-2</v>
      </c>
      <c r="AN27" s="15">
        <f t="shared" si="75"/>
        <v>1.6270885265794482E-2</v>
      </c>
      <c r="AO27" s="8">
        <f t="shared" si="76"/>
        <v>0.1523490228406317</v>
      </c>
      <c r="AP27" s="8">
        <f t="shared" si="77"/>
        <v>0.75873974566343783</v>
      </c>
      <c r="AW27" s="10">
        <v>40</v>
      </c>
      <c r="AX27" s="8">
        <f t="shared" si="78"/>
        <v>0.70499170562509428</v>
      </c>
      <c r="AY27" s="8">
        <f t="shared" si="79"/>
        <v>0.53836454431960046</v>
      </c>
      <c r="AZ27" s="8">
        <f t="shared" si="80"/>
        <v>0.44774657086871328</v>
      </c>
      <c r="BH27" s="5">
        <f t="shared" si="81"/>
        <v>23374</v>
      </c>
      <c r="BI27" s="5">
        <f t="shared" si="82"/>
        <v>86246</v>
      </c>
      <c r="BJ27" s="5">
        <f t="shared" si="83"/>
        <v>274200</v>
      </c>
    </row>
    <row r="28" spans="1:62" x14ac:dyDescent="0.2">
      <c r="A28" s="5" t="s">
        <v>206</v>
      </c>
      <c r="B28" s="10">
        <v>40</v>
      </c>
      <c r="C28" s="5">
        <v>41135</v>
      </c>
      <c r="D28" s="5">
        <v>5346</v>
      </c>
      <c r="E28" s="5">
        <v>2968</v>
      </c>
      <c r="F28" s="5">
        <v>992</v>
      </c>
      <c r="G28" s="5">
        <v>136</v>
      </c>
      <c r="H28" s="5">
        <v>9604</v>
      </c>
      <c r="I28" s="5">
        <v>23069</v>
      </c>
      <c r="J28" s="5">
        <v>82450</v>
      </c>
      <c r="K28" s="7">
        <v>267600</v>
      </c>
      <c r="L28" s="7">
        <v>276200</v>
      </c>
      <c r="M28" s="5">
        <v>3795</v>
      </c>
      <c r="N28" s="5">
        <v>34175</v>
      </c>
      <c r="O28" s="7">
        <v>150200</v>
      </c>
      <c r="P28" s="7">
        <v>577300</v>
      </c>
      <c r="Q28" s="7">
        <v>2069000</v>
      </c>
      <c r="R28" s="8">
        <f t="shared" si="53"/>
        <v>0.96717273424880545</v>
      </c>
      <c r="S28" s="8">
        <f t="shared" si="54"/>
        <v>1.0959719507697003</v>
      </c>
      <c r="T28" s="8">
        <f t="shared" si="55"/>
        <v>1.5878721843719661</v>
      </c>
      <c r="U28" s="8">
        <f t="shared" si="56"/>
        <v>3.3986077135383326</v>
      </c>
      <c r="V28" s="8">
        <f t="shared" si="57"/>
        <v>9.7228273081472505</v>
      </c>
      <c r="W28" s="8">
        <f t="shared" si="58"/>
        <v>0.47346789098113939</v>
      </c>
      <c r="X28" s="8">
        <f t="shared" si="59"/>
        <v>0.68893256822788307</v>
      </c>
      <c r="Y28" s="8">
        <f t="shared" si="60"/>
        <v>2.0951977580224153</v>
      </c>
      <c r="Z28" s="8">
        <f t="shared" si="61"/>
        <v>20.543834793978796</v>
      </c>
      <c r="AA28" s="8">
        <f t="shared" si="62"/>
        <v>481.01222481204297</v>
      </c>
      <c r="AB28" s="8">
        <f t="shared" si="63"/>
        <v>0.12546899111000193</v>
      </c>
      <c r="AC28" s="8">
        <f t="shared" si="64"/>
        <v>0.15129043461672556</v>
      </c>
      <c r="AD28" s="8">
        <f t="shared" si="65"/>
        <v>0.43959707581593066</v>
      </c>
      <c r="AE28" s="8">
        <f t="shared" si="66"/>
        <v>3.9251980271617235</v>
      </c>
      <c r="AF28" s="8">
        <f t="shared" si="67"/>
        <v>80.758401356591762</v>
      </c>
      <c r="AG28" s="8">
        <f t="shared" si="68"/>
        <v>5161.1669493099289</v>
      </c>
      <c r="AH28" s="8">
        <f t="shared" si="69"/>
        <v>808.79866346101483</v>
      </c>
      <c r="AI28" s="8">
        <f t="shared" si="70"/>
        <v>1304.7241210216821</v>
      </c>
      <c r="AJ28" s="8">
        <f t="shared" si="71"/>
        <v>11649.987744615995</v>
      </c>
      <c r="AK28" s="8">
        <f t="shared" si="72"/>
        <v>80112.334145739034</v>
      </c>
      <c r="AL28" s="15">
        <f t="shared" si="73"/>
        <v>5.2113516600207167E-2</v>
      </c>
      <c r="AM28" s="15">
        <f t="shared" si="74"/>
        <v>8.1666303354392608E-3</v>
      </c>
      <c r="AN28" s="15">
        <f t="shared" si="75"/>
        <v>1.3174106322727112E-2</v>
      </c>
      <c r="AO28" s="8">
        <f t="shared" si="76"/>
        <v>0.11763266634930898</v>
      </c>
      <c r="AP28" s="8">
        <f t="shared" si="77"/>
        <v>0.80891308039231757</v>
      </c>
      <c r="AW28" s="10">
        <v>40</v>
      </c>
      <c r="AX28" s="8">
        <f t="shared" si="78"/>
        <v>0.67502560351133867</v>
      </c>
      <c r="AY28" s="8">
        <f t="shared" si="79"/>
        <v>0.54893475366178424</v>
      </c>
      <c r="AZ28" s="8">
        <f t="shared" si="80"/>
        <v>0.46353715572492638</v>
      </c>
      <c r="BH28" s="5">
        <f t="shared" si="81"/>
        <v>23069</v>
      </c>
      <c r="BI28" s="5">
        <f t="shared" si="82"/>
        <v>82450</v>
      </c>
      <c r="BJ28" s="5">
        <f t="shared" si="83"/>
        <v>267600</v>
      </c>
    </row>
    <row r="29" spans="1:62" x14ac:dyDescent="0.2">
      <c r="A29" s="5" t="s">
        <v>207</v>
      </c>
      <c r="B29" s="10">
        <v>60</v>
      </c>
      <c r="C29" s="5">
        <v>8154</v>
      </c>
      <c r="D29" s="5">
        <v>1379</v>
      </c>
      <c r="E29" s="5">
        <v>759</v>
      </c>
      <c r="F29" s="5">
        <v>181</v>
      </c>
      <c r="G29" s="5">
        <v>43</v>
      </c>
      <c r="H29" s="5">
        <v>13881</v>
      </c>
      <c r="I29" s="5">
        <v>31763</v>
      </c>
      <c r="J29" s="7">
        <v>125800</v>
      </c>
      <c r="K29" s="7">
        <v>294600</v>
      </c>
      <c r="L29" s="7">
        <v>293200</v>
      </c>
      <c r="M29" s="7">
        <v>141900</v>
      </c>
      <c r="N29" s="5">
        <v>32643</v>
      </c>
      <c r="O29" s="7">
        <v>167100</v>
      </c>
      <c r="P29" s="7">
        <v>565900</v>
      </c>
      <c r="Q29" s="7">
        <v>2415000</v>
      </c>
      <c r="R29" s="8">
        <f t="shared" si="53"/>
        <v>1.5526834583310369</v>
      </c>
      <c r="S29" s="8">
        <f t="shared" si="54"/>
        <v>1.0894768750715433</v>
      </c>
      <c r="T29" s="8">
        <f t="shared" si="55"/>
        <v>1.6595215181179543</v>
      </c>
      <c r="U29" s="8">
        <f t="shared" si="56"/>
        <v>3.3502762103013937</v>
      </c>
      <c r="V29" s="8">
        <f t="shared" si="57"/>
        <v>11.189730827443814</v>
      </c>
      <c r="W29" s="8">
        <f t="shared" si="58"/>
        <v>1.9589672538530194</v>
      </c>
      <c r="X29" s="8">
        <f t="shared" si="59"/>
        <v>0.67675651775006873</v>
      </c>
      <c r="Y29" s="8">
        <f t="shared" si="60"/>
        <v>2.3918121176137932</v>
      </c>
      <c r="Z29" s="8">
        <f t="shared" si="61"/>
        <v>19.679779957004754</v>
      </c>
      <c r="AA29" s="8">
        <f t="shared" si="62"/>
        <v>733.22508804467202</v>
      </c>
      <c r="AB29" s="8">
        <f t="shared" si="63"/>
        <v>0.51912632227105016</v>
      </c>
      <c r="AC29" s="8">
        <f t="shared" si="64"/>
        <v>0.14872525312906032</v>
      </c>
      <c r="AD29" s="8">
        <f t="shared" si="65"/>
        <v>0.49911342585071983</v>
      </c>
      <c r="AE29" s="8">
        <f t="shared" si="66"/>
        <v>3.7667379571306534</v>
      </c>
      <c r="AF29" s="8">
        <f t="shared" si="67"/>
        <v>120.99365227639744</v>
      </c>
      <c r="AG29" s="8">
        <f t="shared" si="68"/>
        <v>4232.9560317981432</v>
      </c>
      <c r="AH29" s="8">
        <f t="shared" si="69"/>
        <v>205.09212406497417</v>
      </c>
      <c r="AI29" s="8">
        <f t="shared" si="70"/>
        <v>378.82709022069633</v>
      </c>
      <c r="AJ29" s="8">
        <f t="shared" si="71"/>
        <v>2858.9541094621659</v>
      </c>
      <c r="AK29" s="8">
        <f t="shared" si="72"/>
        <v>21899.851062027938</v>
      </c>
      <c r="AL29" s="15">
        <f t="shared" si="73"/>
        <v>0.14312286216356712</v>
      </c>
      <c r="AM29" s="15">
        <f t="shared" si="74"/>
        <v>6.9344854004815427E-3</v>
      </c>
      <c r="AN29" s="15">
        <f t="shared" si="75"/>
        <v>1.2808736261418239E-2</v>
      </c>
      <c r="AO29" s="8">
        <f t="shared" si="76"/>
        <v>9.6665708754526944E-2</v>
      </c>
      <c r="AP29" s="8">
        <f t="shared" si="77"/>
        <v>0.74046820742000619</v>
      </c>
      <c r="AW29" s="10">
        <v>60</v>
      </c>
      <c r="AX29" s="8">
        <f t="shared" si="78"/>
        <v>0.97304169347180103</v>
      </c>
      <c r="AY29" s="8">
        <f t="shared" si="79"/>
        <v>0.75284260921603829</v>
      </c>
      <c r="AZ29" s="8">
        <f t="shared" si="80"/>
        <v>0.52058667609118214</v>
      </c>
      <c r="BH29" s="5">
        <f t="shared" si="81"/>
        <v>31763</v>
      </c>
      <c r="BI29" s="5">
        <f t="shared" si="82"/>
        <v>125800</v>
      </c>
      <c r="BJ29" s="5">
        <f t="shared" si="83"/>
        <v>294600</v>
      </c>
    </row>
    <row r="30" spans="1:62" x14ac:dyDescent="0.2">
      <c r="A30" s="5" t="s">
        <v>208</v>
      </c>
      <c r="B30" s="10">
        <v>60</v>
      </c>
      <c r="C30" s="5">
        <v>21349</v>
      </c>
      <c r="D30" s="5">
        <v>3605</v>
      </c>
      <c r="E30" s="5">
        <v>2330</v>
      </c>
      <c r="F30" s="5">
        <v>518</v>
      </c>
      <c r="G30" s="5">
        <v>130</v>
      </c>
      <c r="H30" s="5">
        <v>16352</v>
      </c>
      <c r="I30" s="5">
        <v>34170</v>
      </c>
      <c r="J30" s="7">
        <v>130900</v>
      </c>
      <c r="K30" s="7">
        <v>294700</v>
      </c>
      <c r="L30" s="7">
        <v>276400</v>
      </c>
      <c r="M30" s="5">
        <v>4446</v>
      </c>
      <c r="N30" s="5">
        <v>29517</v>
      </c>
      <c r="O30" s="7">
        <v>155100</v>
      </c>
      <c r="P30" s="7">
        <v>524300</v>
      </c>
      <c r="Q30" s="7">
        <v>1754000</v>
      </c>
      <c r="R30" s="8">
        <f t="shared" si="53"/>
        <v>0.96993271745996756</v>
      </c>
      <c r="S30" s="8">
        <f t="shared" si="54"/>
        <v>1.076223868131309</v>
      </c>
      <c r="T30" s="8">
        <f t="shared" si="55"/>
        <v>1.6086462515527555</v>
      </c>
      <c r="U30" s="8">
        <f t="shared" si="56"/>
        <v>3.1739086195420376</v>
      </c>
      <c r="V30" s="8">
        <f t="shared" si="57"/>
        <v>8.3873515608107816</v>
      </c>
      <c r="W30" s="8">
        <f t="shared" si="58"/>
        <v>0.47753281958444221</v>
      </c>
      <c r="X30" s="8">
        <f t="shared" si="59"/>
        <v>0.65235839574095089</v>
      </c>
      <c r="Y30" s="8">
        <f t="shared" si="60"/>
        <v>2.1785124770997859</v>
      </c>
      <c r="Z30" s="8">
        <f t="shared" si="61"/>
        <v>16.732531604802492</v>
      </c>
      <c r="AA30" s="8">
        <f t="shared" si="62"/>
        <v>308.78268482237382</v>
      </c>
      <c r="AB30" s="8">
        <f t="shared" si="63"/>
        <v>0.1265461971898772</v>
      </c>
      <c r="AC30" s="8">
        <f t="shared" si="64"/>
        <v>0.14357946129887611</v>
      </c>
      <c r="AD30" s="8">
        <f t="shared" si="65"/>
        <v>0.45634730437897392</v>
      </c>
      <c r="AE30" s="8">
        <f t="shared" si="66"/>
        <v>3.2240044024239816</v>
      </c>
      <c r="AF30" s="8">
        <f t="shared" si="67"/>
        <v>52.7931004966795</v>
      </c>
      <c r="AG30" s="8">
        <f t="shared" si="68"/>
        <v>2701.6347638066882</v>
      </c>
      <c r="AH30" s="8">
        <f t="shared" si="69"/>
        <v>517.60395798244838</v>
      </c>
      <c r="AI30" s="8">
        <f t="shared" si="70"/>
        <v>1063.2892192030092</v>
      </c>
      <c r="AJ30" s="8">
        <f t="shared" si="71"/>
        <v>7511.9302576478767</v>
      </c>
      <c r="AK30" s="8">
        <f t="shared" si="72"/>
        <v>27346.826057279981</v>
      </c>
      <c r="AL30" s="15">
        <f t="shared" si="73"/>
        <v>6.9022639782139336E-2</v>
      </c>
      <c r="AM30" s="15">
        <f t="shared" si="74"/>
        <v>1.3223990163382599E-2</v>
      </c>
      <c r="AN30" s="15">
        <f t="shared" si="75"/>
        <v>2.7165414712783467E-2</v>
      </c>
      <c r="AO30" s="8">
        <f t="shared" si="76"/>
        <v>0.19191833892143481</v>
      </c>
      <c r="AP30" s="8">
        <f t="shared" si="77"/>
        <v>0.69866961642025971</v>
      </c>
      <c r="AW30" s="10">
        <v>60</v>
      </c>
      <c r="AX30" s="8">
        <f t="shared" si="78"/>
        <v>1.1576379713385507</v>
      </c>
      <c r="AY30" s="8">
        <f t="shared" si="79"/>
        <v>0.84397163120567376</v>
      </c>
      <c r="AZ30" s="8">
        <f t="shared" si="80"/>
        <v>0.56208277703604803</v>
      </c>
      <c r="BH30" s="5">
        <f t="shared" si="81"/>
        <v>34170</v>
      </c>
      <c r="BI30" s="5">
        <f t="shared" si="82"/>
        <v>130900</v>
      </c>
      <c r="BJ30" s="5">
        <f t="shared" si="83"/>
        <v>294700</v>
      </c>
    </row>
    <row r="31" spans="1:62" x14ac:dyDescent="0.2">
      <c r="A31" s="5" t="s">
        <v>209</v>
      </c>
      <c r="B31" s="10">
        <v>60</v>
      </c>
      <c r="C31" s="5">
        <v>21379</v>
      </c>
      <c r="D31" s="5">
        <v>3660</v>
      </c>
      <c r="E31" s="5">
        <v>2342</v>
      </c>
      <c r="F31" s="5">
        <v>553</v>
      </c>
      <c r="G31" s="5">
        <v>151</v>
      </c>
      <c r="H31" s="5">
        <v>16170</v>
      </c>
      <c r="I31" s="5">
        <v>34233</v>
      </c>
      <c r="J31" s="7">
        <v>128900</v>
      </c>
      <c r="K31" s="7">
        <v>294100</v>
      </c>
      <c r="L31" s="7">
        <v>283900</v>
      </c>
      <c r="M31" s="5">
        <v>6350</v>
      </c>
      <c r="N31" s="5">
        <v>30260</v>
      </c>
      <c r="O31" s="7">
        <v>149000</v>
      </c>
      <c r="P31" s="7">
        <v>457800</v>
      </c>
      <c r="Q31" s="7">
        <v>1739000</v>
      </c>
      <c r="R31" s="8">
        <f t="shared" si="53"/>
        <v>0.97800492642164571</v>
      </c>
      <c r="S31" s="8">
        <f t="shared" si="54"/>
        <v>1.0793738950528042</v>
      </c>
      <c r="T31" s="8">
        <f t="shared" si="55"/>
        <v>1.5827846577154461</v>
      </c>
      <c r="U31" s="8">
        <f t="shared" si="56"/>
        <v>2.8919748506598948</v>
      </c>
      <c r="V31" s="8">
        <f t="shared" si="57"/>
        <v>8.3237574776042837</v>
      </c>
      <c r="W31" s="8">
        <f t="shared" si="58"/>
        <v>0.48955503882553081</v>
      </c>
      <c r="X31" s="8">
        <f t="shared" si="59"/>
        <v>0.65810339112696759</v>
      </c>
      <c r="Y31" s="8">
        <f t="shared" si="60"/>
        <v>2.0751232359774856</v>
      </c>
      <c r="Z31" s="8">
        <f t="shared" si="61"/>
        <v>12.657907958801948</v>
      </c>
      <c r="AA31" s="8">
        <f t="shared" si="62"/>
        <v>301.81210324420493</v>
      </c>
      <c r="AB31" s="8">
        <f t="shared" si="63"/>
        <v>0.12973208528876565</v>
      </c>
      <c r="AC31" s="8">
        <f t="shared" si="64"/>
        <v>0.14479183409195137</v>
      </c>
      <c r="AD31" s="8">
        <f t="shared" si="65"/>
        <v>0.43555709620173727</v>
      </c>
      <c r="AE31" s="8">
        <f t="shared" si="66"/>
        <v>2.4669769637556902</v>
      </c>
      <c r="AF31" s="8">
        <f t="shared" si="67"/>
        <v>51.649657873487513</v>
      </c>
      <c r="AG31" s="8">
        <f t="shared" si="68"/>
        <v>2773.542251388521</v>
      </c>
      <c r="AH31" s="8">
        <f t="shared" si="69"/>
        <v>529.93811277654197</v>
      </c>
      <c r="AI31" s="8">
        <f t="shared" si="70"/>
        <v>1020.0747193044687</v>
      </c>
      <c r="AJ31" s="8">
        <f t="shared" si="71"/>
        <v>5777.660049115826</v>
      </c>
      <c r="AK31" s="8">
        <f t="shared" si="72"/>
        <v>28562.260804038593</v>
      </c>
      <c r="AL31" s="15">
        <f t="shared" si="73"/>
        <v>7.1735460514073562E-2</v>
      </c>
      <c r="AM31" s="15">
        <f t="shared" si="74"/>
        <v>1.370642705909839E-2</v>
      </c>
      <c r="AN31" s="15">
        <f t="shared" si="75"/>
        <v>2.6383419870902078E-2</v>
      </c>
      <c r="AO31" s="8">
        <f t="shared" si="76"/>
        <v>0.14943457382327441</v>
      </c>
      <c r="AP31" s="8">
        <f t="shared" si="77"/>
        <v>0.73874011873265155</v>
      </c>
      <c r="AW31" s="10">
        <v>60</v>
      </c>
      <c r="AX31" s="8">
        <f t="shared" si="78"/>
        <v>1.1312954395241241</v>
      </c>
      <c r="AY31" s="8">
        <f t="shared" si="79"/>
        <v>0.86510067114093958</v>
      </c>
      <c r="AZ31" s="8">
        <f t="shared" si="80"/>
        <v>0.6424202708606378</v>
      </c>
      <c r="BH31" s="5">
        <f t="shared" si="81"/>
        <v>34233</v>
      </c>
      <c r="BI31" s="5">
        <f t="shared" si="82"/>
        <v>128900</v>
      </c>
      <c r="BJ31" s="5">
        <f t="shared" si="83"/>
        <v>294100</v>
      </c>
    </row>
    <row r="32" spans="1:62" s="28" customFormat="1" x14ac:dyDescent="0.2">
      <c r="B32" s="33"/>
    </row>
    <row r="33" spans="1:31" x14ac:dyDescent="0.2">
      <c r="A33" s="4" t="s">
        <v>526</v>
      </c>
      <c r="B33" s="5"/>
      <c r="V33" s="6" t="s">
        <v>538</v>
      </c>
    </row>
    <row r="34" spans="1:31" x14ac:dyDescent="0.2">
      <c r="A34" s="4" t="s">
        <v>527</v>
      </c>
      <c r="B34" s="5"/>
      <c r="N34" s="6"/>
      <c r="P34" s="6" t="s">
        <v>525</v>
      </c>
      <c r="U34" s="6" t="s">
        <v>530</v>
      </c>
      <c r="V34" s="6" t="s">
        <v>529</v>
      </c>
      <c r="W34" s="6" t="s">
        <v>537</v>
      </c>
    </row>
    <row r="35" spans="1:31" x14ac:dyDescent="0.2">
      <c r="B35" s="5"/>
      <c r="N35" s="6"/>
      <c r="P35" s="27" t="s">
        <v>523</v>
      </c>
      <c r="U35" s="6" t="s">
        <v>536</v>
      </c>
      <c r="V35" s="6" t="s">
        <v>533</v>
      </c>
      <c r="W35" s="6" t="s">
        <v>532</v>
      </c>
    </row>
    <row r="36" spans="1:31" x14ac:dyDescent="0.2">
      <c r="B36" s="5"/>
      <c r="N36" s="6"/>
      <c r="P36" s="27"/>
      <c r="U36" s="6" t="s">
        <v>551</v>
      </c>
      <c r="V36" s="6" t="s">
        <v>551</v>
      </c>
      <c r="W36" s="6" t="s">
        <v>551</v>
      </c>
      <c r="Y36" s="6" t="s">
        <v>552</v>
      </c>
      <c r="Z36" s="6" t="s">
        <v>552</v>
      </c>
      <c r="AA36" s="6" t="s">
        <v>552</v>
      </c>
      <c r="AC36" s="6" t="s">
        <v>553</v>
      </c>
      <c r="AD36" s="6" t="s">
        <v>554</v>
      </c>
      <c r="AE36" s="6" t="s">
        <v>554</v>
      </c>
    </row>
    <row r="37" spans="1:31" x14ac:dyDescent="0.2">
      <c r="A37" s="4" t="s">
        <v>39</v>
      </c>
      <c r="B37" s="6" t="s">
        <v>115</v>
      </c>
      <c r="C37" s="4" t="s">
        <v>514</v>
      </c>
      <c r="D37" s="4" t="s">
        <v>515</v>
      </c>
      <c r="E37" s="4" t="s">
        <v>566</v>
      </c>
      <c r="F37" s="4" t="s">
        <v>565</v>
      </c>
      <c r="G37" s="4" t="s">
        <v>517</v>
      </c>
      <c r="H37" s="4" t="s">
        <v>518</v>
      </c>
      <c r="I37" s="4" t="s">
        <v>0</v>
      </c>
      <c r="J37" s="4" t="s">
        <v>564</v>
      </c>
      <c r="K37" s="4" t="s">
        <v>567</v>
      </c>
      <c r="L37" s="4" t="s">
        <v>2</v>
      </c>
      <c r="M37" s="4" t="s">
        <v>3</v>
      </c>
      <c r="N37" s="6" t="s">
        <v>519</v>
      </c>
      <c r="O37" s="4" t="s">
        <v>568</v>
      </c>
      <c r="P37" s="4" t="s">
        <v>569</v>
      </c>
      <c r="Q37" s="4" t="s">
        <v>521</v>
      </c>
      <c r="R37" s="4" t="s">
        <v>522</v>
      </c>
      <c r="S37" s="4" t="s">
        <v>524</v>
      </c>
      <c r="T37" s="4" t="s">
        <v>528</v>
      </c>
      <c r="U37" s="6" t="s">
        <v>534</v>
      </c>
      <c r="V37" s="6" t="s">
        <v>529</v>
      </c>
      <c r="W37" s="6" t="s">
        <v>531</v>
      </c>
      <c r="Y37" s="6" t="s">
        <v>534</v>
      </c>
      <c r="Z37" s="6" t="s">
        <v>529</v>
      </c>
      <c r="AA37" s="6" t="s">
        <v>531</v>
      </c>
      <c r="AC37" s="6" t="s">
        <v>534</v>
      </c>
      <c r="AD37" s="6" t="s">
        <v>529</v>
      </c>
      <c r="AE37" s="6" t="s">
        <v>531</v>
      </c>
    </row>
    <row r="38" spans="1:31" x14ac:dyDescent="0.2">
      <c r="A38" s="5" t="s">
        <v>185</v>
      </c>
      <c r="B38" s="10">
        <v>5</v>
      </c>
      <c r="C38" s="31">
        <f>1-0.335-0.025</f>
        <v>0.64</v>
      </c>
      <c r="D38" s="12">
        <f>I38/$C38</f>
        <v>49995.3125</v>
      </c>
      <c r="E38" s="12">
        <f>J38/$C38</f>
        <v>5471.875</v>
      </c>
      <c r="F38" s="12">
        <f>K38/$C38</f>
        <v>3839.0625</v>
      </c>
      <c r="G38" s="12">
        <f>L38/$C38</f>
        <v>2487.5</v>
      </c>
      <c r="H38" s="12">
        <f>M38/$C38</f>
        <v>370.3125</v>
      </c>
      <c r="I38" s="5">
        <v>31997</v>
      </c>
      <c r="J38" s="5">
        <v>3502</v>
      </c>
      <c r="K38" s="5">
        <v>2457</v>
      </c>
      <c r="L38" s="5">
        <v>1592</v>
      </c>
      <c r="M38" s="5">
        <v>237</v>
      </c>
      <c r="N38" s="26">
        <f t="shared" ref="N38:R45" si="84">AB4*D38*1000/1000000</f>
        <v>7.0219881823758321</v>
      </c>
      <c r="O38" s="26">
        <f t="shared" si="84"/>
        <v>0.76473923918171449</v>
      </c>
      <c r="P38" s="26">
        <f t="shared" si="84"/>
        <v>1.5184882026291229</v>
      </c>
      <c r="Q38" s="26">
        <f t="shared" si="84"/>
        <v>18.010038255248507</v>
      </c>
      <c r="R38" s="26">
        <f t="shared" si="84"/>
        <v>167.88770081612574</v>
      </c>
      <c r="S38" s="26">
        <f t="shared" ref="S38:S45" si="85">SUM(N38:R38)</f>
        <v>195.20295469556092</v>
      </c>
      <c r="T38" s="26">
        <f t="shared" ref="T38:T45" si="86">SUM(N38:Q38)</f>
        <v>27.315253879435176</v>
      </c>
      <c r="U38" s="26">
        <f>(LN(N48/(N38*0.25)))/$B$1</f>
        <v>0.70574048490987551</v>
      </c>
      <c r="V38" s="26">
        <f>(U38-U39)/(1-0.25)</f>
        <v>0.99271648817917468</v>
      </c>
      <c r="W38" s="26">
        <f>V38+U40</f>
        <v>1.1532459018990762</v>
      </c>
      <c r="Y38" s="26">
        <f>(LN(N51/(N39*0.25)))/$B$1</f>
        <v>0.39922893509170032</v>
      </c>
      <c r="Z38" s="26">
        <f>(Y38-Y39)/(1-0.25)</f>
        <v>0.63385723233010005</v>
      </c>
      <c r="AA38" s="26">
        <f>Z38+Y40</f>
        <v>0.63222500916645274</v>
      </c>
      <c r="AC38" s="26">
        <f>(LN(N54/(N40*0.25)))/$B$1</f>
        <v>0.1145631120744942</v>
      </c>
      <c r="AD38" s="26">
        <f>(AC38-AC39)/(1-0.25)</f>
        <v>0.27687437316256741</v>
      </c>
      <c r="AE38" s="26">
        <f>AD38+AC40</f>
        <v>0.35383376872196765</v>
      </c>
    </row>
    <row r="39" spans="1:31" x14ac:dyDescent="0.2">
      <c r="A39" s="5" t="s">
        <v>186</v>
      </c>
      <c r="B39" s="10">
        <v>12</v>
      </c>
      <c r="C39" s="31">
        <f>1-0.335-0.025</f>
        <v>0.64</v>
      </c>
      <c r="D39" s="12">
        <f t="shared" ref="D39:E45" si="87">I39/$C39</f>
        <v>52807.8125</v>
      </c>
      <c r="E39" s="12">
        <f t="shared" si="87"/>
        <v>5640.625</v>
      </c>
      <c r="F39" s="12">
        <f t="shared" ref="F39:F45" si="88">K39/$C39</f>
        <v>3801.5625</v>
      </c>
      <c r="G39" s="12">
        <f t="shared" ref="G39:H45" si="89">L39/$C39</f>
        <v>2453.125</v>
      </c>
      <c r="H39" s="12">
        <f t="shared" si="89"/>
        <v>389.0625</v>
      </c>
      <c r="I39" s="5">
        <v>33797</v>
      </c>
      <c r="J39" s="5">
        <v>3610</v>
      </c>
      <c r="K39" s="5">
        <v>2433</v>
      </c>
      <c r="L39" s="5">
        <v>1570</v>
      </c>
      <c r="M39" s="5">
        <v>249</v>
      </c>
      <c r="N39" s="26">
        <f t="shared" si="84"/>
        <v>7.1973362520575126</v>
      </c>
      <c r="O39" s="26">
        <f t="shared" si="84"/>
        <v>0.78230503874777713</v>
      </c>
      <c r="P39" s="26">
        <f t="shared" si="84"/>
        <v>1.4491935029997147</v>
      </c>
      <c r="Q39" s="26">
        <f t="shared" si="84"/>
        <v>15.063136156982701</v>
      </c>
      <c r="R39" s="26">
        <f t="shared" si="84"/>
        <v>114.36928085557305</v>
      </c>
      <c r="S39" s="26">
        <f t="shared" si="85"/>
        <v>138.86125180636077</v>
      </c>
      <c r="T39" s="26">
        <f t="shared" si="86"/>
        <v>24.491970950787703</v>
      </c>
      <c r="U39" s="26">
        <f>(LN(N49/N38))/$B$1</f>
        <v>-3.8796881224505475E-2</v>
      </c>
      <c r="Y39" s="26">
        <f>(LN(N52/N39))/$B$1</f>
        <v>-7.6163989155874773E-2</v>
      </c>
      <c r="AC39" s="26">
        <f>(LN(N55/N40))/$B$1</f>
        <v>-9.3092667797431389E-2</v>
      </c>
    </row>
    <row r="40" spans="1:31" x14ac:dyDescent="0.2">
      <c r="A40" s="5" t="s">
        <v>187</v>
      </c>
      <c r="B40" s="10">
        <v>20</v>
      </c>
      <c r="C40" s="31">
        <f>1-0.33-0.025</f>
        <v>0.64499999999999991</v>
      </c>
      <c r="D40" s="12">
        <f t="shared" si="87"/>
        <v>52184.496124031015</v>
      </c>
      <c r="E40" s="12">
        <f t="shared" si="87"/>
        <v>5494.5736434108539</v>
      </c>
      <c r="F40" s="12">
        <f t="shared" si="88"/>
        <v>3756.589147286822</v>
      </c>
      <c r="G40" s="12">
        <f t="shared" si="89"/>
        <v>2272.8682170542638</v>
      </c>
      <c r="H40" s="12">
        <f t="shared" si="89"/>
        <v>324.03100775193803</v>
      </c>
      <c r="I40" s="5">
        <v>33659</v>
      </c>
      <c r="J40" s="5">
        <v>3544</v>
      </c>
      <c r="K40" s="5">
        <v>2423</v>
      </c>
      <c r="L40" s="5">
        <v>1466</v>
      </c>
      <c r="M40" s="5">
        <v>209</v>
      </c>
      <c r="N40" s="26">
        <f t="shared" si="84"/>
        <v>7.0544907467635074</v>
      </c>
      <c r="O40" s="26">
        <f t="shared" si="84"/>
        <v>0.77488109282805917</v>
      </c>
      <c r="P40" s="26">
        <f t="shared" si="84"/>
        <v>1.454121336672421</v>
      </c>
      <c r="Q40" s="26">
        <f t="shared" si="84"/>
        <v>12.972319937534277</v>
      </c>
      <c r="R40" s="26">
        <f t="shared" si="84"/>
        <v>90.969917906215343</v>
      </c>
      <c r="S40" s="26">
        <f t="shared" si="85"/>
        <v>113.2257310200136</v>
      </c>
      <c r="T40" s="26">
        <f t="shared" si="86"/>
        <v>22.255813113798261</v>
      </c>
      <c r="U40" s="26">
        <f>LN(N50/N38)/$B$1</f>
        <v>0.16052941371990154</v>
      </c>
      <c r="Y40" s="26">
        <f>LN(N53/N39)/$B$1</f>
        <v>-1.6322231636473024E-3</v>
      </c>
      <c r="AC40" s="26">
        <f>LN(N56/N40)/$B$1</f>
        <v>7.6959395559400234E-2</v>
      </c>
    </row>
    <row r="41" spans="1:31" x14ac:dyDescent="0.2">
      <c r="A41" s="5" t="s">
        <v>188</v>
      </c>
      <c r="B41" s="10">
        <v>30</v>
      </c>
      <c r="C41" s="31">
        <f>1-0.33-0.025</f>
        <v>0.64499999999999991</v>
      </c>
      <c r="D41" s="12">
        <f t="shared" si="87"/>
        <v>53584.496124031015</v>
      </c>
      <c r="E41" s="12">
        <f t="shared" si="87"/>
        <v>5590.6976744186059</v>
      </c>
      <c r="F41" s="12">
        <f t="shared" si="88"/>
        <v>4001.5503875968998</v>
      </c>
      <c r="G41" s="12">
        <f t="shared" si="89"/>
        <v>2170.5426356589151</v>
      </c>
      <c r="H41" s="12">
        <f t="shared" si="89"/>
        <v>283.7209302325582</v>
      </c>
      <c r="I41" s="5">
        <v>34562</v>
      </c>
      <c r="J41" s="5">
        <v>3606</v>
      </c>
      <c r="K41" s="5">
        <v>2581</v>
      </c>
      <c r="L41" s="5">
        <v>1400</v>
      </c>
      <c r="M41" s="5">
        <v>183</v>
      </c>
      <c r="N41" s="26">
        <f t="shared" si="84"/>
        <v>7.47455456940693</v>
      </c>
      <c r="O41" s="26">
        <f t="shared" si="84"/>
        <v>0.77889003818989178</v>
      </c>
      <c r="P41" s="26">
        <f t="shared" si="84"/>
        <v>1.4408211883556756</v>
      </c>
      <c r="Q41" s="26">
        <f t="shared" si="84"/>
        <v>11.426165001168403</v>
      </c>
      <c r="R41" s="26">
        <f t="shared" si="84"/>
        <v>43.788157109098464</v>
      </c>
      <c r="S41" s="26">
        <f t="shared" si="85"/>
        <v>64.908587906219367</v>
      </c>
      <c r="T41" s="26">
        <f t="shared" si="86"/>
        <v>21.120430797120903</v>
      </c>
      <c r="U41" s="5" t="s">
        <v>535</v>
      </c>
      <c r="Y41" s="5" t="s">
        <v>535</v>
      </c>
      <c r="AC41" s="5" t="s">
        <v>535</v>
      </c>
    </row>
    <row r="42" spans="1:31" x14ac:dyDescent="0.2">
      <c r="A42" s="5" t="s">
        <v>189</v>
      </c>
      <c r="B42" s="10">
        <v>40</v>
      </c>
      <c r="C42" s="31">
        <f t="shared" ref="C42:C44" si="90">1-0.33-0.025</f>
        <v>0.64499999999999991</v>
      </c>
      <c r="D42" s="12">
        <f t="shared" si="87"/>
        <v>63457.364341085282</v>
      </c>
      <c r="E42" s="12">
        <f t="shared" si="87"/>
        <v>7017.0542635658921</v>
      </c>
      <c r="F42" s="12">
        <f t="shared" si="88"/>
        <v>5686.8217054263578</v>
      </c>
      <c r="G42" s="12">
        <f t="shared" si="89"/>
        <v>2229.4573643410854</v>
      </c>
      <c r="H42" s="12">
        <f t="shared" si="89"/>
        <v>283.7209302325582</v>
      </c>
      <c r="I42" s="5">
        <v>40930</v>
      </c>
      <c r="J42" s="5">
        <v>4526</v>
      </c>
      <c r="K42" s="5">
        <v>3668</v>
      </c>
      <c r="L42" s="5">
        <v>1438</v>
      </c>
      <c r="M42" s="5">
        <v>183</v>
      </c>
      <c r="N42" s="26">
        <f t="shared" si="84"/>
        <v>8.0413499163751361</v>
      </c>
      <c r="O42" s="26">
        <f t="shared" si="84"/>
        <v>0.93518522533256654</v>
      </c>
      <c r="P42" s="26">
        <f t="shared" si="84"/>
        <v>1.9091879245518315</v>
      </c>
      <c r="Q42" s="26">
        <f t="shared" si="84"/>
        <v>6.8961657834376311</v>
      </c>
      <c r="R42" s="26">
        <f t="shared" si="84"/>
        <v>29.685502609861064</v>
      </c>
      <c r="S42" s="26">
        <f t="shared" si="85"/>
        <v>47.467391459558229</v>
      </c>
      <c r="T42" s="26">
        <f t="shared" si="86"/>
        <v>17.781888849697168</v>
      </c>
      <c r="U42" s="6" t="s">
        <v>570</v>
      </c>
      <c r="V42" s="6" t="s">
        <v>574</v>
      </c>
      <c r="W42" s="6" t="s">
        <v>575</v>
      </c>
      <c r="Y42" s="6" t="s">
        <v>570</v>
      </c>
      <c r="Z42" s="6" t="s">
        <v>574</v>
      </c>
      <c r="AA42" s="6" t="s">
        <v>575</v>
      </c>
      <c r="AC42" s="6" t="s">
        <v>570</v>
      </c>
      <c r="AD42" s="6" t="s">
        <v>574</v>
      </c>
      <c r="AE42" s="6" t="s">
        <v>575</v>
      </c>
    </row>
    <row r="43" spans="1:31" x14ac:dyDescent="0.2">
      <c r="A43" s="5" t="s">
        <v>190</v>
      </c>
      <c r="B43" s="10">
        <v>60</v>
      </c>
      <c r="C43" s="31">
        <f t="shared" si="90"/>
        <v>0.64499999999999991</v>
      </c>
      <c r="D43" s="12">
        <f t="shared" si="87"/>
        <v>31587.596899224809</v>
      </c>
      <c r="E43" s="12">
        <f t="shared" si="87"/>
        <v>4899.2248062015515</v>
      </c>
      <c r="F43" s="12">
        <f t="shared" si="88"/>
        <v>3079.0697674418611</v>
      </c>
      <c r="G43" s="12">
        <f t="shared" si="89"/>
        <v>889.92248062015517</v>
      </c>
      <c r="H43" s="12">
        <f t="shared" si="89"/>
        <v>221.70542635658919</v>
      </c>
      <c r="I43" s="5">
        <v>20374</v>
      </c>
      <c r="J43" s="5">
        <v>3160</v>
      </c>
      <c r="K43" s="5">
        <v>1986</v>
      </c>
      <c r="L43" s="5">
        <v>574</v>
      </c>
      <c r="M43" s="5">
        <v>143</v>
      </c>
      <c r="N43" s="26">
        <f t="shared" si="84"/>
        <v>5.4184796121676726</v>
      </c>
      <c r="O43" s="26">
        <f t="shared" si="84"/>
        <v>0.71028999130361559</v>
      </c>
      <c r="P43" s="26">
        <f t="shared" si="84"/>
        <v>1.394497346484366</v>
      </c>
      <c r="Q43" s="26">
        <f t="shared" si="84"/>
        <v>2.7623814413672574</v>
      </c>
      <c r="R43" s="26">
        <f t="shared" si="84"/>
        <v>32.00343675582954</v>
      </c>
      <c r="S43" s="26">
        <f t="shared" si="85"/>
        <v>42.289085147152448</v>
      </c>
      <c r="T43" s="26">
        <f t="shared" si="86"/>
        <v>10.285648391322912</v>
      </c>
      <c r="U43" s="26">
        <f>(LN(O48/(O38*0.25)))/$B$1</f>
        <v>0.79510619370459656</v>
      </c>
      <c r="V43" s="26">
        <f>(U43-U44)/(1-0.25)</f>
        <v>0.90852631158877795</v>
      </c>
      <c r="W43" s="26">
        <f>V43+U45</f>
        <v>0.98504956892454409</v>
      </c>
      <c r="Y43" s="26">
        <f>(LN(O51/(O39*0.25)))/$B$1</f>
        <v>0.35719105813817198</v>
      </c>
      <c r="Z43" s="26">
        <f>(Y43-Y44)/(1-0.25)</f>
        <v>0.36086224145486007</v>
      </c>
      <c r="AA43" s="26">
        <f>Z43+Y45</f>
        <v>0.33978663772493845</v>
      </c>
      <c r="AC43" s="26">
        <f>(LN(O54/(O40*0.25)))/$B$1</f>
        <v>0.35916733129844319</v>
      </c>
      <c r="AD43" s="26">
        <f>(AC43-AC44)/(1-0.25)</f>
        <v>0.30434143622397652</v>
      </c>
      <c r="AE43" s="26">
        <f>AD43+AC45</f>
        <v>0.22918451094828066</v>
      </c>
    </row>
    <row r="44" spans="1:31" x14ac:dyDescent="0.2">
      <c r="A44" s="5" t="s">
        <v>191</v>
      </c>
      <c r="B44" s="10">
        <v>80</v>
      </c>
      <c r="C44" s="31">
        <f t="shared" si="90"/>
        <v>0.64499999999999991</v>
      </c>
      <c r="D44" s="12">
        <f t="shared" si="87"/>
        <v>15759.689922480622</v>
      </c>
      <c r="E44" s="12">
        <f t="shared" si="87"/>
        <v>3773.6434108527137</v>
      </c>
      <c r="F44" s="12">
        <f t="shared" si="88"/>
        <v>2088.3720930232562</v>
      </c>
      <c r="G44" s="12">
        <f t="shared" si="89"/>
        <v>210.85271317829461</v>
      </c>
      <c r="H44" s="12">
        <f t="shared" si="89"/>
        <v>165.89147286821708</v>
      </c>
      <c r="I44" s="5">
        <v>10165</v>
      </c>
      <c r="J44" s="5">
        <v>2434</v>
      </c>
      <c r="K44" s="5">
        <v>1347</v>
      </c>
      <c r="L44" s="5">
        <v>136</v>
      </c>
      <c r="M44" s="5">
        <v>107</v>
      </c>
      <c r="N44" s="26">
        <f t="shared" si="84"/>
        <v>2.7725497276967981</v>
      </c>
      <c r="O44" s="26">
        <f t="shared" si="84"/>
        <v>0.66364254583389515</v>
      </c>
      <c r="P44" s="26">
        <f t="shared" si="84"/>
        <v>1.7754170160161644</v>
      </c>
      <c r="Q44" s="26">
        <f t="shared" si="84"/>
        <v>0.20970482664230741</v>
      </c>
      <c r="R44" s="26">
        <f t="shared" si="84"/>
        <v>10.106839094492612</v>
      </c>
      <c r="S44" s="26">
        <f t="shared" si="85"/>
        <v>15.528153210681777</v>
      </c>
      <c r="T44" s="26">
        <f t="shared" si="86"/>
        <v>5.4213141161891656</v>
      </c>
      <c r="U44" s="26">
        <f>(LN(O49/O38))/$B$1</f>
        <v>0.11371146001301317</v>
      </c>
      <c r="Y44" s="26">
        <f>(LN(O52/O39))/$B$1</f>
        <v>8.654437704702693E-2</v>
      </c>
      <c r="AC44" s="26">
        <f>(LN(O55/O40))/$B$1</f>
        <v>0.13091125413046081</v>
      </c>
    </row>
    <row r="45" spans="1:31" x14ac:dyDescent="0.2">
      <c r="A45" s="5" t="s">
        <v>210</v>
      </c>
      <c r="B45" s="10">
        <v>100</v>
      </c>
      <c r="C45" s="31">
        <f>1-0.31-0.025</f>
        <v>0.66499999999999992</v>
      </c>
      <c r="D45" s="12">
        <f t="shared" si="87"/>
        <v>9622.5563909774446</v>
      </c>
      <c r="E45" s="12">
        <f t="shared" si="87"/>
        <v>2392.4812030075191</v>
      </c>
      <c r="F45" s="12">
        <f t="shared" si="88"/>
        <v>664.66165413533838</v>
      </c>
      <c r="G45" s="12">
        <f t="shared" si="89"/>
        <v>876.69172932330832</v>
      </c>
      <c r="H45" s="12">
        <f t="shared" si="89"/>
        <v>130.82706766917295</v>
      </c>
      <c r="I45" s="5">
        <v>6399</v>
      </c>
      <c r="J45" s="5">
        <v>1591</v>
      </c>
      <c r="K45" s="5">
        <v>442</v>
      </c>
      <c r="L45" s="5">
        <v>583</v>
      </c>
      <c r="M45" s="5">
        <v>87</v>
      </c>
      <c r="N45" s="26">
        <f t="shared" si="84"/>
        <v>1.7419825648561935</v>
      </c>
      <c r="O45" s="26">
        <f t="shared" si="84"/>
        <v>0.49247184984207781</v>
      </c>
      <c r="P45" s="26">
        <f t="shared" si="84"/>
        <v>0.36990743677619831</v>
      </c>
      <c r="Q45" s="26">
        <f t="shared" si="84"/>
        <v>1.093886676423947</v>
      </c>
      <c r="R45" s="26">
        <f t="shared" si="84"/>
        <v>7.0686963779815626</v>
      </c>
      <c r="S45" s="26">
        <f t="shared" si="85"/>
        <v>10.76694490587998</v>
      </c>
      <c r="T45" s="26">
        <f t="shared" si="86"/>
        <v>3.6982485278984165</v>
      </c>
      <c r="U45" s="26">
        <f>LN(O50/O38)/$B$1</f>
        <v>7.6523257335766148E-2</v>
      </c>
      <c r="Y45" s="26">
        <f>LN(O53/O39)/$B$1</f>
        <v>-2.1075603729921628E-2</v>
      </c>
      <c r="AC45" s="26">
        <f>LN(O56/O40)/$B$1</f>
        <v>-7.5156925275695868E-2</v>
      </c>
    </row>
    <row r="46" spans="1:31" x14ac:dyDescent="0.2">
      <c r="A46" s="30"/>
      <c r="T46" s="10"/>
    </row>
    <row r="47" spans="1:31" x14ac:dyDescent="0.2">
      <c r="A47" s="4" t="s">
        <v>40</v>
      </c>
      <c r="B47" s="6" t="s">
        <v>115</v>
      </c>
      <c r="C47" s="4" t="s">
        <v>514</v>
      </c>
      <c r="D47" s="4" t="s">
        <v>515</v>
      </c>
      <c r="E47" s="4" t="s">
        <v>566</v>
      </c>
      <c r="F47" s="4" t="s">
        <v>565</v>
      </c>
      <c r="G47" s="4" t="s">
        <v>517</v>
      </c>
      <c r="H47" s="4" t="s">
        <v>518</v>
      </c>
      <c r="I47" s="5" t="s">
        <v>0</v>
      </c>
      <c r="J47" s="4" t="s">
        <v>564</v>
      </c>
      <c r="K47" s="4" t="s">
        <v>567</v>
      </c>
      <c r="L47" s="5" t="s">
        <v>2</v>
      </c>
      <c r="M47" s="5" t="s">
        <v>3</v>
      </c>
      <c r="N47" s="6" t="s">
        <v>519</v>
      </c>
      <c r="O47" s="4" t="s">
        <v>568</v>
      </c>
      <c r="P47" s="4" t="s">
        <v>569</v>
      </c>
      <c r="Q47" s="4" t="s">
        <v>521</v>
      </c>
      <c r="R47" s="4" t="s">
        <v>522</v>
      </c>
      <c r="S47" s="4" t="s">
        <v>524</v>
      </c>
      <c r="T47" s="6" t="s">
        <v>528</v>
      </c>
      <c r="U47" s="6" t="s">
        <v>542</v>
      </c>
      <c r="V47" s="6" t="s">
        <v>543</v>
      </c>
      <c r="W47" s="6" t="s">
        <v>544</v>
      </c>
      <c r="Y47" s="6" t="s">
        <v>542</v>
      </c>
      <c r="Z47" s="6" t="s">
        <v>543</v>
      </c>
      <c r="AA47" s="6" t="s">
        <v>544</v>
      </c>
      <c r="AC47" s="6" t="s">
        <v>542</v>
      </c>
      <c r="AD47" s="6" t="s">
        <v>543</v>
      </c>
      <c r="AE47" s="6" t="s">
        <v>544</v>
      </c>
    </row>
    <row r="48" spans="1:31" x14ac:dyDescent="0.2">
      <c r="A48" s="5" t="s">
        <v>192</v>
      </c>
      <c r="B48" s="10">
        <v>5</v>
      </c>
      <c r="C48" s="31">
        <f>1-0.3-0.025</f>
        <v>0.67499999999999993</v>
      </c>
      <c r="D48" s="12">
        <f t="shared" ref="D48:D65" si="91">I48/$C48</f>
        <v>26034.074074074077</v>
      </c>
      <c r="E48" s="12">
        <f t="shared" ref="E48:E65" si="92">J48/$C48</f>
        <v>2893.3333333333335</v>
      </c>
      <c r="F48" s="12">
        <f t="shared" ref="F48:F65" si="93">K48/$C48</f>
        <v>1444.4444444444446</v>
      </c>
      <c r="G48" s="12">
        <f t="shared" ref="G48:G65" si="94">L48/$C48</f>
        <v>977.77777777777783</v>
      </c>
      <c r="H48" s="12">
        <f t="shared" ref="H48:H65" si="95">M48/$C48</f>
        <v>131.85185185185188</v>
      </c>
      <c r="I48" s="5">
        <v>17573</v>
      </c>
      <c r="J48" s="5">
        <v>1953</v>
      </c>
      <c r="K48" s="5">
        <v>975</v>
      </c>
      <c r="L48" s="5">
        <v>660</v>
      </c>
      <c r="M48" s="5">
        <v>89</v>
      </c>
      <c r="N48" s="26">
        <f>AB14*D48*1000/1000000</f>
        <v>3.8154803476900998</v>
      </c>
      <c r="O48" s="26">
        <f>AC14*E48*1000/1000000</f>
        <v>0.45845281001542959</v>
      </c>
      <c r="P48" s="26">
        <f>AD14*F48*1000/1000000</f>
        <v>0.60001474521475517</v>
      </c>
      <c r="Q48" s="26">
        <f>AE14*G48*1000/1000000</f>
        <v>6.326665927881999</v>
      </c>
      <c r="R48" s="26">
        <f>AF14*H48*1000/1000000</f>
        <v>43.331279061361016</v>
      </c>
      <c r="S48" s="26">
        <f>SUM(N48:R48)</f>
        <v>54.531892892163299</v>
      </c>
      <c r="T48" s="26">
        <f t="shared" ref="T48:T65" si="96">SUM(N48:Q48)</f>
        <v>11.200613830802283</v>
      </c>
      <c r="U48" s="26">
        <f>(LN(Q48/(Q38*0.25)))/$B$1</f>
        <v>0.30921678687572335</v>
      </c>
      <c r="V48" s="26">
        <f>(U48-U49)/(1-0.25)</f>
        <v>0.58700280368168922</v>
      </c>
      <c r="W48" s="26">
        <f>V48+U50</f>
        <v>0.55213947121081397</v>
      </c>
      <c r="Y48" s="26">
        <f>(LN(Q51/(Q39*0.25)))/$B$1</f>
        <v>0.22326766246364524</v>
      </c>
      <c r="Z48" s="26">
        <f>(Y48-Y49)/(1-0.25)</f>
        <v>0.37672379105590775</v>
      </c>
      <c r="AA48" s="26">
        <f>Z48+Y50</f>
        <v>0.38163928230032884</v>
      </c>
      <c r="AC48" s="26">
        <f>(LN(Q54/(Q40*0.25)))/$B$1</f>
        <v>0.32794257914096203</v>
      </c>
      <c r="AD48" s="26">
        <f>(AC48-AC49)/(1-0.25)</f>
        <v>0.28627824748900249</v>
      </c>
      <c r="AE48" s="26">
        <f>AD48+AC50</f>
        <v>0.23843001726003174</v>
      </c>
    </row>
    <row r="49" spans="1:31" x14ac:dyDescent="0.2">
      <c r="A49" s="5" t="s">
        <v>193</v>
      </c>
      <c r="B49" s="10">
        <v>5</v>
      </c>
      <c r="C49" s="31">
        <f>1-0.28-0.025</f>
        <v>0.69499999999999995</v>
      </c>
      <c r="D49" s="12">
        <f t="shared" si="91"/>
        <v>49910.79136690648</v>
      </c>
      <c r="E49" s="12">
        <f t="shared" si="92"/>
        <v>6010.071942446044</v>
      </c>
      <c r="F49" s="12">
        <f t="shared" si="93"/>
        <v>3001.4388489208636</v>
      </c>
      <c r="G49" s="12">
        <f t="shared" si="94"/>
        <v>2192.8057553956837</v>
      </c>
      <c r="H49" s="12">
        <f t="shared" si="95"/>
        <v>384.17266187050365</v>
      </c>
      <c r="I49" s="5">
        <v>34688</v>
      </c>
      <c r="J49" s="5">
        <v>4177</v>
      </c>
      <c r="K49" s="5">
        <v>2086</v>
      </c>
      <c r="L49" s="5">
        <v>1524</v>
      </c>
      <c r="M49" s="5">
        <v>267</v>
      </c>
      <c r="N49" s="26">
        <f t="shared" ref="N49:R49" si="97">AB15*D49*1000/1000000</f>
        <v>6.7286183503473778</v>
      </c>
      <c r="O49" s="26">
        <f t="shared" si="97"/>
        <v>0.86663467215762591</v>
      </c>
      <c r="P49" s="26">
        <f t="shared" si="97"/>
        <v>1.3624412190639197</v>
      </c>
      <c r="Q49" s="26">
        <f t="shared" si="97"/>
        <v>15.592506336869565</v>
      </c>
      <c r="R49" s="26">
        <f t="shared" si="97"/>
        <v>52.990913706617981</v>
      </c>
      <c r="S49" s="26">
        <f t="shared" ref="S49:S65" si="98">SUM(N49:R49)</f>
        <v>77.541114285056466</v>
      </c>
      <c r="T49" s="26">
        <f t="shared" si="96"/>
        <v>24.550200578438488</v>
      </c>
      <c r="U49" s="26">
        <f>(LN(Q49/Q38))/$B$1</f>
        <v>-0.1310353158855436</v>
      </c>
      <c r="Y49" s="26">
        <f>(LN(Q52/Q39))/$B$1</f>
        <v>-5.9275180828285534E-2</v>
      </c>
      <c r="AC49" s="26">
        <f>(LN(Q55/Q40))/$B$1</f>
        <v>0.11323389352421018</v>
      </c>
    </row>
    <row r="50" spans="1:31" x14ac:dyDescent="0.2">
      <c r="A50" s="5" t="s">
        <v>194</v>
      </c>
      <c r="B50" s="10">
        <v>5</v>
      </c>
      <c r="C50" s="31">
        <f>1-0.26-0.025</f>
        <v>0.71499999999999997</v>
      </c>
      <c r="D50" s="12">
        <f t="shared" si="91"/>
        <v>56090.909090909096</v>
      </c>
      <c r="E50" s="12">
        <f t="shared" si="92"/>
        <v>5598.6013986013986</v>
      </c>
      <c r="F50" s="12">
        <f t="shared" si="93"/>
        <v>4267.1328671328674</v>
      </c>
      <c r="G50" s="12">
        <f t="shared" si="94"/>
        <v>2724.4755244755247</v>
      </c>
      <c r="H50" s="12">
        <f t="shared" si="95"/>
        <v>455.94405594405595</v>
      </c>
      <c r="I50" s="5">
        <v>40105</v>
      </c>
      <c r="J50" s="5">
        <v>4003</v>
      </c>
      <c r="K50" s="5">
        <v>3051</v>
      </c>
      <c r="L50" s="5">
        <v>1948</v>
      </c>
      <c r="M50" s="5">
        <v>326</v>
      </c>
      <c r="N50" s="26">
        <f t="shared" ref="N50:R50" si="99">AB16*D50*1000/1000000</f>
        <v>8.3781636018956522</v>
      </c>
      <c r="O50" s="26">
        <f t="shared" si="99"/>
        <v>0.83189854724099588</v>
      </c>
      <c r="P50" s="26">
        <f t="shared" si="99"/>
        <v>1.7614583361170753</v>
      </c>
      <c r="Q50" s="26">
        <f t="shared" si="99"/>
        <v>17.332435276140156</v>
      </c>
      <c r="R50" s="26">
        <f t="shared" si="99"/>
        <v>51.232634598969611</v>
      </c>
      <c r="S50" s="26">
        <f t="shared" si="98"/>
        <v>79.536590360363491</v>
      </c>
      <c r="T50" s="26">
        <f t="shared" si="96"/>
        <v>28.30395576139388</v>
      </c>
      <c r="U50" s="26">
        <f>LN(Q50/Q38)/$B$1</f>
        <v>-3.4863332470875232E-2</v>
      </c>
      <c r="Y50" s="26">
        <f>LN(Q53/Q39)/$B$1</f>
        <v>4.9154912444210981E-3</v>
      </c>
      <c r="AC50" s="26">
        <f>LN(Q56/Q40)/$B$1</f>
        <v>-4.7848230228970744E-2</v>
      </c>
    </row>
    <row r="51" spans="1:31" x14ac:dyDescent="0.2">
      <c r="A51" s="5" t="s">
        <v>195</v>
      </c>
      <c r="B51" s="10">
        <v>12</v>
      </c>
      <c r="C51" s="31">
        <f>1-0.28-0.025</f>
        <v>0.69499999999999995</v>
      </c>
      <c r="D51" s="12">
        <f t="shared" si="91"/>
        <v>17487.769784172662</v>
      </c>
      <c r="E51" s="12">
        <f t="shared" si="92"/>
        <v>1984.1726618705038</v>
      </c>
      <c r="F51" s="12">
        <f t="shared" si="93"/>
        <v>1397.1223021582734</v>
      </c>
      <c r="G51" s="12">
        <f t="shared" si="94"/>
        <v>795.68345323741016</v>
      </c>
      <c r="H51" s="12">
        <f t="shared" si="95"/>
        <v>136.69064748201438</v>
      </c>
      <c r="I51" s="5">
        <v>12154</v>
      </c>
      <c r="J51" s="5">
        <v>1379</v>
      </c>
      <c r="K51" s="5">
        <v>971</v>
      </c>
      <c r="L51" s="5">
        <v>553</v>
      </c>
      <c r="M51" s="5">
        <v>95</v>
      </c>
      <c r="N51" s="26">
        <f t="shared" ref="N51:R51" si="100">AB17*D51*1000/1000000</f>
        <v>2.7914703384846815</v>
      </c>
      <c r="O51" s="26">
        <f t="shared" si="100"/>
        <v>0.28970424056334443</v>
      </c>
      <c r="P51" s="26">
        <f t="shared" si="100"/>
        <v>0.54822022943709703</v>
      </c>
      <c r="Q51" s="26">
        <f t="shared" si="100"/>
        <v>4.8141067423748245</v>
      </c>
      <c r="R51" s="26">
        <f t="shared" si="100"/>
        <v>19.853067904252452</v>
      </c>
      <c r="S51" s="26">
        <f t="shared" si="98"/>
        <v>28.296569455112397</v>
      </c>
      <c r="T51" s="26">
        <f t="shared" si="96"/>
        <v>8.4435015508599474</v>
      </c>
    </row>
    <row r="52" spans="1:31" x14ac:dyDescent="0.2">
      <c r="A52" s="5" t="s">
        <v>196</v>
      </c>
      <c r="B52" s="10">
        <v>12</v>
      </c>
      <c r="C52" s="31">
        <f>1-0.295-0.025</f>
        <v>0.68</v>
      </c>
      <c r="D52" s="12">
        <f t="shared" si="91"/>
        <v>51088.235294117643</v>
      </c>
      <c r="E52" s="12">
        <f t="shared" si="92"/>
        <v>6072.0588235294117</v>
      </c>
      <c r="F52" s="12">
        <f t="shared" si="93"/>
        <v>3111.7647058823527</v>
      </c>
      <c r="G52" s="12">
        <f t="shared" si="94"/>
        <v>2158.8235294117644</v>
      </c>
      <c r="H52" s="12">
        <f t="shared" si="95"/>
        <v>317.64705882352939</v>
      </c>
      <c r="I52" s="5">
        <v>34740</v>
      </c>
      <c r="J52" s="5">
        <v>4129</v>
      </c>
      <c r="K52" s="5">
        <v>2116</v>
      </c>
      <c r="L52" s="5">
        <v>1468</v>
      </c>
      <c r="M52" s="5">
        <v>216</v>
      </c>
      <c r="N52" s="26">
        <f t="shared" ref="N52:R52" si="101">AB18*D52*1000/1000000</f>
        <v>6.6189093426124366</v>
      </c>
      <c r="O52" s="26">
        <f t="shared" si="101"/>
        <v>0.86043971437264866</v>
      </c>
      <c r="P52" s="26">
        <f t="shared" si="101"/>
        <v>1.3975513532701864</v>
      </c>
      <c r="Q52" s="26">
        <f t="shared" si="101"/>
        <v>14.112313948526719</v>
      </c>
      <c r="R52" s="26">
        <f t="shared" si="101"/>
        <v>33.159014774929759</v>
      </c>
      <c r="S52" s="26">
        <f t="shared" si="98"/>
        <v>56.148229133711752</v>
      </c>
      <c r="T52" s="26">
        <f t="shared" si="96"/>
        <v>22.989214358781989</v>
      </c>
      <c r="U52" s="6" t="s">
        <v>545</v>
      </c>
      <c r="V52" s="6" t="s">
        <v>546</v>
      </c>
      <c r="W52" s="6" t="s">
        <v>547</v>
      </c>
      <c r="Y52" s="6" t="s">
        <v>545</v>
      </c>
      <c r="Z52" s="6" t="s">
        <v>546</v>
      </c>
      <c r="AA52" s="6" t="s">
        <v>547</v>
      </c>
      <c r="AC52" s="6" t="s">
        <v>545</v>
      </c>
      <c r="AD52" s="6" t="s">
        <v>546</v>
      </c>
      <c r="AE52" s="6" t="s">
        <v>547</v>
      </c>
    </row>
    <row r="53" spans="1:31" x14ac:dyDescent="0.2">
      <c r="A53" s="5" t="s">
        <v>197</v>
      </c>
      <c r="B53" s="10">
        <v>12</v>
      </c>
      <c r="C53" s="31">
        <f>1-0.29-0.025</f>
        <v>0.68499999999999994</v>
      </c>
      <c r="D53" s="12">
        <f t="shared" si="91"/>
        <v>55906.569343065697</v>
      </c>
      <c r="E53" s="12">
        <f t="shared" si="92"/>
        <v>5293.4306569343071</v>
      </c>
      <c r="F53" s="12">
        <f t="shared" si="93"/>
        <v>4551.8248175182489</v>
      </c>
      <c r="G53" s="12">
        <f t="shared" si="94"/>
        <v>2562.0437956204382</v>
      </c>
      <c r="H53" s="12">
        <f t="shared" si="95"/>
        <v>347.44525547445261</v>
      </c>
      <c r="I53" s="5">
        <v>38296</v>
      </c>
      <c r="J53" s="5">
        <v>3626</v>
      </c>
      <c r="K53" s="5">
        <v>3118</v>
      </c>
      <c r="L53" s="5">
        <v>1755</v>
      </c>
      <c r="M53" s="5">
        <v>238</v>
      </c>
      <c r="N53" s="26">
        <f t="shared" ref="N53:R53" si="102">AB19*D53*1000/1000000</f>
        <v>7.1844254210305403</v>
      </c>
      <c r="O53" s="26">
        <f t="shared" si="102"/>
        <v>0.76437734592128459</v>
      </c>
      <c r="P53" s="26">
        <f t="shared" si="102"/>
        <v>1.718446918274918</v>
      </c>
      <c r="Q53" s="26">
        <f t="shared" si="102"/>
        <v>15.144803733236081</v>
      </c>
      <c r="R53" s="26">
        <f t="shared" si="102"/>
        <v>40.09821547122889</v>
      </c>
      <c r="S53" s="26">
        <f t="shared" si="98"/>
        <v>64.910268889691707</v>
      </c>
      <c r="T53" s="26">
        <f t="shared" si="96"/>
        <v>24.812053418462824</v>
      </c>
      <c r="U53" s="26">
        <f>(LN(R48/(R38*0.25)))/$B$1</f>
        <v>2.8976188307111621E-2</v>
      </c>
      <c r="V53" s="26">
        <f>(U53-U54)/(1-0.25)</f>
        <v>1.4364226135156952</v>
      </c>
      <c r="W53" s="26">
        <f>V53+U55</f>
        <v>0.35740571818609501</v>
      </c>
      <c r="Y53" s="26">
        <f>(LN(R51/(R39*0.25)))/$B$1</f>
        <v>-0.3316178256506685</v>
      </c>
      <c r="Z53" s="26">
        <f>(Y53-Y54)/(1-0.25)</f>
        <v>1.0585918692195129</v>
      </c>
      <c r="AA53" s="26">
        <f>Z53+Y55</f>
        <v>0.10577306236586304</v>
      </c>
      <c r="AC53" s="26">
        <f>(LN(R54/(R40*0.25)))/$B$1</f>
        <v>-0.8216309352123129</v>
      </c>
      <c r="AD53" s="26">
        <f>(AC53-AC54)/(1-0.25)</f>
        <v>7.8293860652441108E-2</v>
      </c>
      <c r="AE53" s="26">
        <f>AD53+AC55</f>
        <v>-1.2548162005698511</v>
      </c>
    </row>
    <row r="54" spans="1:31" x14ac:dyDescent="0.2">
      <c r="A54" s="5" t="s">
        <v>198</v>
      </c>
      <c r="B54" s="10">
        <v>20</v>
      </c>
      <c r="C54" s="31">
        <f>1-0.28-0.025</f>
        <v>0.69499999999999995</v>
      </c>
      <c r="D54" s="12">
        <f t="shared" si="91"/>
        <v>14574.100719424461</v>
      </c>
      <c r="E54" s="12">
        <f t="shared" si="92"/>
        <v>1909.3525179856117</v>
      </c>
      <c r="F54" s="12">
        <f t="shared" si="93"/>
        <v>933.8129496402878</v>
      </c>
      <c r="G54" s="12">
        <f t="shared" si="94"/>
        <v>579.85611510791375</v>
      </c>
      <c r="H54" s="12">
        <f t="shared" si="95"/>
        <v>103.59712230215828</v>
      </c>
      <c r="I54" s="5">
        <v>10129</v>
      </c>
      <c r="J54" s="5">
        <v>1327</v>
      </c>
      <c r="K54" s="5">
        <v>649</v>
      </c>
      <c r="L54" s="5">
        <v>403</v>
      </c>
      <c r="M54" s="5">
        <v>72</v>
      </c>
      <c r="N54" s="26">
        <f t="shared" ref="N54:R54" si="103">AB20*D54*1000/1000000</f>
        <v>2.0004846206923204</v>
      </c>
      <c r="O54" s="26">
        <f t="shared" si="103"/>
        <v>0.28757948519827459</v>
      </c>
      <c r="P54" s="26">
        <f t="shared" si="103"/>
        <v>0.4418374683782581</v>
      </c>
      <c r="Q54" s="26">
        <f t="shared" si="103"/>
        <v>4.651828312367396</v>
      </c>
      <c r="R54" s="26">
        <f t="shared" si="103"/>
        <v>9.2113874923260131</v>
      </c>
      <c r="S54" s="26">
        <f t="shared" si="98"/>
        <v>16.593117378962262</v>
      </c>
      <c r="T54" s="26">
        <f t="shared" si="96"/>
        <v>7.3817298866362488</v>
      </c>
      <c r="U54" s="26">
        <f>(LN(R49/R38))/$B$1</f>
        <v>-1.0483407718296598</v>
      </c>
      <c r="Y54" s="26">
        <f>(LN(R52/R39))/$B$1</f>
        <v>-1.1255617275653031</v>
      </c>
      <c r="AC54" s="26">
        <f>(LN(R55/R40))/$B$1</f>
        <v>-0.88035133070164373</v>
      </c>
    </row>
    <row r="55" spans="1:31" x14ac:dyDescent="0.2">
      <c r="A55" s="5" t="s">
        <v>199</v>
      </c>
      <c r="B55" s="10">
        <v>20</v>
      </c>
      <c r="C55" s="31">
        <f>1-0.28-0.025</f>
        <v>0.69499999999999995</v>
      </c>
      <c r="D55" s="12">
        <f t="shared" si="91"/>
        <v>49493.525179856122</v>
      </c>
      <c r="E55" s="12">
        <f t="shared" si="92"/>
        <v>6169.7841726618708</v>
      </c>
      <c r="F55" s="12">
        <f t="shared" si="93"/>
        <v>3290.6474820143885</v>
      </c>
      <c r="G55" s="12">
        <f t="shared" si="94"/>
        <v>2048.9208633093526</v>
      </c>
      <c r="H55" s="12">
        <f t="shared" si="95"/>
        <v>313.66906474820144</v>
      </c>
      <c r="I55" s="5">
        <v>34398</v>
      </c>
      <c r="J55" s="5">
        <v>4288</v>
      </c>
      <c r="K55" s="5">
        <v>2287</v>
      </c>
      <c r="L55" s="5">
        <v>1424</v>
      </c>
      <c r="M55" s="5">
        <v>218</v>
      </c>
      <c r="N55" s="26">
        <f t="shared" ref="N55:R55" si="104">AB21*D55*1000/1000000</f>
        <v>6.3678536413044933</v>
      </c>
      <c r="O55" s="26">
        <f t="shared" si="104"/>
        <v>0.89489998955446981</v>
      </c>
      <c r="P55" s="26">
        <f t="shared" si="104"/>
        <v>1.6124080174119158</v>
      </c>
      <c r="Q55" s="26">
        <f t="shared" si="104"/>
        <v>14.693057961429922</v>
      </c>
      <c r="R55" s="26">
        <f t="shared" si="104"/>
        <v>34.540840814560049</v>
      </c>
      <c r="S55" s="26">
        <f t="shared" si="98"/>
        <v>58.109060424260846</v>
      </c>
      <c r="T55" s="26">
        <f t="shared" si="96"/>
        <v>23.568219609700801</v>
      </c>
      <c r="U55" s="26">
        <f>LN(R50/R38)/$B$1</f>
        <v>-1.0790168953296002</v>
      </c>
      <c r="Y55" s="26">
        <f>LN(R53/R39)/$B$1</f>
        <v>-0.95281880685364984</v>
      </c>
      <c r="AC55" s="26">
        <f>LN(R56/R40)/$B$1</f>
        <v>-1.3331100612222921</v>
      </c>
    </row>
    <row r="56" spans="1:31" x14ac:dyDescent="0.2">
      <c r="A56" s="5" t="s">
        <v>200</v>
      </c>
      <c r="B56" s="10">
        <v>20</v>
      </c>
      <c r="C56" s="31">
        <f>1-0.28-0.025</f>
        <v>0.69499999999999995</v>
      </c>
      <c r="D56" s="12">
        <f t="shared" si="91"/>
        <v>57126.618705035973</v>
      </c>
      <c r="E56" s="12">
        <f t="shared" si="92"/>
        <v>4831.6546762589933</v>
      </c>
      <c r="F56" s="12">
        <f t="shared" si="93"/>
        <v>4238.84892086331</v>
      </c>
      <c r="G56" s="12">
        <f t="shared" si="94"/>
        <v>2309.3525179856115</v>
      </c>
      <c r="H56" s="12">
        <f t="shared" si="95"/>
        <v>333.8129496402878</v>
      </c>
      <c r="I56" s="5">
        <v>39703</v>
      </c>
      <c r="J56" s="5">
        <v>3358</v>
      </c>
      <c r="K56" s="5">
        <v>2946</v>
      </c>
      <c r="L56" s="5">
        <v>1605</v>
      </c>
      <c r="M56" s="5">
        <v>232</v>
      </c>
      <c r="N56" s="26">
        <f t="shared" ref="N56:R56" si="105">AB22*D56*1000/1000000</f>
        <v>7.6776977839620377</v>
      </c>
      <c r="O56" s="26">
        <f t="shared" si="105"/>
        <v>0.71339621773798179</v>
      </c>
      <c r="P56" s="26">
        <f t="shared" si="105"/>
        <v>1.7265294477600972</v>
      </c>
      <c r="Q56" s="26">
        <f t="shared" si="105"/>
        <v>12.307204204363845</v>
      </c>
      <c r="R56" s="26">
        <f t="shared" si="105"/>
        <v>20.991294665963043</v>
      </c>
      <c r="S56" s="26">
        <f t="shared" si="98"/>
        <v>43.416122319787007</v>
      </c>
      <c r="T56" s="26">
        <f t="shared" si="96"/>
        <v>22.424827653823961</v>
      </c>
    </row>
    <row r="57" spans="1:31" x14ac:dyDescent="0.2">
      <c r="A57" s="5" t="s">
        <v>201</v>
      </c>
      <c r="B57" s="10">
        <v>30</v>
      </c>
      <c r="C57" s="31">
        <f>1-0.3-0.025</f>
        <v>0.67499999999999993</v>
      </c>
      <c r="D57" s="12">
        <f t="shared" si="91"/>
        <v>17065.185185185186</v>
      </c>
      <c r="E57" s="12">
        <f t="shared" si="92"/>
        <v>2029.6296296296298</v>
      </c>
      <c r="F57" s="12">
        <f t="shared" si="93"/>
        <v>1099.2592592592594</v>
      </c>
      <c r="G57" s="12">
        <f t="shared" si="94"/>
        <v>691.85185185185196</v>
      </c>
      <c r="H57" s="12">
        <f t="shared" si="95"/>
        <v>105.18518518518519</v>
      </c>
      <c r="I57" s="5">
        <v>11519</v>
      </c>
      <c r="J57" s="5">
        <v>1370</v>
      </c>
      <c r="K57" s="5">
        <v>742</v>
      </c>
      <c r="L57" s="5">
        <v>467</v>
      </c>
      <c r="M57" s="5">
        <v>71</v>
      </c>
      <c r="N57" s="26">
        <f t="shared" ref="N57:R57" si="106">AB23*D57*1000/1000000</f>
        <v>2.7501497672125024</v>
      </c>
      <c r="O57" s="26">
        <f t="shared" si="106"/>
        <v>0.29193195698802771</v>
      </c>
      <c r="P57" s="26">
        <f t="shared" si="106"/>
        <v>0.45985361634950939</v>
      </c>
      <c r="Q57" s="26">
        <f t="shared" si="106"/>
        <v>2.906001071646251</v>
      </c>
      <c r="R57" s="26">
        <f t="shared" si="106"/>
        <v>20.204918898116688</v>
      </c>
      <c r="S57" s="26">
        <f t="shared" si="98"/>
        <v>26.61285531031298</v>
      </c>
      <c r="T57" s="26">
        <f t="shared" si="96"/>
        <v>6.4079364121962907</v>
      </c>
      <c r="U57" s="6" t="s">
        <v>571</v>
      </c>
      <c r="V57" s="6" t="s">
        <v>572</v>
      </c>
      <c r="W57" s="6" t="s">
        <v>573</v>
      </c>
      <c r="Y57" s="6" t="s">
        <v>571</v>
      </c>
      <c r="Z57" s="6" t="s">
        <v>572</v>
      </c>
      <c r="AA57" s="6" t="s">
        <v>573</v>
      </c>
      <c r="AC57" s="6" t="s">
        <v>571</v>
      </c>
      <c r="AD57" s="6" t="s">
        <v>572</v>
      </c>
      <c r="AE57" s="6" t="s">
        <v>573</v>
      </c>
    </row>
    <row r="58" spans="1:31" x14ac:dyDescent="0.2">
      <c r="A58" s="5" t="s">
        <v>202</v>
      </c>
      <c r="B58" s="10">
        <v>30</v>
      </c>
      <c r="C58" s="31">
        <f>1-0.29-0.025</f>
        <v>0.68499999999999994</v>
      </c>
      <c r="D58" s="12">
        <f t="shared" si="91"/>
        <v>48950.364963503656</v>
      </c>
      <c r="E58" s="12">
        <f t="shared" si="92"/>
        <v>6331.3868613138693</v>
      </c>
      <c r="F58" s="12">
        <f t="shared" si="93"/>
        <v>3156.2043795620439</v>
      </c>
      <c r="G58" s="12">
        <f t="shared" si="94"/>
        <v>1842.3357664233579</v>
      </c>
      <c r="H58" s="12">
        <f t="shared" si="95"/>
        <v>271.5328467153285</v>
      </c>
      <c r="I58" s="5">
        <v>33531</v>
      </c>
      <c r="J58" s="5">
        <v>4337</v>
      </c>
      <c r="K58" s="5">
        <v>2162</v>
      </c>
      <c r="L58" s="5">
        <v>1262</v>
      </c>
      <c r="M58" s="5">
        <v>186</v>
      </c>
      <c r="N58" s="26">
        <f t="shared" ref="N58:R58" si="107">AB24*D58*1000/1000000</f>
        <v>6.4147358627973716</v>
      </c>
      <c r="O58" s="26">
        <f t="shared" si="107"/>
        <v>0.8924562300220017</v>
      </c>
      <c r="P58" s="26">
        <f t="shared" si="107"/>
        <v>1.3255022524833973</v>
      </c>
      <c r="Q58" s="26">
        <f t="shared" si="107"/>
        <v>10.445640283015631</v>
      </c>
      <c r="R58" s="26">
        <f t="shared" si="107"/>
        <v>28.802904815874122</v>
      </c>
      <c r="S58" s="26">
        <f t="shared" si="98"/>
        <v>47.881239444192524</v>
      </c>
      <c r="T58" s="26">
        <f t="shared" si="96"/>
        <v>19.078334628318402</v>
      </c>
      <c r="U58" s="26">
        <f>(LN(P48/(P38*0.25)))/$B$1</f>
        <v>0.41616188730131637</v>
      </c>
      <c r="V58" s="26">
        <f>(U58-U59)/(1-0.25)</f>
        <v>0.68632146394747962</v>
      </c>
      <c r="W58" s="26">
        <f>V58+U60</f>
        <v>0.82125494543716349</v>
      </c>
      <c r="Y58" s="26">
        <f>(LN(P51/(P39*0.25)))/$B$1</f>
        <v>0.37655360911241248</v>
      </c>
      <c r="Z58" s="26">
        <f>(Y58-Y59)/(1-0.25)</f>
        <v>0.5460539333224429</v>
      </c>
      <c r="AA58" s="26">
        <f>Z58+Y60</f>
        <v>0.70097550746757609</v>
      </c>
      <c r="AC58" s="26">
        <f>(LN(P54/(P40*0.25)))/$B$1</f>
        <v>0.17734486554861648</v>
      </c>
      <c r="AD58" s="26">
        <f>(AC58-AC59)/(1-0.25)</f>
        <v>0.11121509502289796</v>
      </c>
      <c r="AE58" s="26">
        <f>AD58+AC60</f>
        <v>0.26731642970512293</v>
      </c>
    </row>
    <row r="59" spans="1:31" x14ac:dyDescent="0.2">
      <c r="A59" s="5" t="s">
        <v>203</v>
      </c>
      <c r="B59" s="10">
        <v>30</v>
      </c>
      <c r="C59" s="31">
        <f>1-0.29-0.025</f>
        <v>0.68499999999999994</v>
      </c>
      <c r="D59" s="12">
        <f t="shared" si="91"/>
        <v>58464.233576642342</v>
      </c>
      <c r="E59" s="12">
        <f t="shared" si="92"/>
        <v>6048.175182481752</v>
      </c>
      <c r="F59" s="12">
        <f t="shared" si="93"/>
        <v>3821.8978102189785</v>
      </c>
      <c r="G59" s="12">
        <f t="shared" si="94"/>
        <v>2322.6277372262775</v>
      </c>
      <c r="H59" s="12">
        <f t="shared" si="95"/>
        <v>309.48905109489056</v>
      </c>
      <c r="I59" s="5">
        <v>40048</v>
      </c>
      <c r="J59" s="5">
        <v>4143</v>
      </c>
      <c r="K59" s="5">
        <v>2618</v>
      </c>
      <c r="L59" s="5">
        <v>1591</v>
      </c>
      <c r="M59" s="5">
        <v>212</v>
      </c>
      <c r="N59" s="26">
        <f t="shared" ref="N59:R59" si="108">AB25*D59*1000/1000000</f>
        <v>7.3683921289487238</v>
      </c>
      <c r="O59" s="26">
        <f t="shared" si="108"/>
        <v>0.88084245749259482</v>
      </c>
      <c r="P59" s="26">
        <f t="shared" si="108"/>
        <v>1.5056835581106942</v>
      </c>
      <c r="Q59" s="26">
        <f t="shared" si="108"/>
        <v>10.577609112334184</v>
      </c>
      <c r="R59" s="26">
        <f t="shared" si="108"/>
        <v>14.97588850009792</v>
      </c>
      <c r="S59" s="26">
        <f t="shared" si="98"/>
        <v>35.308415756984118</v>
      </c>
      <c r="T59" s="26">
        <f t="shared" si="96"/>
        <v>20.332527256886195</v>
      </c>
      <c r="U59" s="26">
        <f>(LN(P49/P38))/$B$1</f>
        <v>-9.8579210659293343E-2</v>
      </c>
      <c r="Y59" s="26">
        <f>(LN(P52/P39))/$B$1</f>
        <v>-3.2986840879419686E-2</v>
      </c>
      <c r="AC59" s="26">
        <f>(LN(P55/P40))/$B$1</f>
        <v>9.3933544281443002E-2</v>
      </c>
    </row>
    <row r="60" spans="1:31" x14ac:dyDescent="0.2">
      <c r="A60" s="5" t="s">
        <v>204</v>
      </c>
      <c r="B60" s="10">
        <v>40</v>
      </c>
      <c r="C60" s="31">
        <f>1-0.28-0.025</f>
        <v>0.69499999999999995</v>
      </c>
      <c r="D60" s="12">
        <f t="shared" si="91"/>
        <v>18615.827338129497</v>
      </c>
      <c r="E60" s="12">
        <f t="shared" si="92"/>
        <v>2771.223021582734</v>
      </c>
      <c r="F60" s="12">
        <f t="shared" si="93"/>
        <v>1120.8633093525182</v>
      </c>
      <c r="G60" s="12">
        <f t="shared" si="94"/>
        <v>404.31654676258995</v>
      </c>
      <c r="H60" s="12">
        <f t="shared" si="95"/>
        <v>80.575539568345334</v>
      </c>
      <c r="I60" s="5">
        <v>12938</v>
      </c>
      <c r="J60" s="5">
        <v>1926</v>
      </c>
      <c r="K60" s="5">
        <v>779</v>
      </c>
      <c r="L60" s="5">
        <v>281</v>
      </c>
      <c r="M60" s="5">
        <v>56</v>
      </c>
      <c r="N60" s="26">
        <f t="shared" ref="N60:R60" si="109">AB26*D60*1000/1000000</f>
        <v>2.8265669926133259</v>
      </c>
      <c r="O60" s="26">
        <f t="shared" si="109"/>
        <v>0.39658436093095745</v>
      </c>
      <c r="P60" s="26">
        <f t="shared" si="109"/>
        <v>0.51968996888788643</v>
      </c>
      <c r="Q60" s="26">
        <f t="shared" si="109"/>
        <v>1.7909444005761233</v>
      </c>
      <c r="R60" s="26">
        <f t="shared" si="109"/>
        <v>9.2991206425025101</v>
      </c>
      <c r="S60" s="26">
        <f t="shared" si="98"/>
        <v>14.832906365510803</v>
      </c>
      <c r="T60" s="26">
        <f t="shared" si="96"/>
        <v>5.5337857230082932</v>
      </c>
      <c r="U60" s="26">
        <f>LN(P50/P38)/$B$1</f>
        <v>0.1349334814896839</v>
      </c>
      <c r="Y60" s="26">
        <f>LN(P53/P39)/$B$1</f>
        <v>0.15492157414513313</v>
      </c>
      <c r="AC60" s="26">
        <f>LN(P56/P40)/$B$1</f>
        <v>0.15610133468222495</v>
      </c>
    </row>
    <row r="61" spans="1:31" x14ac:dyDescent="0.2">
      <c r="A61" s="5" t="s">
        <v>205</v>
      </c>
      <c r="B61" s="10">
        <v>40</v>
      </c>
      <c r="C61" s="31">
        <f>1-0.28-0.025</f>
        <v>0.69499999999999995</v>
      </c>
      <c r="D61" s="12">
        <f t="shared" si="91"/>
        <v>62366.906474820149</v>
      </c>
      <c r="E61" s="12">
        <f t="shared" si="92"/>
        <v>8907.9136690647483</v>
      </c>
      <c r="F61" s="12">
        <f t="shared" si="93"/>
        <v>4359.7122302158277</v>
      </c>
      <c r="G61" s="12">
        <f t="shared" si="94"/>
        <v>1355.3956834532376</v>
      </c>
      <c r="H61" s="12">
        <f t="shared" si="95"/>
        <v>204.31654676258995</v>
      </c>
      <c r="I61" s="5">
        <v>43345</v>
      </c>
      <c r="J61" s="5">
        <v>6191</v>
      </c>
      <c r="K61" s="5">
        <v>3030</v>
      </c>
      <c r="L61" s="5">
        <v>942</v>
      </c>
      <c r="M61" s="5">
        <v>142</v>
      </c>
      <c r="N61" s="26">
        <f t="shared" ref="N61:R61" si="110">AB27*D61*1000/1000000</f>
        <v>7.8975741332594369</v>
      </c>
      <c r="O61" s="26">
        <f t="shared" si="110"/>
        <v>1.332440052668983</v>
      </c>
      <c r="P61" s="26">
        <f t="shared" si="110"/>
        <v>2.0674530011889178</v>
      </c>
      <c r="Q61" s="26">
        <f t="shared" si="110"/>
        <v>6.0182802897613197</v>
      </c>
      <c r="R61" s="26">
        <f t="shared" si="110"/>
        <v>14.532982119650521</v>
      </c>
      <c r="S61" s="26">
        <f t="shared" si="98"/>
        <v>31.848729596529175</v>
      </c>
      <c r="T61" s="26">
        <f t="shared" si="96"/>
        <v>17.315747476878656</v>
      </c>
      <c r="U61" s="4"/>
      <c r="V61" s="4"/>
      <c r="W61" s="4"/>
      <c r="Y61" s="4"/>
      <c r="Z61" s="4"/>
      <c r="AA61" s="4"/>
      <c r="AC61" s="4"/>
      <c r="AD61" s="4"/>
      <c r="AE61" s="4"/>
    </row>
    <row r="62" spans="1:31" x14ac:dyDescent="0.2">
      <c r="A62" s="5" t="s">
        <v>206</v>
      </c>
      <c r="B62" s="10">
        <v>40</v>
      </c>
      <c r="C62" s="31">
        <f>1-0.25-0.025</f>
        <v>0.72499999999999998</v>
      </c>
      <c r="D62" s="12">
        <f t="shared" si="91"/>
        <v>56737.931034482761</v>
      </c>
      <c r="E62" s="12">
        <f t="shared" si="92"/>
        <v>7373.7931034482763</v>
      </c>
      <c r="F62" s="12">
        <f t="shared" si="93"/>
        <v>4093.7931034482758</v>
      </c>
      <c r="G62" s="12">
        <f t="shared" si="94"/>
        <v>1368.2758620689656</v>
      </c>
      <c r="H62" s="12">
        <f t="shared" si="95"/>
        <v>187.58620689655174</v>
      </c>
      <c r="I62" s="5">
        <v>41135</v>
      </c>
      <c r="J62" s="5">
        <v>5346</v>
      </c>
      <c r="K62" s="5">
        <v>2968</v>
      </c>
      <c r="L62" s="5">
        <v>992</v>
      </c>
      <c r="M62" s="5">
        <v>136</v>
      </c>
      <c r="N62" s="26">
        <f t="shared" ref="N62:R62" si="111">AB28*D62*1000/1000000</f>
        <v>7.1188509645654205</v>
      </c>
      <c r="O62" s="26">
        <f t="shared" si="111"/>
        <v>1.1155843633945033</v>
      </c>
      <c r="P62" s="26">
        <f t="shared" si="111"/>
        <v>1.7996194772712859</v>
      </c>
      <c r="Q62" s="26">
        <f t="shared" si="111"/>
        <v>5.370753714406109</v>
      </c>
      <c r="R62" s="26">
        <f t="shared" si="111"/>
        <v>15.149162185512386</v>
      </c>
      <c r="S62" s="26">
        <f t="shared" si="98"/>
        <v>30.553970705149702</v>
      </c>
      <c r="T62" s="26">
        <f t="shared" si="96"/>
        <v>15.404808519637317</v>
      </c>
      <c r="U62" s="6" t="s">
        <v>548</v>
      </c>
      <c r="V62" s="6" t="s">
        <v>549</v>
      </c>
      <c r="W62" s="6" t="s">
        <v>550</v>
      </c>
      <c r="Y62" s="6" t="s">
        <v>548</v>
      </c>
      <c r="Z62" s="6" t="s">
        <v>549</v>
      </c>
      <c r="AA62" s="6" t="s">
        <v>550</v>
      </c>
      <c r="AC62" s="6" t="s">
        <v>548</v>
      </c>
      <c r="AD62" s="6" t="s">
        <v>549</v>
      </c>
      <c r="AE62" s="6" t="s">
        <v>550</v>
      </c>
    </row>
    <row r="63" spans="1:31" x14ac:dyDescent="0.2">
      <c r="A63" s="5" t="s">
        <v>207</v>
      </c>
      <c r="B63" s="10">
        <v>60</v>
      </c>
      <c r="C63" s="31">
        <f>1-0.26-0.025</f>
        <v>0.71499999999999997</v>
      </c>
      <c r="D63" s="12">
        <f t="shared" si="91"/>
        <v>11404.195804195804</v>
      </c>
      <c r="E63" s="12">
        <f t="shared" si="92"/>
        <v>1928.6713286713289</v>
      </c>
      <c r="F63" s="12">
        <f t="shared" si="93"/>
        <v>1061.5384615384617</v>
      </c>
      <c r="G63" s="12">
        <f t="shared" si="94"/>
        <v>253.14685314685315</v>
      </c>
      <c r="H63" s="12">
        <f t="shared" si="95"/>
        <v>60.13986013986014</v>
      </c>
      <c r="I63" s="5">
        <v>8154</v>
      </c>
      <c r="J63" s="5">
        <v>1379</v>
      </c>
      <c r="K63" s="5">
        <v>759</v>
      </c>
      <c r="L63" s="5">
        <v>181</v>
      </c>
      <c r="M63" s="5">
        <v>43</v>
      </c>
      <c r="N63" s="26">
        <f t="shared" ref="N63:R63" si="112">AB29*D63*1000/1000000</f>
        <v>5.9202182262911087</v>
      </c>
      <c r="O63" s="26">
        <f t="shared" si="112"/>
        <v>0.28684213155940447</v>
      </c>
      <c r="P63" s="26">
        <f t="shared" si="112"/>
        <v>0.52982809821076426</v>
      </c>
      <c r="Q63" s="26">
        <f t="shared" si="112"/>
        <v>0.95353786047643108</v>
      </c>
      <c r="R63" s="26">
        <f t="shared" si="112"/>
        <v>7.2765413257134117</v>
      </c>
      <c r="S63" s="26">
        <f t="shared" si="98"/>
        <v>14.96696764225112</v>
      </c>
      <c r="T63" s="26">
        <f t="shared" si="96"/>
        <v>7.6904263165377085</v>
      </c>
      <c r="U63" s="26">
        <f>(LN(T48/(T38*0.25)))/$B$1</f>
        <v>0.44983422539103124</v>
      </c>
      <c r="V63" s="26">
        <f>(U63-U64)/(1-0.25)</f>
        <v>0.72914293313023781</v>
      </c>
      <c r="W63" s="26">
        <f>V63+U65</f>
        <v>0.76146682233466367</v>
      </c>
      <c r="Y63" s="26">
        <f>(LN(T51/(T39*0.25)))/$B$1</f>
        <v>0.29213282894486864</v>
      </c>
      <c r="Z63" s="26">
        <f>(Y63-Y64)/(1-0.25)</f>
        <v>0.46626217498847372</v>
      </c>
      <c r="AA63" s="26">
        <f>Z63+Y65</f>
        <v>0.47806600452620734</v>
      </c>
      <c r="AC63" s="26">
        <f>(LN(T54/(T40*0.25)))/$B$1</f>
        <v>0.25699921474298387</v>
      </c>
      <c r="AD63" s="26">
        <f>(AC63-AC64)/(1-0.25)</f>
        <v>0.27321599568513921</v>
      </c>
      <c r="AE63" s="26">
        <f>AD63+AC65</f>
        <v>0.28009370880945861</v>
      </c>
    </row>
    <row r="64" spans="1:31" x14ac:dyDescent="0.2">
      <c r="A64" s="5" t="s">
        <v>208</v>
      </c>
      <c r="B64" s="10">
        <v>60</v>
      </c>
      <c r="C64" s="31">
        <f>1-0.26-0.025</f>
        <v>0.71499999999999997</v>
      </c>
      <c r="D64" s="12">
        <f t="shared" si="91"/>
        <v>29858.741258741262</v>
      </c>
      <c r="E64" s="12">
        <f t="shared" si="92"/>
        <v>5041.9580419580425</v>
      </c>
      <c r="F64" s="12">
        <f t="shared" si="93"/>
        <v>3258.7412587412587</v>
      </c>
      <c r="G64" s="12">
        <f t="shared" si="94"/>
        <v>724.47552447552448</v>
      </c>
      <c r="H64" s="12">
        <f t="shared" si="95"/>
        <v>181.81818181818181</v>
      </c>
      <c r="I64" s="5">
        <v>21349</v>
      </c>
      <c r="J64" s="5">
        <v>3605</v>
      </c>
      <c r="K64" s="5">
        <v>2330</v>
      </c>
      <c r="L64" s="5">
        <v>518</v>
      </c>
      <c r="M64" s="5">
        <v>130</v>
      </c>
      <c r="N64" s="26">
        <f t="shared" ref="N64:R64" si="113">AB30*D64*1000/1000000</f>
        <v>3.7785101591701937</v>
      </c>
      <c r="O64" s="26">
        <f t="shared" si="113"/>
        <v>0.72392161955587198</v>
      </c>
      <c r="P64" s="26">
        <f t="shared" si="113"/>
        <v>1.4871177890951177</v>
      </c>
      <c r="Q64" s="26">
        <f t="shared" si="113"/>
        <v>2.3357122803575141</v>
      </c>
      <c r="R64" s="26">
        <f t="shared" si="113"/>
        <v>9.5987455448508161</v>
      </c>
      <c r="S64" s="26">
        <f t="shared" si="98"/>
        <v>17.924007393029513</v>
      </c>
      <c r="T64" s="26">
        <f t="shared" si="96"/>
        <v>8.3252618481786982</v>
      </c>
      <c r="U64" s="26">
        <f>(LN(T49/T38))/$B$1</f>
        <v>-9.7022974456647107E-2</v>
      </c>
      <c r="V64" s="10"/>
      <c r="W64" s="10"/>
      <c r="Y64" s="26">
        <f>(LN(T52/T39))/$B$1</f>
        <v>-5.7563802296486687E-2</v>
      </c>
      <c r="Z64" s="10"/>
      <c r="AA64" s="10"/>
      <c r="AC64" s="26">
        <f>(LN(T55/T40))/$B$1</f>
        <v>5.2087217979129449E-2</v>
      </c>
      <c r="AD64" s="10"/>
      <c r="AE64" s="10"/>
    </row>
    <row r="65" spans="1:31" x14ac:dyDescent="0.2">
      <c r="A65" s="5" t="s">
        <v>209</v>
      </c>
      <c r="B65" s="10">
        <v>60</v>
      </c>
      <c r="C65" s="31">
        <f>1-0.26-0.025</f>
        <v>0.71499999999999997</v>
      </c>
      <c r="D65" s="12">
        <f t="shared" si="91"/>
        <v>29900.699300699303</v>
      </c>
      <c r="E65" s="12">
        <f t="shared" si="92"/>
        <v>5118.8811188811187</v>
      </c>
      <c r="F65" s="12">
        <f t="shared" si="93"/>
        <v>3275.5244755244757</v>
      </c>
      <c r="G65" s="12">
        <f t="shared" si="94"/>
        <v>773.42657342657344</v>
      </c>
      <c r="H65" s="12">
        <f t="shared" si="95"/>
        <v>211.1888111888112</v>
      </c>
      <c r="I65" s="5">
        <v>21379</v>
      </c>
      <c r="J65" s="5">
        <v>3660</v>
      </c>
      <c r="K65" s="5">
        <v>2342</v>
      </c>
      <c r="L65" s="5">
        <v>553</v>
      </c>
      <c r="M65" s="5">
        <v>151</v>
      </c>
      <c r="N65" s="26">
        <f>AB31*D65*1000/1000000</f>
        <v>3.8790800718720573</v>
      </c>
      <c r="O65" s="26">
        <f t="shared" ref="O65:R65" si="114">AC31*E65*1000/1000000</f>
        <v>0.74117218570145726</v>
      </c>
      <c r="P65" s="26">
        <f t="shared" si="114"/>
        <v>1.426677929097159</v>
      </c>
      <c r="Q65" s="26">
        <f t="shared" si="114"/>
        <v>1.9080255397998556</v>
      </c>
      <c r="R65" s="26">
        <f t="shared" si="114"/>
        <v>10.907829844610649</v>
      </c>
      <c r="S65" s="26">
        <f t="shared" si="98"/>
        <v>18.862785571081179</v>
      </c>
      <c r="T65" s="26">
        <f t="shared" si="96"/>
        <v>7.9549557264705291</v>
      </c>
      <c r="U65" s="26">
        <f>LN(T50/T38)/$B$1</f>
        <v>3.2323889204425832E-2</v>
      </c>
      <c r="V65" s="10"/>
      <c r="W65" s="10"/>
      <c r="Y65" s="26">
        <f>LN(T53/T39)/$B$1</f>
        <v>1.1803829537733642E-2</v>
      </c>
      <c r="Z65" s="10"/>
      <c r="AA65" s="10"/>
      <c r="AC65" s="26">
        <f>LN(T56/T40)/$B$1</f>
        <v>6.877713124319393E-3</v>
      </c>
      <c r="AD65" s="10"/>
      <c r="AE65" s="10"/>
    </row>
    <row r="66" spans="1:31" x14ac:dyDescent="0.2">
      <c r="B66" s="5"/>
      <c r="O66" s="12"/>
      <c r="P66" s="12"/>
      <c r="Q66" s="12"/>
    </row>
    <row r="67" spans="1:31" x14ac:dyDescent="0.2">
      <c r="B67" s="5"/>
      <c r="O67" s="12"/>
      <c r="P67" s="12"/>
      <c r="Q67" s="12"/>
    </row>
    <row r="68" spans="1:31" x14ac:dyDescent="0.2">
      <c r="B68" s="5"/>
      <c r="O68" s="12"/>
      <c r="P68" s="12"/>
      <c r="Q68" s="12"/>
      <c r="U68" s="6" t="s">
        <v>555</v>
      </c>
      <c r="V68" s="6" t="s">
        <v>555</v>
      </c>
      <c r="W68" s="6" t="s">
        <v>555</v>
      </c>
      <c r="Y68" s="6" t="s">
        <v>556</v>
      </c>
      <c r="Z68" s="6" t="s">
        <v>556</v>
      </c>
      <c r="AA68" s="6" t="s">
        <v>556</v>
      </c>
      <c r="AC68" s="6" t="s">
        <v>558</v>
      </c>
      <c r="AD68" s="6" t="s">
        <v>557</v>
      </c>
      <c r="AE68" s="6" t="s">
        <v>557</v>
      </c>
    </row>
    <row r="69" spans="1:31" x14ac:dyDescent="0.2">
      <c r="B69" s="5"/>
      <c r="O69" s="12"/>
      <c r="P69" s="12"/>
      <c r="Q69" s="12"/>
      <c r="U69" s="6" t="s">
        <v>534</v>
      </c>
      <c r="V69" s="6" t="s">
        <v>529</v>
      </c>
      <c r="W69" s="6" t="s">
        <v>531</v>
      </c>
      <c r="Y69" s="6" t="s">
        <v>534</v>
      </c>
      <c r="Z69" s="6" t="s">
        <v>529</v>
      </c>
      <c r="AA69" s="6" t="s">
        <v>531</v>
      </c>
      <c r="AC69" s="6" t="s">
        <v>534</v>
      </c>
      <c r="AD69" s="6" t="s">
        <v>529</v>
      </c>
      <c r="AE69" s="6" t="s">
        <v>531</v>
      </c>
    </row>
    <row r="70" spans="1:31" x14ac:dyDescent="0.2">
      <c r="B70" s="5"/>
      <c r="O70" s="12"/>
      <c r="P70" s="12"/>
      <c r="Q70" s="12"/>
      <c r="U70" s="26">
        <f>(LN(N57/(N41*0.25)))/$B$1</f>
        <v>0.35131382181431614</v>
      </c>
      <c r="V70" s="26">
        <f>(U70-U71)/(1-0.25)</f>
        <v>0.65375989070818286</v>
      </c>
      <c r="W70" s="26">
        <f>V70+U72</f>
        <v>0.64075533612088043</v>
      </c>
      <c r="Y70" s="26">
        <f>(LN(N60/(N42*0.25)))/$B$1</f>
        <v>0.30978208222072828</v>
      </c>
      <c r="Z70" s="26">
        <f>(Y70-Y71)/(1-0.25)</f>
        <v>0.43491105334450403</v>
      </c>
      <c r="AA70" s="26">
        <f>Z70+Y72</f>
        <v>0.32413774595845724</v>
      </c>
      <c r="AC70" s="26">
        <f>(LN(N63/(N43*0.25)))/$B$1</f>
        <v>1.3407749183143065</v>
      </c>
      <c r="AD70" s="26">
        <f>(AC70-AC71)/(1-0.25)</f>
        <v>2.2246519730090308</v>
      </c>
      <c r="AE70" s="26">
        <f>AD70+AC72</f>
        <v>1.9208181265595561</v>
      </c>
    </row>
    <row r="71" spans="1:31" x14ac:dyDescent="0.2">
      <c r="B71" s="5"/>
      <c r="O71" s="12"/>
      <c r="P71" s="12"/>
      <c r="Q71" s="12"/>
      <c r="U71" s="26">
        <f>(LN(N58/N41))/$B$1</f>
        <v>-0.13900609621682106</v>
      </c>
      <c r="Y71" s="26">
        <f>(LN(N61/N42))/$B$1</f>
        <v>-1.6401207787649748E-2</v>
      </c>
      <c r="AC71" s="26">
        <f>(LN(N64/N43))/$B$1</f>
        <v>-0.32771406144246662</v>
      </c>
    </row>
    <row r="72" spans="1:31" x14ac:dyDescent="0.2">
      <c r="B72" s="5"/>
      <c r="O72" s="12"/>
      <c r="P72" s="12"/>
      <c r="Q72" s="12"/>
      <c r="U72" s="26">
        <f>LN(N59/N41)/$B$1</f>
        <v>-1.3004554587302443E-2</v>
      </c>
      <c r="Y72" s="26">
        <f>LN(N62/N42)/$B$1</f>
        <v>-0.11077330738604678</v>
      </c>
      <c r="AC72" s="26">
        <f>LN(N65/N43)/$B$1</f>
        <v>-0.30383384644947481</v>
      </c>
    </row>
    <row r="73" spans="1:31" x14ac:dyDescent="0.2">
      <c r="B73" s="5"/>
      <c r="O73" s="12"/>
      <c r="P73" s="12"/>
      <c r="Q73" s="12"/>
      <c r="U73" s="5" t="s">
        <v>535</v>
      </c>
      <c r="Y73" s="5" t="s">
        <v>535</v>
      </c>
      <c r="AC73" s="5" t="s">
        <v>535</v>
      </c>
    </row>
    <row r="74" spans="1:31" x14ac:dyDescent="0.2">
      <c r="B74" s="5"/>
      <c r="O74" s="12"/>
      <c r="P74" s="12"/>
      <c r="Q74" s="12"/>
      <c r="U74" s="6" t="s">
        <v>570</v>
      </c>
      <c r="V74" s="6" t="s">
        <v>574</v>
      </c>
      <c r="W74" s="6" t="s">
        <v>575</v>
      </c>
      <c r="Y74" s="6" t="s">
        <v>570</v>
      </c>
      <c r="Z74" s="6" t="s">
        <v>574</v>
      </c>
      <c r="AA74" s="6" t="s">
        <v>575</v>
      </c>
      <c r="AC74" s="6" t="s">
        <v>570</v>
      </c>
      <c r="AD74" s="6" t="s">
        <v>574</v>
      </c>
      <c r="AE74" s="6" t="s">
        <v>575</v>
      </c>
    </row>
    <row r="75" spans="1:31" x14ac:dyDescent="0.2">
      <c r="B75" s="5"/>
      <c r="O75" s="12"/>
      <c r="P75" s="12"/>
      <c r="Q75" s="12"/>
      <c r="U75" s="26">
        <f>(LN(O57/(O41*0.25)))/$B$1</f>
        <v>0.36813203087650781</v>
      </c>
      <c r="V75" s="26">
        <f>(U75-U76)/(1-0.25)</f>
        <v>0.32586380819541011</v>
      </c>
      <c r="W75" s="26">
        <f>V75+U77</f>
        <v>0.43769008939549953</v>
      </c>
      <c r="Y75" s="26">
        <f>(LN(O60/(O42*0.25)))/$B$1</f>
        <v>0.48039866540654069</v>
      </c>
      <c r="Z75" s="26">
        <f>(Y75-Y76)/(1-0.25)</f>
        <v>0.21141330565383046</v>
      </c>
      <c r="AA75" s="26">
        <f>Z75+Y77</f>
        <v>0.37176696720568247</v>
      </c>
      <c r="AC75" s="26">
        <f>(LN(O63/(O43*0.25)))/$B$1</f>
        <v>0.43595730562076995</v>
      </c>
      <c r="AD75" s="26">
        <f>(AC75-AC76)/(1-0.25)</f>
        <v>0.55823422429396297</v>
      </c>
      <c r="AE75" s="26">
        <f>AD75+AC77</f>
        <v>0.59692480844607088</v>
      </c>
    </row>
    <row r="76" spans="1:31" x14ac:dyDescent="0.2">
      <c r="B76" s="5"/>
      <c r="O76" s="12"/>
      <c r="P76" s="12"/>
      <c r="Q76" s="12"/>
      <c r="U76" s="26">
        <f>(LN(O58/O41))/$B$1</f>
        <v>0.12373417472995024</v>
      </c>
      <c r="Y76" s="26">
        <f>(LN(O61/O42))/$B$1</f>
        <v>0.32183868616616784</v>
      </c>
      <c r="AC76" s="26">
        <f>(LN(O64/O43))/$B$1</f>
        <v>1.7281637400297766E-2</v>
      </c>
    </row>
    <row r="77" spans="1:31" x14ac:dyDescent="0.2">
      <c r="B77" s="5"/>
      <c r="O77" s="12"/>
      <c r="P77" s="12"/>
      <c r="Q77" s="12"/>
      <c r="U77" s="26">
        <f>LN(O59/O41)/$B$1</f>
        <v>0.1118262812000894</v>
      </c>
      <c r="Y77" s="26">
        <f>LN(O62/O42)/$B$1</f>
        <v>0.16035366155185202</v>
      </c>
      <c r="AC77" s="26">
        <f>LN(O65/O43)/$B$1</f>
        <v>3.8690584152107958E-2</v>
      </c>
    </row>
    <row r="78" spans="1:31" x14ac:dyDescent="0.2">
      <c r="B78" s="5"/>
      <c r="O78" s="12"/>
      <c r="P78" s="12"/>
      <c r="Q78" s="12"/>
    </row>
    <row r="79" spans="1:31" x14ac:dyDescent="0.2">
      <c r="B79" s="5"/>
      <c r="O79" s="12"/>
      <c r="P79" s="12"/>
      <c r="Q79" s="12"/>
      <c r="U79" s="6" t="s">
        <v>542</v>
      </c>
      <c r="V79" s="6" t="s">
        <v>543</v>
      </c>
      <c r="W79" s="6" t="s">
        <v>544</v>
      </c>
      <c r="Y79" s="6" t="s">
        <v>542</v>
      </c>
      <c r="Z79" s="6" t="s">
        <v>543</v>
      </c>
      <c r="AA79" s="6" t="s">
        <v>544</v>
      </c>
      <c r="AC79" s="6" t="s">
        <v>542</v>
      </c>
      <c r="AD79" s="6" t="s">
        <v>543</v>
      </c>
      <c r="AE79" s="6" t="s">
        <v>544</v>
      </c>
    </row>
    <row r="80" spans="1:31" x14ac:dyDescent="0.2">
      <c r="B80" s="5"/>
      <c r="O80" s="12"/>
      <c r="P80" s="12"/>
      <c r="Q80" s="12"/>
      <c r="U80" s="26">
        <f>(LN(Q57/(Q41*0.25)))/$B$1</f>
        <v>1.5605812717001231E-2</v>
      </c>
      <c r="V80" s="26">
        <f>(U80-U81)/(1-0.25)</f>
        <v>0.12956072906190527</v>
      </c>
      <c r="W80" s="26">
        <f>V80+U82</f>
        <v>5.9409381809195236E-2</v>
      </c>
      <c r="Y80" s="26">
        <f>(LN(Q60/(Q42*0.25)))/$B$1</f>
        <v>3.4610787577014759E-2</v>
      </c>
      <c r="Z80" s="26">
        <f>(Y80-Y81)/(1-0.25)</f>
        <v>0.21119501523764905</v>
      </c>
      <c r="AA80" s="26">
        <f>Z80+Y82</f>
        <v>-1.6075274237072446E-2</v>
      </c>
      <c r="AC80" s="26">
        <f>(LN(Q63/(Q43*0.25)))/$B$1</f>
        <v>0.29329551314896507</v>
      </c>
      <c r="AD80" s="26">
        <f>(AC80-AC81)/(1-0.25)</f>
        <v>0.59442584667829468</v>
      </c>
      <c r="AE80" s="26">
        <f>AD80+AC82</f>
        <v>0.25804021922835407</v>
      </c>
    </row>
    <row r="81" spans="2:31" x14ac:dyDescent="0.2">
      <c r="B81" s="5"/>
      <c r="O81" s="12"/>
      <c r="P81" s="12"/>
      <c r="Q81" s="12"/>
      <c r="U81" s="26">
        <f>(LN(Q58/Q41))/$B$1</f>
        <v>-8.1564734079427728E-2</v>
      </c>
      <c r="Y81" s="26">
        <f>(LN(Q61/Q42))/$B$1</f>
        <v>-0.12378547385122203</v>
      </c>
      <c r="AC81" s="26">
        <f>(LN(Q64/Q43))/$B$1</f>
        <v>-0.15252387185975588</v>
      </c>
    </row>
    <row r="82" spans="2:31" x14ac:dyDescent="0.2">
      <c r="B82" s="5"/>
      <c r="O82" s="12"/>
      <c r="P82" s="12"/>
      <c r="Q82" s="12"/>
      <c r="U82" s="26">
        <f>LN(Q59/Q41)/$B$1</f>
        <v>-7.0151347252710036E-2</v>
      </c>
      <c r="Y82" s="26">
        <f>LN(Q62/Q42)/$B$1</f>
        <v>-0.2272702894747215</v>
      </c>
      <c r="AC82" s="26">
        <f>LN(Q65/Q43)/$B$1</f>
        <v>-0.33638562744994061</v>
      </c>
    </row>
    <row r="83" spans="2:31" x14ac:dyDescent="0.2">
      <c r="B83" s="5"/>
      <c r="O83" s="12"/>
      <c r="P83" s="12"/>
      <c r="Q83" s="12"/>
    </row>
    <row r="84" spans="2:31" x14ac:dyDescent="0.2">
      <c r="B84" s="5"/>
      <c r="O84" s="12"/>
      <c r="P84" s="12"/>
      <c r="Q84" s="12"/>
      <c r="U84" s="6" t="s">
        <v>545</v>
      </c>
      <c r="V84" s="6" t="s">
        <v>546</v>
      </c>
      <c r="W84" s="6" t="s">
        <v>547</v>
      </c>
      <c r="Y84" s="6" t="s">
        <v>545</v>
      </c>
      <c r="Z84" s="6" t="s">
        <v>546</v>
      </c>
      <c r="AA84" s="6" t="s">
        <v>547</v>
      </c>
      <c r="AC84" s="6" t="s">
        <v>545</v>
      </c>
      <c r="AD84" s="6" t="s">
        <v>546</v>
      </c>
      <c r="AE84" s="6" t="s">
        <v>547</v>
      </c>
    </row>
    <row r="85" spans="2:31" x14ac:dyDescent="0.2">
      <c r="B85" s="5"/>
      <c r="O85" s="12"/>
      <c r="P85" s="12"/>
      <c r="Q85" s="12"/>
      <c r="U85" s="26">
        <f>(LN(R57/(R41*0.25)))/$B$1</f>
        <v>0.5571427731877393</v>
      </c>
      <c r="V85" s="26">
        <f>(U85-U86)/(1-0.25)</f>
        <v>1.2505990326946723</v>
      </c>
      <c r="W85" s="26">
        <f>V85+U87</f>
        <v>0.27521546840716316</v>
      </c>
      <c r="Y85" s="26">
        <f>(LN(R60/(R42*0.25)))/$B$1</f>
        <v>0.20505036656130118</v>
      </c>
      <c r="Z85" s="26">
        <f>(Y85-Y86)/(1-0.25)</f>
        <v>1.1391436447553105</v>
      </c>
      <c r="AA85" s="26">
        <f>Z85+Y87</f>
        <v>0.52758585395386748</v>
      </c>
      <c r="AC85" s="26">
        <f>(LN(R63/(R43*0.25)))/$B$1</f>
        <v>-8.6266616216488137E-2</v>
      </c>
      <c r="AD85" s="26">
        <f>(AC85-AC86)/(1-0.25)</f>
        <v>1.3446273942914058</v>
      </c>
      <c r="AE85" s="26">
        <f>AD85+AC87</f>
        <v>0.36611609435669923</v>
      </c>
    </row>
    <row r="86" spans="2:31" x14ac:dyDescent="0.2">
      <c r="B86" s="5"/>
      <c r="O86" s="12"/>
      <c r="P86" s="12"/>
      <c r="Q86" s="12"/>
      <c r="U86" s="26">
        <f>(LN(R58/R41))/$B$1</f>
        <v>-0.38080650133326505</v>
      </c>
      <c r="Y86" s="26">
        <f>(LN(R61/R42))/$B$1</f>
        <v>-0.64930736700518166</v>
      </c>
      <c r="AC86" s="26">
        <f>(LN(R64/R43))/$B$1</f>
        <v>-1.0947371619350426</v>
      </c>
    </row>
    <row r="87" spans="2:31" x14ac:dyDescent="0.2">
      <c r="B87" s="5"/>
      <c r="O87" s="12"/>
      <c r="P87" s="12"/>
      <c r="Q87" s="12"/>
      <c r="U87" s="26">
        <f>LN(R59/R41)/$B$1</f>
        <v>-0.97538356428750916</v>
      </c>
      <c r="Y87" s="26">
        <f>LN(R62/R42)/$B$1</f>
        <v>-0.61155779080144301</v>
      </c>
      <c r="AC87" s="26">
        <f>LN(R65/R43)/$B$1</f>
        <v>-0.97851129993470654</v>
      </c>
    </row>
    <row r="88" spans="2:31" x14ac:dyDescent="0.2">
      <c r="B88" s="5"/>
      <c r="O88" s="12"/>
      <c r="P88" s="12"/>
      <c r="Q88" s="12"/>
    </row>
    <row r="89" spans="2:31" x14ac:dyDescent="0.2">
      <c r="B89" s="5"/>
      <c r="O89" s="12"/>
      <c r="P89" s="12"/>
      <c r="Q89" s="12"/>
      <c r="U89" s="6" t="s">
        <v>571</v>
      </c>
      <c r="V89" s="6" t="s">
        <v>572</v>
      </c>
      <c r="W89" s="6" t="s">
        <v>573</v>
      </c>
      <c r="Y89" s="6" t="s">
        <v>571</v>
      </c>
      <c r="Z89" s="6" t="s">
        <v>572</v>
      </c>
      <c r="AA89" s="6" t="s">
        <v>573</v>
      </c>
      <c r="AC89" s="6" t="s">
        <v>571</v>
      </c>
      <c r="AD89" s="6" t="s">
        <v>572</v>
      </c>
      <c r="AE89" s="6" t="s">
        <v>573</v>
      </c>
    </row>
    <row r="90" spans="2:31" x14ac:dyDescent="0.2">
      <c r="B90" s="5"/>
      <c r="U90" s="26">
        <f>(LN(P57/(P41*0.25)))/$B$1</f>
        <v>0.22203097719266759</v>
      </c>
      <c r="V90" s="26">
        <f>(U90-U91)/(1-0.25)</f>
        <v>0.39715860552437637</v>
      </c>
      <c r="W90" s="26">
        <f>V90+U92</f>
        <v>0.4371893016929444</v>
      </c>
      <c r="Y90" s="26">
        <f>(LN(P60/(P42*0.25)))/$B$1</f>
        <v>7.7357746339786149E-2</v>
      </c>
      <c r="Z90" s="26">
        <f>(Y90-Y91)/(1-0.25)</f>
        <v>6.6110142626644719E-3</v>
      </c>
      <c r="AA90" s="26">
        <f>Z90+Y92</f>
        <v>-4.7118749572382948E-2</v>
      </c>
      <c r="AC90" s="26">
        <f>(LN(P63/(P43*0.25)))/$B$1</f>
        <v>0.38050697075906187</v>
      </c>
      <c r="AD90" s="26">
        <f>(AC90-AC91)/(1-0.25)</f>
        <v>0.42939614080188632</v>
      </c>
      <c r="AE90" s="26">
        <f>AD90+AC92</f>
        <v>0.45013667705787602</v>
      </c>
    </row>
    <row r="91" spans="2:31" x14ac:dyDescent="0.2">
      <c r="U91" s="26">
        <f>(LN(P58/P41))/$B$1</f>
        <v>-7.5837976950614699E-2</v>
      </c>
      <c r="Y91" s="26">
        <f>(LN(P61/P42))/$B$1</f>
        <v>7.2399485642787795E-2</v>
      </c>
      <c r="AC91" s="26">
        <f>(LN(P64/P43))/$B$1</f>
        <v>5.8459865157647131E-2</v>
      </c>
    </row>
    <row r="92" spans="2:31" x14ac:dyDescent="0.2">
      <c r="U92" s="26">
        <f>LN(P59/P41)/$B$1</f>
        <v>4.0030696168568032E-2</v>
      </c>
      <c r="Y92" s="26">
        <f>LN(P62/P42)/$B$1</f>
        <v>-5.372976383504742E-2</v>
      </c>
      <c r="AC92" s="26">
        <f>LN(P65/P43)/$B$1</f>
        <v>2.0740536255989685E-2</v>
      </c>
    </row>
    <row r="94" spans="2:31" x14ac:dyDescent="0.2">
      <c r="U94" s="6" t="s">
        <v>548</v>
      </c>
      <c r="V94" s="6" t="s">
        <v>549</v>
      </c>
      <c r="W94" s="6" t="s">
        <v>550</v>
      </c>
      <c r="Y94" s="6" t="s">
        <v>548</v>
      </c>
      <c r="Z94" s="6" t="s">
        <v>549</v>
      </c>
      <c r="AA94" s="6" t="s">
        <v>550</v>
      </c>
      <c r="AC94" s="6" t="s">
        <v>548</v>
      </c>
      <c r="AD94" s="6" t="s">
        <v>549</v>
      </c>
      <c r="AE94" s="6" t="s">
        <v>550</v>
      </c>
    </row>
    <row r="95" spans="2:31" x14ac:dyDescent="0.2">
      <c r="U95" s="26">
        <f>(LN(T57/(T41*0.25)))/$B$1</f>
        <v>0.1759916285685339</v>
      </c>
      <c r="V95" s="26">
        <f>(U95-U96)/(1-0.25)</f>
        <v>0.35791305341427909</v>
      </c>
      <c r="W95" s="26">
        <f>V95+U97</f>
        <v>0.32335039468196158</v>
      </c>
      <c r="Y95" s="26">
        <f>(LN(T60/(T42*0.25)))/$B$1</f>
        <v>0.19907823880281236</v>
      </c>
      <c r="Z95" s="26">
        <f>(Y95-Y96)/(1-0.25)</f>
        <v>0.29763657623510265</v>
      </c>
      <c r="AA95" s="26">
        <f>Z95+Y97</f>
        <v>0.16718134283310984</v>
      </c>
      <c r="AC95" s="26">
        <f>(LN(T63/(T43*0.25)))/$B$1</f>
        <v>0.99592819758272999</v>
      </c>
      <c r="AD95" s="26">
        <f>(AC95-AC96)/(1-0.25)</f>
        <v>1.5842134451824474</v>
      </c>
      <c r="AE95" s="26">
        <f>AD95+AC97</f>
        <v>1.3506184749425367</v>
      </c>
    </row>
    <row r="96" spans="2:31" x14ac:dyDescent="0.2">
      <c r="U96" s="26">
        <f>(LN(T58/T41))/$B$1</f>
        <v>-9.2443161492175407E-2</v>
      </c>
      <c r="V96" s="10"/>
      <c r="W96" s="10"/>
      <c r="Y96" s="26">
        <f>(LN(T61/T42))/$B$1</f>
        <v>-2.4149193373514628E-2</v>
      </c>
      <c r="Z96" s="10"/>
      <c r="AA96" s="10"/>
      <c r="AC96" s="26">
        <f>(LN(T64/T43))/$B$1</f>
        <v>-0.19223188630410568</v>
      </c>
      <c r="AD96" s="10"/>
      <c r="AE96" s="10"/>
    </row>
    <row r="97" spans="21:31" x14ac:dyDescent="0.2">
      <c r="U97" s="26">
        <f>LN(T59/T41)/$B$1</f>
        <v>-3.4562658732317536E-2</v>
      </c>
      <c r="V97" s="10"/>
      <c r="W97" s="10"/>
      <c r="Y97" s="26">
        <f>LN(T62/T42)/$B$1</f>
        <v>-0.1304552334019928</v>
      </c>
      <c r="Z97" s="10"/>
      <c r="AA97" s="10"/>
      <c r="AC97" s="26">
        <f>LN(T65/T43)/$B$1</f>
        <v>-0.23359497023991083</v>
      </c>
      <c r="AD97" s="10"/>
      <c r="AE97"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Summary of PhotoAdaption </vt:lpstr>
      <vt:lpstr>Incubation times</vt:lpstr>
      <vt:lpstr>MD1</vt:lpstr>
      <vt:lpstr>MD2</vt:lpstr>
      <vt:lpstr>MD3</vt:lpstr>
      <vt:lpstr>MD4</vt:lpstr>
      <vt:lpstr>MD5</vt:lpstr>
      <vt:lpstr>MD6</vt:lpstr>
      <vt:lpstr>MD7</vt:lpstr>
      <vt:lpstr>MD9</vt:lpstr>
      <vt:lpstr>MD10</vt:lpstr>
      <vt:lpstr>MD11</vt:lpstr>
      <vt:lpstr>MD12</vt:lpstr>
      <vt:lpstr>MD13</vt:lpstr>
      <vt:lpstr>MD14</vt:lpstr>
      <vt:lpstr>MD15</vt:lpstr>
      <vt:lpstr>MD16</vt:lpstr>
      <vt:lpstr>MD17</vt:lpstr>
      <vt:lpstr>MD18</vt:lpstr>
    </vt:vector>
  </TitlesOfParts>
  <Company>Univ. of Hawaii at Manoa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E. Selph</dc:creator>
  <cp:lastModifiedBy>#DENISE ONG RUI YING#</cp:lastModifiedBy>
  <dcterms:created xsi:type="dcterms:W3CDTF">2019-07-25T23:10:36Z</dcterms:created>
  <dcterms:modified xsi:type="dcterms:W3CDTF">2022-11-15T03:03:40Z</dcterms:modified>
</cp:coreProperties>
</file>